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E:\"/>
    </mc:Choice>
  </mc:AlternateContent>
  <xr:revisionPtr revIDLastSave="0" documentId="13_ncr:1_{C2846448-C1BE-4F92-A9DA-EAEE872EF6F8}" xr6:coauthVersionLast="47" xr6:coauthVersionMax="47" xr10:uidLastSave="{00000000-0000-0000-0000-000000000000}"/>
  <workbookProtection lockStructure="1"/>
  <bookViews>
    <workbookView xWindow="-110" yWindow="-110" windowWidth="25820" windowHeight="13900" tabRatio="611" xr2:uid="{00000000-000D-0000-FFFF-FFFF00000000}"/>
  </bookViews>
  <sheets>
    <sheet name="背景" sheetId="1" r:id="rId1"/>
    <sheet name="主要" sheetId="2" r:id="rId2"/>
    <sheet name="背包" sheetId="3" r:id="rId3"/>
    <sheet name="法术书" sheetId="4" r:id="rId4"/>
    <sheet name="综合数据" sheetId="5" state="hidden" r:id="rId5"/>
    <sheet name="种族数据" sheetId="6" state="hidden" r:id="rId6"/>
    <sheet name="职业数据" sheetId="7" state="hidden" r:id="rId7"/>
    <sheet name="装备数据" sheetId="8" state="hidden" r:id="rId8"/>
    <sheet name="背景数据" sheetId="9" state="hidden" r:id="rId9"/>
    <sheet name="专长数据" sheetId="10" state="hidden" r:id="rId10"/>
    <sheet name="法术数据" sheetId="11" state="hidden" r:id="rId11"/>
    <sheet name="赠礼数据" sheetId="12" state="hidden" r:id="rId12"/>
    <sheet name="法术查询" sheetId="13" r:id="rId13"/>
    <sheet name="计算器" sheetId="14" r:id="rId14"/>
    <sheet name=" " sheetId="15" r:id="rId15"/>
    <sheet name="额外法术" sheetId="16" state="hidden" r:id="rId16"/>
    <sheet name="盟友" sheetId="17" state="hidden" r:id="rId17"/>
    <sheet name="据点" sheetId="18" state="hidden" r:id="rId18"/>
  </sheets>
  <definedNames>
    <definedName name="_xlnm._FilterDatabase" localSheetId="10" hidden="1">法术数据!$A$2:$AV$522</definedName>
    <definedName name="_xlnm._FilterDatabase" localSheetId="5" hidden="1">种族数据!$AI$2:$BI$157</definedName>
    <definedName name="_xlnm._FilterDatabase" localSheetId="7" hidden="1">装备数据!#REF!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9" i="2" l="1"/>
  <c r="D29" i="2" s="1"/>
  <c r="I39" i="2"/>
  <c r="F34" i="2"/>
  <c r="Y3" i="2"/>
  <c r="AD42" i="7" s="1"/>
  <c r="HE70" i="18"/>
  <c r="FJ70" i="18"/>
  <c r="DO70" i="18"/>
  <c r="BT70" i="18"/>
  <c r="Y70" i="18"/>
  <c r="HE17" i="18"/>
  <c r="FJ17" i="18"/>
  <c r="DO17" i="18"/>
  <c r="BT17" i="18"/>
  <c r="Y17" i="18"/>
  <c r="HN9" i="18"/>
  <c r="HE9" i="18"/>
  <c r="GH9" i="18"/>
  <c r="FS9" i="18"/>
  <c r="FJ9" i="18"/>
  <c r="EM9" i="18"/>
  <c r="DX9" i="18"/>
  <c r="DO9" i="18"/>
  <c r="CR9" i="18"/>
  <c r="CC9" i="18"/>
  <c r="BT9" i="18"/>
  <c r="AW9" i="18"/>
  <c r="AH9" i="18"/>
  <c r="Y9" i="18"/>
  <c r="B9" i="18"/>
  <c r="S141" i="14"/>
  <c r="S140" i="14"/>
  <c r="S139" i="14"/>
  <c r="S138" i="14"/>
  <c r="S137" i="14"/>
  <c r="S136" i="14"/>
  <c r="S135" i="14"/>
  <c r="S134" i="14"/>
  <c r="S133" i="14"/>
  <c r="S132" i="14"/>
  <c r="S131" i="14"/>
  <c r="S130" i="14"/>
  <c r="S129" i="14"/>
  <c r="S128" i="14"/>
  <c r="S127" i="14"/>
  <c r="S126" i="14"/>
  <c r="S125" i="14"/>
  <c r="S124" i="14"/>
  <c r="S123" i="14"/>
  <c r="S122" i="14"/>
  <c r="S121" i="14"/>
  <c r="S120" i="14"/>
  <c r="S119" i="14"/>
  <c r="S118" i="14"/>
  <c r="S117" i="14"/>
  <c r="S116" i="14"/>
  <c r="S115" i="14"/>
  <c r="S114" i="14"/>
  <c r="S113" i="14"/>
  <c r="S112" i="14"/>
  <c r="S111" i="14"/>
  <c r="S110" i="14"/>
  <c r="S109" i="14"/>
  <c r="S108" i="14"/>
  <c r="S107" i="14"/>
  <c r="S106" i="14"/>
  <c r="S105" i="14"/>
  <c r="S104" i="14"/>
  <c r="S103" i="14"/>
  <c r="S102" i="14"/>
  <c r="S101" i="14"/>
  <c r="S100" i="14"/>
  <c r="S99" i="14"/>
  <c r="S98" i="14"/>
  <c r="S97" i="14"/>
  <c r="S96" i="14"/>
  <c r="S95" i="14"/>
  <c r="S94" i="14"/>
  <c r="S93" i="14"/>
  <c r="S92" i="14"/>
  <c r="S91" i="14"/>
  <c r="S90" i="14"/>
  <c r="S89" i="14"/>
  <c r="S88" i="14"/>
  <c r="S87" i="14"/>
  <c r="S86" i="14"/>
  <c r="S85" i="14"/>
  <c r="S84" i="14"/>
  <c r="S83" i="14"/>
  <c r="S82" i="14"/>
  <c r="S81" i="14"/>
  <c r="S80" i="14"/>
  <c r="S79" i="14"/>
  <c r="S78" i="14"/>
  <c r="S77" i="14"/>
  <c r="S76" i="14"/>
  <c r="S75" i="14"/>
  <c r="S74" i="14"/>
  <c r="S73" i="14"/>
  <c r="S72" i="14"/>
  <c r="S71" i="14"/>
  <c r="S70" i="14"/>
  <c r="S69" i="14"/>
  <c r="S68" i="14"/>
  <c r="S67" i="14"/>
  <c r="S66" i="14"/>
  <c r="S65" i="14"/>
  <c r="S64" i="14"/>
  <c r="S63" i="14"/>
  <c r="S62" i="14"/>
  <c r="S61" i="14"/>
  <c r="S60" i="14"/>
  <c r="S59" i="14"/>
  <c r="S58" i="14"/>
  <c r="S57" i="14"/>
  <c r="S56" i="14"/>
  <c r="S55" i="14"/>
  <c r="S54" i="14"/>
  <c r="S53" i="14"/>
  <c r="S52" i="14"/>
  <c r="S51" i="14"/>
  <c r="S50" i="14"/>
  <c r="S49" i="14"/>
  <c r="S48" i="14"/>
  <c r="S47" i="14"/>
  <c r="S46" i="14"/>
  <c r="S45" i="14"/>
  <c r="S44" i="14"/>
  <c r="S43" i="14"/>
  <c r="S42" i="14"/>
  <c r="S41" i="14"/>
  <c r="S40" i="14"/>
  <c r="S39" i="14"/>
  <c r="S38" i="14"/>
  <c r="S37" i="14"/>
  <c r="S36" i="14"/>
  <c r="S35" i="14"/>
  <c r="S34" i="14"/>
  <c r="S33" i="14"/>
  <c r="S32" i="14"/>
  <c r="S31" i="14"/>
  <c r="S30" i="14"/>
  <c r="S29" i="14"/>
  <c r="S28" i="14"/>
  <c r="S27" i="14"/>
  <c r="S26" i="14"/>
  <c r="S25" i="14"/>
  <c r="S24" i="14"/>
  <c r="S23" i="14"/>
  <c r="S22" i="14"/>
  <c r="S21" i="14"/>
  <c r="S20" i="14"/>
  <c r="S19" i="14"/>
  <c r="S18" i="14"/>
  <c r="S17" i="14"/>
  <c r="S16" i="14"/>
  <c r="S15" i="14"/>
  <c r="S14" i="14"/>
  <c r="S13" i="14"/>
  <c r="S12" i="14"/>
  <c r="J12" i="14"/>
  <c r="S11" i="14"/>
  <c r="J11" i="14"/>
  <c r="S10" i="14"/>
  <c r="J10" i="14"/>
  <c r="S9" i="14"/>
  <c r="J9" i="14"/>
  <c r="E9" i="14"/>
  <c r="S8" i="14"/>
  <c r="J8" i="14"/>
  <c r="E8" i="14"/>
  <c r="S7" i="14"/>
  <c r="J7" i="14"/>
  <c r="E7" i="14"/>
  <c r="Z6" i="14"/>
  <c r="S6" i="14"/>
  <c r="J6" i="14"/>
  <c r="E6" i="14"/>
  <c r="Y5" i="14"/>
  <c r="S5" i="14"/>
  <c r="J5" i="14"/>
  <c r="E5" i="14"/>
  <c r="S4" i="14"/>
  <c r="J4" i="14"/>
  <c r="E4" i="14"/>
  <c r="Y3" i="14"/>
  <c r="AB3" i="14" s="1"/>
  <c r="N3" i="14"/>
  <c r="J3" i="14"/>
  <c r="E3" i="14"/>
  <c r="AB2" i="14"/>
  <c r="B15" i="13"/>
  <c r="B10" i="13"/>
  <c r="F9" i="13"/>
  <c r="B9" i="13"/>
  <c r="F8" i="13"/>
  <c r="B8" i="13"/>
  <c r="B6" i="13"/>
  <c r="F5" i="13"/>
  <c r="B5" i="13"/>
  <c r="G19" i="12"/>
  <c r="G18" i="12"/>
  <c r="G17" i="12"/>
  <c r="G16" i="12"/>
  <c r="G15" i="12"/>
  <c r="G14" i="12"/>
  <c r="C14" i="12" a="1"/>
  <c r="C14" i="12" s="1"/>
  <c r="G13" i="12"/>
  <c r="A13" i="12"/>
  <c r="G12" i="12"/>
  <c r="A12" i="12"/>
  <c r="G11" i="12"/>
  <c r="A11" i="12"/>
  <c r="G10" i="12"/>
  <c r="A10" i="12"/>
  <c r="G9" i="12"/>
  <c r="A9" i="12"/>
  <c r="G8" i="12"/>
  <c r="A8" i="12"/>
  <c r="G7" i="12"/>
  <c r="A7" i="12"/>
  <c r="G6" i="12"/>
  <c r="A6" i="12"/>
  <c r="G5" i="12"/>
  <c r="A5" i="12"/>
  <c r="G4" i="12"/>
  <c r="A4" i="12"/>
  <c r="G3" i="12"/>
  <c r="A3" i="12"/>
  <c r="G2" i="12"/>
  <c r="A2" i="12"/>
  <c r="H1" i="12"/>
  <c r="Q517" i="11"/>
  <c r="AC516" i="11"/>
  <c r="Q516" i="11"/>
  <c r="AC515" i="11" s="1"/>
  <c r="Q515" i="11"/>
  <c r="AC514" i="11" s="1"/>
  <c r="Q514" i="11"/>
  <c r="AC513" i="11"/>
  <c r="Q513" i="11"/>
  <c r="AC512" i="11" s="1"/>
  <c r="Q512" i="11"/>
  <c r="AC511" i="11" s="1"/>
  <c r="AC510" i="11"/>
  <c r="Y510" i="11"/>
  <c r="AC509" i="11"/>
  <c r="AC508" i="11"/>
  <c r="AC507" i="11"/>
  <c r="AC506" i="11"/>
  <c r="AC505" i="11"/>
  <c r="AC504" i="11"/>
  <c r="R504" i="11"/>
  <c r="AC503" i="11"/>
  <c r="AC502" i="11"/>
  <c r="S502" i="11"/>
  <c r="AC501" i="11"/>
  <c r="AC500" i="11"/>
  <c r="AC499" i="11"/>
  <c r="AC498" i="11"/>
  <c r="Y498" i="11"/>
  <c r="AC497" i="11"/>
  <c r="AC496" i="11"/>
  <c r="AC495" i="11"/>
  <c r="Q495" i="11"/>
  <c r="AC494" i="11" s="1"/>
  <c r="Q494" i="11"/>
  <c r="AC493" i="11" s="1"/>
  <c r="Q493" i="11"/>
  <c r="AC492" i="11" s="1"/>
  <c r="Q492" i="11"/>
  <c r="AC491" i="11"/>
  <c r="Q491" i="11"/>
  <c r="AC490" i="11" s="1"/>
  <c r="Q490" i="11"/>
  <c r="AC489" i="11"/>
  <c r="AC488" i="11"/>
  <c r="AC487" i="11"/>
  <c r="S487" i="11"/>
  <c r="AC486" i="11"/>
  <c r="AC485" i="11"/>
  <c r="AC484" i="11"/>
  <c r="AC483" i="11"/>
  <c r="T483" i="11"/>
  <c r="AC482" i="11"/>
  <c r="AC481" i="11"/>
  <c r="AC480" i="11"/>
  <c r="AC479" i="11"/>
  <c r="AC478" i="11"/>
  <c r="AC477" i="11"/>
  <c r="W477" i="11"/>
  <c r="AC476" i="11"/>
  <c r="AC475" i="11"/>
  <c r="AC474" i="11"/>
  <c r="R474" i="11"/>
  <c r="AC473" i="11"/>
  <c r="AC472" i="11"/>
  <c r="AC471" i="11"/>
  <c r="Q471" i="11"/>
  <c r="AC470" i="11" s="1"/>
  <c r="Q470" i="11"/>
  <c r="AC469" i="11" s="1"/>
  <c r="Q469" i="11"/>
  <c r="AC468" i="11" s="1"/>
  <c r="Q468" i="11"/>
  <c r="AC467" i="11"/>
  <c r="Q467" i="11"/>
  <c r="AC466" i="11" s="1"/>
  <c r="Q466" i="11"/>
  <c r="AC465" i="11" s="1"/>
  <c r="Q465" i="11"/>
  <c r="AC464" i="11"/>
  <c r="AC463" i="11"/>
  <c r="T463" i="11"/>
  <c r="AC462" i="11"/>
  <c r="AC461" i="11"/>
  <c r="AC460" i="11"/>
  <c r="AC459" i="11"/>
  <c r="AC458" i="11"/>
  <c r="AC457" i="11"/>
  <c r="AC456" i="11"/>
  <c r="R456" i="11"/>
  <c r="AC455" i="11" s="1"/>
  <c r="AC454" i="11"/>
  <c r="AC453" i="11"/>
  <c r="AC452" i="11"/>
  <c r="AC451" i="11"/>
  <c r="AC450" i="11"/>
  <c r="AC449" i="11"/>
  <c r="AC448" i="11"/>
  <c r="AC447" i="11"/>
  <c r="AC446" i="11"/>
  <c r="AC445" i="11"/>
  <c r="AC444" i="11"/>
  <c r="Q444" i="11"/>
  <c r="AC443" i="11"/>
  <c r="Q443" i="11"/>
  <c r="AC442" i="11" s="1"/>
  <c r="Q442" i="11"/>
  <c r="AC441" i="11" s="1"/>
  <c r="Q441" i="11"/>
  <c r="AC440" i="11" s="1"/>
  <c r="Q440" i="11"/>
  <c r="AC439" i="11"/>
  <c r="Q439" i="11"/>
  <c r="AC438" i="11"/>
  <c r="Q438" i="11"/>
  <c r="AC437" i="11"/>
  <c r="Q437" i="11"/>
  <c r="AC436" i="11" s="1"/>
  <c r="Q436" i="11"/>
  <c r="AC435" i="11"/>
  <c r="Q435" i="11"/>
  <c r="AC434" i="11"/>
  <c r="Q434" i="11"/>
  <c r="AC433" i="11"/>
  <c r="Q433" i="11"/>
  <c r="AC432" i="11"/>
  <c r="Q432" i="11"/>
  <c r="AC431" i="11"/>
  <c r="Q431" i="11"/>
  <c r="AC430" i="11"/>
  <c r="Q430" i="11"/>
  <c r="AC429" i="11"/>
  <c r="Q429" i="11"/>
  <c r="AC428" i="11"/>
  <c r="AC427" i="11"/>
  <c r="AC426" i="11"/>
  <c r="AC425" i="11"/>
  <c r="AC424" i="11"/>
  <c r="AC423" i="11"/>
  <c r="AC422" i="11"/>
  <c r="S422" i="11"/>
  <c r="AC421" i="11"/>
  <c r="AC420" i="11"/>
  <c r="AC419" i="11"/>
  <c r="AC418" i="11"/>
  <c r="W418" i="11"/>
  <c r="AC417" i="11"/>
  <c r="AC416" i="11"/>
  <c r="AC415" i="11"/>
  <c r="AC414" i="11"/>
  <c r="R414" i="11"/>
  <c r="AC413" i="11"/>
  <c r="AC412" i="11"/>
  <c r="AC411" i="11"/>
  <c r="AC410" i="11"/>
  <c r="AC409" i="11"/>
  <c r="AC408" i="11"/>
  <c r="W408" i="11"/>
  <c r="T408" i="11"/>
  <c r="AC407" i="11"/>
  <c r="AC406" i="11"/>
  <c r="AC405" i="11"/>
  <c r="AC404" i="11"/>
  <c r="AC403" i="11"/>
  <c r="AC402" i="11"/>
  <c r="AC401" i="11"/>
  <c r="AC400" i="11"/>
  <c r="AC399" i="11"/>
  <c r="AC398" i="11"/>
  <c r="AC397" i="11"/>
  <c r="AC396" i="11"/>
  <c r="Q396" i="11"/>
  <c r="AC395" i="11" s="1"/>
  <c r="Q395" i="11"/>
  <c r="AC394" i="11" s="1"/>
  <c r="Q394" i="11"/>
  <c r="AC393" i="11" s="1"/>
  <c r="Q393" i="11"/>
  <c r="AC392" i="11"/>
  <c r="Q392" i="11"/>
  <c r="AC391" i="11" s="1"/>
  <c r="Q391" i="11"/>
  <c r="AC390" i="11"/>
  <c r="Q390" i="11"/>
  <c r="AC389" i="11"/>
  <c r="Q389" i="11"/>
  <c r="AC388" i="11"/>
  <c r="Q388" i="11"/>
  <c r="AC387" i="11"/>
  <c r="Q387" i="11"/>
  <c r="AC386" i="11"/>
  <c r="Q386" i="11"/>
  <c r="AC385" i="11"/>
  <c r="Q385" i="11"/>
  <c r="AC384" i="11"/>
  <c r="Q384" i="11"/>
  <c r="AC383" i="11" s="1"/>
  <c r="Q383" i="11"/>
  <c r="AC382" i="11"/>
  <c r="Q382" i="11"/>
  <c r="AC381" i="11" s="1"/>
  <c r="Q381" i="11"/>
  <c r="AC380" i="11"/>
  <c r="Q380" i="11"/>
  <c r="AC379" i="11" s="1"/>
  <c r="Q379" i="11"/>
  <c r="AC378" i="11" s="1"/>
  <c r="Q378" i="11"/>
  <c r="AC377" i="11"/>
  <c r="AC376" i="11"/>
  <c r="AC375" i="11"/>
  <c r="AC374" i="11"/>
  <c r="Y374" i="11"/>
  <c r="AC373" i="11"/>
  <c r="AC372" i="11"/>
  <c r="AC371" i="11"/>
  <c r="AC370" i="11"/>
  <c r="AC369" i="11"/>
  <c r="AC368" i="11"/>
  <c r="R368" i="11"/>
  <c r="AC367" i="11" s="1"/>
  <c r="AC366" i="11"/>
  <c r="Y366" i="11"/>
  <c r="AC365" i="11"/>
  <c r="AC364" i="11"/>
  <c r="AC363" i="11"/>
  <c r="Y363" i="11"/>
  <c r="AC362" i="11"/>
  <c r="AC361" i="11"/>
  <c r="AC360" i="11"/>
  <c r="AC359" i="11"/>
  <c r="AC358" i="11"/>
  <c r="AC357" i="11"/>
  <c r="V357" i="11"/>
  <c r="AC356" i="11"/>
  <c r="AC355" i="11"/>
  <c r="AC354" i="11"/>
  <c r="AC353" i="11"/>
  <c r="AC352" i="11"/>
  <c r="AC351" i="11"/>
  <c r="AC350" i="11"/>
  <c r="AC349" i="11"/>
  <c r="AC348" i="11"/>
  <c r="AC347" i="11"/>
  <c r="AC346" i="11"/>
  <c r="AC345" i="11"/>
  <c r="T345" i="11"/>
  <c r="AC344" i="11"/>
  <c r="AC343" i="11"/>
  <c r="AC342" i="11"/>
  <c r="AC341" i="11"/>
  <c r="AC340" i="11"/>
  <c r="W340" i="11"/>
  <c r="AC339" i="11"/>
  <c r="AC338" i="11"/>
  <c r="AC337" i="11"/>
  <c r="AC336" i="11"/>
  <c r="AC335" i="11"/>
  <c r="Q335" i="11"/>
  <c r="AC334" i="11"/>
  <c r="Q334" i="11"/>
  <c r="AC333" i="11" s="1"/>
  <c r="Q333" i="11"/>
  <c r="AC332" i="11" s="1"/>
  <c r="Q332" i="11"/>
  <c r="AC331" i="11" s="1"/>
  <c r="Q331" i="11"/>
  <c r="AC330" i="11" s="1"/>
  <c r="Q330" i="11"/>
  <c r="AC329" i="11" s="1"/>
  <c r="Q329" i="11"/>
  <c r="AC328" i="11" s="1"/>
  <c r="Q328" i="11"/>
  <c r="AC327" i="11"/>
  <c r="Q327" i="11"/>
  <c r="AC326" i="11" s="1"/>
  <c r="Q326" i="11"/>
  <c r="AC325" i="11"/>
  <c r="Q325" i="11"/>
  <c r="AC324" i="11"/>
  <c r="Q324" i="11"/>
  <c r="AC323" i="11" s="1"/>
  <c r="Q323" i="11"/>
  <c r="AC322" i="11"/>
  <c r="Q322" i="11"/>
  <c r="AC321" i="11"/>
  <c r="Q321" i="11"/>
  <c r="AC320" i="11" s="1"/>
  <c r="Q320" i="11"/>
  <c r="AC319" i="11" s="1"/>
  <c r="AC318" i="11"/>
  <c r="AC317" i="11"/>
  <c r="AC316" i="11"/>
  <c r="AC315" i="11"/>
  <c r="AC314" i="11"/>
  <c r="R314" i="11"/>
  <c r="AC313" i="11"/>
  <c r="AC312" i="11"/>
  <c r="AC311" i="11"/>
  <c r="AC310" i="11"/>
  <c r="AC309" i="11"/>
  <c r="AC308" i="11"/>
  <c r="AC307" i="11"/>
  <c r="AC306" i="11"/>
  <c r="AC305" i="11"/>
  <c r="AC304" i="11"/>
  <c r="AC303" i="11"/>
  <c r="AC302" i="11"/>
  <c r="AK301" i="11"/>
  <c r="AC301" i="11"/>
  <c r="W301" i="11"/>
  <c r="T301" i="11"/>
  <c r="AK300" i="11"/>
  <c r="AL300" i="11" s="1" a="1"/>
  <c r="AL300" i="11" s="1"/>
  <c r="AC300" i="11"/>
  <c r="AK299" i="11"/>
  <c r="AC299" i="11"/>
  <c r="AK298" i="11"/>
  <c r="AC298" i="11"/>
  <c r="V298" i="11"/>
  <c r="AK297" i="11"/>
  <c r="AC297" i="11"/>
  <c r="X297" i="11"/>
  <c r="T297" i="11"/>
  <c r="AK296" i="11"/>
  <c r="AC296" i="11"/>
  <c r="AK295" i="11"/>
  <c r="AC295" i="11"/>
  <c r="AK294" i="11"/>
  <c r="AC294" i="11"/>
  <c r="AK293" i="11"/>
  <c r="AC293" i="11"/>
  <c r="AK292" i="11"/>
  <c r="AC292" i="11"/>
  <c r="AK291" i="11"/>
  <c r="AC291" i="11"/>
  <c r="AK290" i="11"/>
  <c r="AL290" i="11" s="1" a="1"/>
  <c r="AL290" i="11" s="1"/>
  <c r="AC290" i="11"/>
  <c r="AK289" i="11"/>
  <c r="AC289" i="11"/>
  <c r="AL288" i="11" a="1"/>
  <c r="AL288" i="11" s="1"/>
  <c r="AK288" i="11"/>
  <c r="AC288" i="11"/>
  <c r="AK287" i="11"/>
  <c r="AL287" i="11" s="1" a="1"/>
  <c r="AL287" i="11" s="1"/>
  <c r="AC287" i="11"/>
  <c r="S287" i="11"/>
  <c r="AK286" i="11"/>
  <c r="AC286" i="11"/>
  <c r="S286" i="11"/>
  <c r="AK285" i="11"/>
  <c r="AC285" i="11"/>
  <c r="AK284" i="11"/>
  <c r="AC284" i="11"/>
  <c r="Q284" i="11"/>
  <c r="AK283" i="11"/>
  <c r="AC283" i="11"/>
  <c r="Q283" i="11"/>
  <c r="AK282" i="11"/>
  <c r="AC282" i="11"/>
  <c r="Q282" i="11"/>
  <c r="AC281" i="11" s="1"/>
  <c r="AK281" i="11"/>
  <c r="Q281" i="11"/>
  <c r="AK280" i="11"/>
  <c r="AC280" i="11"/>
  <c r="Q280" i="11"/>
  <c r="AC279" i="11" s="1"/>
  <c r="AK279" i="11"/>
  <c r="Q279" i="11"/>
  <c r="AC278" i="11" s="1"/>
  <c r="AK278" i="11"/>
  <c r="Q278" i="11"/>
  <c r="AC277" i="11" s="1"/>
  <c r="AK277" i="11"/>
  <c r="Q277" i="11"/>
  <c r="AK276" i="11"/>
  <c r="AL276" i="11" s="1" a="1"/>
  <c r="AL276" i="11" s="1"/>
  <c r="AC276" i="11"/>
  <c r="Q276" i="11"/>
  <c r="AK275" i="11"/>
  <c r="AC275" i="11"/>
  <c r="Q275" i="11"/>
  <c r="AK274" i="11"/>
  <c r="AL274" i="11" s="1" a="1"/>
  <c r="AL274" i="11" s="1"/>
  <c r="AC274" i="11"/>
  <c r="Q274" i="11"/>
  <c r="AC273" i="11" s="1"/>
  <c r="AK273" i="11"/>
  <c r="Q273" i="11"/>
  <c r="AK272" i="11"/>
  <c r="AC272" i="11"/>
  <c r="Q272" i="11"/>
  <c r="AK271" i="11"/>
  <c r="AC271" i="11"/>
  <c r="Q271" i="11"/>
  <c r="AC270" i="11" s="1"/>
  <c r="AK270" i="11"/>
  <c r="Q270" i="11"/>
  <c r="AC269" i="11" s="1"/>
  <c r="AK269" i="11"/>
  <c r="Q269" i="11"/>
  <c r="AC268" i="11" s="1"/>
  <c r="AK268" i="11"/>
  <c r="AL268" i="11" s="1" a="1"/>
  <c r="AL268" i="11" s="1"/>
  <c r="Q268" i="11"/>
  <c r="AC267" i="11" s="1"/>
  <c r="AK267" i="11"/>
  <c r="Q267" i="11"/>
  <c r="AK266" i="11"/>
  <c r="AC266" i="11"/>
  <c r="Q266" i="11"/>
  <c r="AK265" i="11"/>
  <c r="AC265" i="11"/>
  <c r="Q265" i="11"/>
  <c r="AK264" i="11"/>
  <c r="AC264" i="11"/>
  <c r="Q264" i="11"/>
  <c r="AK263" i="11"/>
  <c r="AC263" i="11"/>
  <c r="Q263" i="11"/>
  <c r="AK262" i="11"/>
  <c r="AC262" i="11"/>
  <c r="Q262" i="11"/>
  <c r="AC261" i="11" s="1"/>
  <c r="AK261" i="11"/>
  <c r="AK260" i="11"/>
  <c r="AC260" i="11"/>
  <c r="AK259" i="11"/>
  <c r="AL259" i="11" s="1" a="1"/>
  <c r="AL259" i="11" s="1"/>
  <c r="AC259" i="11"/>
  <c r="AK258" i="11"/>
  <c r="AL258" i="11" s="1" a="1"/>
  <c r="AL258" i="11" s="1"/>
  <c r="AC258" i="11"/>
  <c r="W258" i="11"/>
  <c r="AK257" i="11"/>
  <c r="AC257" i="11"/>
  <c r="AK256" i="11"/>
  <c r="AC256" i="11"/>
  <c r="AK255" i="11"/>
  <c r="AC255" i="11"/>
  <c r="AL254" i="11" a="1"/>
  <c r="AL254" i="11" s="1"/>
  <c r="AK254" i="11"/>
  <c r="AC254" i="11"/>
  <c r="AK253" i="11"/>
  <c r="AC253" i="11"/>
  <c r="X253" i="11"/>
  <c r="AK252" i="11"/>
  <c r="AC252" i="11"/>
  <c r="R252" i="11"/>
  <c r="AC251" i="11" s="1"/>
  <c r="AK251" i="11"/>
  <c r="AK250" i="11"/>
  <c r="AC250" i="11"/>
  <c r="AK249" i="11"/>
  <c r="AC249" i="11"/>
  <c r="V249" i="11"/>
  <c r="T249" i="11"/>
  <c r="AK248" i="11"/>
  <c r="AC248" i="11"/>
  <c r="AK247" i="11"/>
  <c r="AC247" i="11"/>
  <c r="AK246" i="11"/>
  <c r="AL246" i="11" s="1" a="1"/>
  <c r="AL246" i="11" s="1"/>
  <c r="AC246" i="11"/>
  <c r="AK245" i="11"/>
  <c r="AC245" i="11"/>
  <c r="AK244" i="11"/>
  <c r="AC244" i="11"/>
  <c r="AK243" i="11"/>
  <c r="AC243" i="11"/>
  <c r="V243" i="11"/>
  <c r="AL242" i="11" a="1"/>
  <c r="AL242" i="11" s="1"/>
  <c r="AK242" i="11"/>
  <c r="AC242" i="11"/>
  <c r="R242" i="11"/>
  <c r="AC241" i="11" s="1"/>
  <c r="AK241" i="11"/>
  <c r="AK240" i="11"/>
  <c r="AC240" i="11"/>
  <c r="AL239" i="11" a="1"/>
  <c r="AL239" i="11" s="1"/>
  <c r="AK239" i="11"/>
  <c r="AC239" i="11"/>
  <c r="AL238" i="11"/>
  <c r="AK238" i="11"/>
  <c r="AL238" i="11" s="1" a="1"/>
  <c r="AC238" i="11"/>
  <c r="AK237" i="11"/>
  <c r="AL237" i="11" s="1" a="1"/>
  <c r="AL237" i="11" s="1"/>
  <c r="AC237" i="11"/>
  <c r="AK236" i="11"/>
  <c r="AC236" i="11"/>
  <c r="AK235" i="11"/>
  <c r="AL235" i="11" s="1" a="1"/>
  <c r="AL235" i="11" s="1"/>
  <c r="AC235" i="11"/>
  <c r="AK234" i="11"/>
  <c r="AC234" i="11"/>
  <c r="AL233" i="11" a="1"/>
  <c r="AL233" i="11" s="1"/>
  <c r="AK233" i="11"/>
  <c r="AC233" i="11"/>
  <c r="AK232" i="11"/>
  <c r="AC232" i="11"/>
  <c r="AK231" i="11"/>
  <c r="AC231" i="11"/>
  <c r="AK230" i="11"/>
  <c r="AC230" i="11"/>
  <c r="AK229" i="11"/>
  <c r="AC229" i="11"/>
  <c r="AK228" i="11"/>
  <c r="AC228" i="11"/>
  <c r="AL227" i="11" a="1"/>
  <c r="AL227" i="11" s="1"/>
  <c r="AK227" i="11"/>
  <c r="AC227" i="11"/>
  <c r="V227" i="11"/>
  <c r="T227" i="11"/>
  <c r="AK226" i="11"/>
  <c r="AC226" i="11"/>
  <c r="AK225" i="11"/>
  <c r="AC225" i="11"/>
  <c r="AK224" i="11"/>
  <c r="AC224" i="11"/>
  <c r="AK223" i="11"/>
  <c r="AC223" i="11"/>
  <c r="AK222" i="11"/>
  <c r="AC222" i="11"/>
  <c r="AL221" i="11"/>
  <c r="AK221" i="11"/>
  <c r="AL221" i="11" s="1" a="1"/>
  <c r="AC221" i="11"/>
  <c r="AK220" i="11"/>
  <c r="AC220" i="11"/>
  <c r="AK219" i="11"/>
  <c r="AC219" i="11"/>
  <c r="AK218" i="11"/>
  <c r="AC218" i="11"/>
  <c r="AK217" i="11"/>
  <c r="AC217" i="11"/>
  <c r="AK216" i="11"/>
  <c r="AC216" i="11"/>
  <c r="AK215" i="11"/>
  <c r="AC215" i="11"/>
  <c r="AL214" i="11" a="1"/>
  <c r="AL214" i="11" s="1"/>
  <c r="AK214" i="11"/>
  <c r="AC214" i="11"/>
  <c r="AK213" i="11"/>
  <c r="AC213" i="11"/>
  <c r="T213" i="11"/>
  <c r="S213" i="11"/>
  <c r="AK212" i="11"/>
  <c r="AC212" i="11"/>
  <c r="AK211" i="11"/>
  <c r="AL211" i="11" s="1" a="1"/>
  <c r="AL211" i="11" s="1"/>
  <c r="AC211" i="11"/>
  <c r="Q211" i="11"/>
  <c r="AC210" i="11" s="1"/>
  <c r="AK210" i="11"/>
  <c r="AL210" i="11" s="1" a="1"/>
  <c r="AL210" i="11" s="1"/>
  <c r="Q210" i="11"/>
  <c r="AL209" i="11" a="1"/>
  <c r="AL209" i="11" s="1"/>
  <c r="AK209" i="11"/>
  <c r="AC209" i="11"/>
  <c r="Q209" i="11"/>
  <c r="AC208" i="11" s="1"/>
  <c r="AK208" i="11"/>
  <c r="Q208" i="11"/>
  <c r="AL207" i="11" a="1"/>
  <c r="AL207" i="11"/>
  <c r="AK207" i="11"/>
  <c r="AC207" i="11"/>
  <c r="Q207" i="11"/>
  <c r="AK206" i="11"/>
  <c r="AC206" i="11"/>
  <c r="Q206" i="11"/>
  <c r="AC205" i="11" s="1"/>
  <c r="AK205" i="11"/>
  <c r="Q205" i="11"/>
  <c r="AC204" i="11" s="1"/>
  <c r="AK204" i="11"/>
  <c r="Q204" i="11"/>
  <c r="AC203" i="11" s="1"/>
  <c r="AL203" i="11" a="1"/>
  <c r="AL203" i="11"/>
  <c r="AK203" i="11"/>
  <c r="Q203" i="11"/>
  <c r="AC202" i="11" s="1"/>
  <c r="AK202" i="11"/>
  <c r="Q202" i="11"/>
  <c r="AC201" i="11" s="1"/>
  <c r="AL201" i="11" a="1"/>
  <c r="AL201" i="11"/>
  <c r="AK201" i="11"/>
  <c r="Q201" i="11"/>
  <c r="AC200" i="11" s="1"/>
  <c r="AK200" i="11"/>
  <c r="AL200" i="11" s="1" a="1"/>
  <c r="AL200" i="11" s="1"/>
  <c r="Q200" i="11"/>
  <c r="AK199" i="11"/>
  <c r="AC199" i="11"/>
  <c r="Q199" i="11"/>
  <c r="AC198" i="11" s="1"/>
  <c r="AK198" i="11"/>
  <c r="Q198" i="11"/>
  <c r="AC197" i="11" s="1"/>
  <c r="AL197" i="11" a="1"/>
  <c r="AL197" i="11"/>
  <c r="AK197" i="11"/>
  <c r="Q197" i="11"/>
  <c r="AC196" i="11" s="1"/>
  <c r="AK196" i="11"/>
  <c r="Q196" i="11"/>
  <c r="AC195" i="11" s="1"/>
  <c r="AK195" i="11"/>
  <c r="Q195" i="11"/>
  <c r="AC194" i="11" s="1"/>
  <c r="AK194" i="11"/>
  <c r="AL194" i="11" s="1" a="1"/>
  <c r="AL194" i="11" s="1"/>
  <c r="Q194" i="11"/>
  <c r="AK193" i="11"/>
  <c r="AC193" i="11"/>
  <c r="Q193" i="11"/>
  <c r="AC192" i="11" s="1"/>
  <c r="AK192" i="11"/>
  <c r="Q192" i="11"/>
  <c r="AC191" i="11" s="1"/>
  <c r="AK191" i="11"/>
  <c r="Q191" i="11"/>
  <c r="AC190" i="11" s="1"/>
  <c r="AK190" i="11"/>
  <c r="AL190" i="11" s="1" a="1"/>
  <c r="AL190" i="11" s="1"/>
  <c r="Q190" i="11"/>
  <c r="AK189" i="11"/>
  <c r="AC189" i="11"/>
  <c r="Q189" i="11"/>
  <c r="AK188" i="11"/>
  <c r="AC188" i="11"/>
  <c r="Q188" i="11"/>
  <c r="AK187" i="11"/>
  <c r="AC187" i="11"/>
  <c r="Q187" i="11"/>
  <c r="AC186" i="11" s="1"/>
  <c r="AK186" i="11"/>
  <c r="Q186" i="11"/>
  <c r="AC185" i="11" s="1"/>
  <c r="AK185" i="11"/>
  <c r="AK184" i="11"/>
  <c r="AC184" i="11"/>
  <c r="AL183" i="11" a="1"/>
  <c r="AL183" i="11" s="1"/>
  <c r="AK183" i="11"/>
  <c r="AC183" i="11"/>
  <c r="U183" i="11"/>
  <c r="AK182" i="11"/>
  <c r="AL182" i="11" s="1" a="1"/>
  <c r="AL182" i="11" s="1"/>
  <c r="AC182" i="11"/>
  <c r="AK181" i="11"/>
  <c r="AC181" i="11"/>
  <c r="AK180" i="11"/>
  <c r="AC180" i="11"/>
  <c r="AK179" i="11"/>
  <c r="AC179" i="11"/>
  <c r="AK178" i="11"/>
  <c r="AC178" i="11"/>
  <c r="AK177" i="11"/>
  <c r="AL177" i="11" s="1" a="1"/>
  <c r="AL177" i="11" s="1"/>
  <c r="AC177" i="11"/>
  <c r="AL176" i="11" a="1"/>
  <c r="AL176" i="11" s="1"/>
  <c r="AK176" i="11"/>
  <c r="AC176" i="11"/>
  <c r="AK175" i="11"/>
  <c r="AC175" i="11"/>
  <c r="AK174" i="11"/>
  <c r="AC174" i="11"/>
  <c r="AL173" i="11" a="1"/>
  <c r="AL173" i="11" s="1"/>
  <c r="AK173" i="11"/>
  <c r="AC173" i="11"/>
  <c r="AL172" i="11" a="1"/>
  <c r="AL172" i="11"/>
  <c r="AK172" i="11"/>
  <c r="AC172" i="11"/>
  <c r="AK171" i="11"/>
  <c r="AC171" i="11"/>
  <c r="U171" i="11"/>
  <c r="AK170" i="11"/>
  <c r="AC170" i="11"/>
  <c r="AL169" i="11" a="1"/>
  <c r="AL169" i="11" s="1"/>
  <c r="AK169" i="11"/>
  <c r="AC169" i="11"/>
  <c r="AK168" i="11"/>
  <c r="AC168" i="11"/>
  <c r="AL167" i="11" a="1"/>
  <c r="AL167" i="11" s="1"/>
  <c r="AK167" i="11"/>
  <c r="AC167" i="11"/>
  <c r="AK166" i="11"/>
  <c r="AL166" i="11" s="1" a="1"/>
  <c r="AL166" i="11" s="1"/>
  <c r="AC166" i="11"/>
  <c r="AK165" i="11"/>
  <c r="AC165" i="11"/>
  <c r="R165" i="11"/>
  <c r="AL164" i="11" a="1"/>
  <c r="AL164" i="11" s="1"/>
  <c r="AK164" i="11"/>
  <c r="AC164" i="11"/>
  <c r="AK163" i="11"/>
  <c r="AC163" i="11"/>
  <c r="W163" i="11"/>
  <c r="V163" i="11"/>
  <c r="AK162" i="11"/>
  <c r="AL162" i="11" s="1" a="1"/>
  <c r="AL162" i="11" s="1"/>
  <c r="AC162" i="11"/>
  <c r="AK161" i="11"/>
  <c r="AC161" i="11"/>
  <c r="AK160" i="11"/>
  <c r="AC160" i="11"/>
  <c r="AK159" i="11"/>
  <c r="AC159" i="11"/>
  <c r="AK158" i="11"/>
  <c r="AC158" i="11"/>
  <c r="AK157" i="11"/>
  <c r="AC157" i="11"/>
  <c r="AK156" i="11"/>
  <c r="AC156" i="11"/>
  <c r="AK155" i="11"/>
  <c r="AL155" i="11" s="1" a="1"/>
  <c r="AL155" i="11" s="1"/>
  <c r="AC155" i="11"/>
  <c r="AK154" i="11"/>
  <c r="AC154" i="11"/>
  <c r="AK153" i="11"/>
  <c r="AC153" i="11"/>
  <c r="V153" i="11"/>
  <c r="AK152" i="11"/>
  <c r="AL152" i="11" s="1" a="1"/>
  <c r="AL152" i="11" s="1"/>
  <c r="AC152" i="11"/>
  <c r="U152" i="11"/>
  <c r="AK151" i="11"/>
  <c r="AC151" i="11"/>
  <c r="W151" i="11"/>
  <c r="AK150" i="11"/>
  <c r="AC150" i="11"/>
  <c r="W150" i="11"/>
  <c r="AK149" i="11"/>
  <c r="AC149" i="11"/>
  <c r="AL148" i="11" a="1"/>
  <c r="AL148" i="11"/>
  <c r="AK148" i="11"/>
  <c r="AC148" i="11"/>
  <c r="AK147" i="11"/>
  <c r="AC147" i="11"/>
  <c r="AL146" i="11" a="1"/>
  <c r="AL146" i="11" s="1"/>
  <c r="AK146" i="11"/>
  <c r="AC146" i="11"/>
  <c r="T146" i="11"/>
  <c r="R146" i="11"/>
  <c r="AK145" i="11"/>
  <c r="AC145" i="11"/>
  <c r="X145" i="11"/>
  <c r="V145" i="11"/>
  <c r="AK144" i="11"/>
  <c r="AC144" i="11"/>
  <c r="AL143" i="11" a="1"/>
  <c r="AL143" i="11" s="1"/>
  <c r="AK143" i="11"/>
  <c r="AC143" i="11"/>
  <c r="AK142" i="11"/>
  <c r="AC142" i="11"/>
  <c r="AK141" i="11"/>
  <c r="AC141" i="11"/>
  <c r="AK140" i="11"/>
  <c r="AC140" i="11"/>
  <c r="AK139" i="11"/>
  <c r="AL139" i="11" s="1" a="1"/>
  <c r="AL139" i="11" s="1"/>
  <c r="AC139" i="11"/>
  <c r="T139" i="11"/>
  <c r="AK138" i="11"/>
  <c r="AC138" i="11"/>
  <c r="AK137" i="11"/>
  <c r="AC137" i="11"/>
  <c r="AK136" i="11"/>
  <c r="AC136" i="11"/>
  <c r="AK135" i="11"/>
  <c r="AC135" i="11"/>
  <c r="AL134" i="11" a="1"/>
  <c r="AL134" i="11" s="1"/>
  <c r="AK134" i="11"/>
  <c r="AC134" i="11"/>
  <c r="AK133" i="11"/>
  <c r="AL133" i="11" s="1" a="1"/>
  <c r="AL133" i="11" s="1"/>
  <c r="AC133" i="11"/>
  <c r="AK132" i="11"/>
  <c r="AC132" i="11"/>
  <c r="AK131" i="11"/>
  <c r="AC131" i="11"/>
  <c r="X131" i="11"/>
  <c r="T131" i="11"/>
  <c r="AK130" i="11"/>
  <c r="AC130" i="11"/>
  <c r="AL129" i="11"/>
  <c r="AK129" i="11"/>
  <c r="AL129" i="11" s="1" a="1"/>
  <c r="AC129" i="11"/>
  <c r="AK128" i="11"/>
  <c r="AL128" i="11" s="1" a="1"/>
  <c r="AL128" i="11" s="1"/>
  <c r="AC128" i="11"/>
  <c r="AK127" i="11"/>
  <c r="AC127" i="11"/>
  <c r="V127" i="11"/>
  <c r="R127" i="11"/>
  <c r="AC126" i="11" s="1"/>
  <c r="AK126" i="11"/>
  <c r="Q126" i="11"/>
  <c r="AK125" i="11"/>
  <c r="AC125" i="11"/>
  <c r="Q125" i="11"/>
  <c r="AK124" i="11"/>
  <c r="AC124" i="11"/>
  <c r="Q124" i="11"/>
  <c r="AK123" i="11"/>
  <c r="AC123" i="11"/>
  <c r="Q123" i="11"/>
  <c r="AK122" i="11"/>
  <c r="AC122" i="11"/>
  <c r="Q122" i="11"/>
  <c r="AK121" i="11"/>
  <c r="AC121" i="11"/>
  <c r="Q121" i="11"/>
  <c r="AC120" i="11" s="1"/>
  <c r="AK120" i="11"/>
  <c r="Q120" i="11"/>
  <c r="AC119" i="11" s="1"/>
  <c r="AK119" i="11"/>
  <c r="Q119" i="11"/>
  <c r="AC118" i="11" s="1"/>
  <c r="AK118" i="11"/>
  <c r="AL118" i="11" s="1" a="1"/>
  <c r="AL118" i="11" s="1"/>
  <c r="Q118" i="11"/>
  <c r="AK117" i="11"/>
  <c r="AL117" i="11" s="1" a="1"/>
  <c r="AL117" i="11" s="1"/>
  <c r="AC117" i="11"/>
  <c r="Q117" i="11"/>
  <c r="AC116" i="11" s="1"/>
  <c r="AK116" i="11"/>
  <c r="Q116" i="11"/>
  <c r="AK115" i="11"/>
  <c r="AC115" i="11"/>
  <c r="Q115" i="11"/>
  <c r="AL114" i="11" a="1"/>
  <c r="AL114" i="11" s="1"/>
  <c r="AK114" i="11"/>
  <c r="AC114" i="11"/>
  <c r="Q114" i="11"/>
  <c r="AL113" i="11"/>
  <c r="AK113" i="11"/>
  <c r="AL113" i="11" s="1" a="1"/>
  <c r="AC113" i="11"/>
  <c r="Q113" i="11"/>
  <c r="AL112" i="11"/>
  <c r="AK112" i="11"/>
  <c r="AL112" i="11" s="1" a="1"/>
  <c r="AC112" i="11"/>
  <c r="Q112" i="11"/>
  <c r="AL111" i="11" a="1"/>
  <c r="AL111" i="11" s="1"/>
  <c r="AK111" i="11"/>
  <c r="AC111" i="11"/>
  <c r="Q111" i="11"/>
  <c r="AC110" i="11" s="1"/>
  <c r="AK110" i="11"/>
  <c r="AK109" i="11"/>
  <c r="AC109" i="11"/>
  <c r="AK108" i="11"/>
  <c r="AC108" i="11"/>
  <c r="AK107" i="11"/>
  <c r="AC107" i="11"/>
  <c r="AK106" i="11"/>
  <c r="AL106" i="11" s="1" a="1"/>
  <c r="AL106" i="11" s="1"/>
  <c r="AC106" i="11"/>
  <c r="AK105" i="11"/>
  <c r="AL105" i="11" s="1" a="1"/>
  <c r="AL105" i="11" s="1"/>
  <c r="AC105" i="11"/>
  <c r="AL104" i="11" a="1"/>
  <c r="AL104" i="11"/>
  <c r="AK104" i="11"/>
  <c r="AC104" i="11"/>
  <c r="AL103" i="11" a="1"/>
  <c r="AL103" i="11" s="1"/>
  <c r="AK103" i="11"/>
  <c r="AC103" i="11"/>
  <c r="AK102" i="11"/>
  <c r="AC102" i="11"/>
  <c r="AL101" i="11" a="1"/>
  <c r="AL101" i="11" s="1"/>
  <c r="AK101" i="11"/>
  <c r="AC101" i="11"/>
  <c r="AK100" i="11"/>
  <c r="AC100" i="11"/>
  <c r="AK99" i="11"/>
  <c r="AC99" i="11"/>
  <c r="AL98" i="11"/>
  <c r="AK98" i="11"/>
  <c r="AL98" i="11" s="1" a="1"/>
  <c r="AC98" i="11"/>
  <c r="V98" i="11"/>
  <c r="AK97" i="11"/>
  <c r="AC97" i="11"/>
  <c r="AK96" i="11"/>
  <c r="AL96" i="11" s="1" a="1"/>
  <c r="AL96" i="11" s="1"/>
  <c r="AC96" i="11"/>
  <c r="AK95" i="11"/>
  <c r="AC95" i="11"/>
  <c r="AK94" i="11"/>
  <c r="AC94" i="11"/>
  <c r="T94" i="11"/>
  <c r="AK93" i="11"/>
  <c r="AC93" i="11"/>
  <c r="AL92" i="11" a="1"/>
  <c r="AL92" i="11" s="1"/>
  <c r="AK92" i="11"/>
  <c r="AC92" i="11"/>
  <c r="AK91" i="11"/>
  <c r="AC91" i="11"/>
  <c r="AK90" i="11"/>
  <c r="AC90" i="11"/>
  <c r="AL89" i="11" a="1"/>
  <c r="AL89" i="11" s="1"/>
  <c r="AK89" i="11"/>
  <c r="AC89" i="11"/>
  <c r="AK88" i="11"/>
  <c r="AL88" i="11" s="1" a="1"/>
  <c r="AL88" i="11" s="1"/>
  <c r="AC88" i="11"/>
  <c r="AK87" i="11"/>
  <c r="AC87" i="11"/>
  <c r="AL86" i="11" a="1"/>
  <c r="AL86" i="11" s="1"/>
  <c r="AK86" i="11"/>
  <c r="AC86" i="11"/>
  <c r="AL85" i="11" a="1"/>
  <c r="AL85" i="11" s="1"/>
  <c r="AK85" i="11"/>
  <c r="AC85" i="11"/>
  <c r="AK84" i="11"/>
  <c r="AC84" i="11"/>
  <c r="AK83" i="11"/>
  <c r="AL83" i="11" s="1" a="1"/>
  <c r="AL83" i="11" s="1"/>
  <c r="AC83" i="11"/>
  <c r="AK82" i="11"/>
  <c r="AC82" i="11"/>
  <c r="AL81" i="11" a="1"/>
  <c r="AL81" i="11"/>
  <c r="AK81" i="11"/>
  <c r="AC81" i="11"/>
  <c r="AL80" i="11" a="1"/>
  <c r="AL80" i="11" s="1"/>
  <c r="AK80" i="11"/>
  <c r="AC80" i="11"/>
  <c r="AK79" i="11"/>
  <c r="AL79" i="11" s="1" a="1"/>
  <c r="AL79" i="11" s="1"/>
  <c r="AC79" i="11"/>
  <c r="W79" i="11"/>
  <c r="AK78" i="11"/>
  <c r="AL78" i="11" s="1" a="1"/>
  <c r="AL78" i="11" s="1"/>
  <c r="AC78" i="11"/>
  <c r="AL77" i="11" a="1"/>
  <c r="AL77" i="11" s="1"/>
  <c r="AK77" i="11"/>
  <c r="AC77" i="11"/>
  <c r="AL76" i="11" a="1"/>
  <c r="AL76" i="11" s="1"/>
  <c r="AK76" i="11"/>
  <c r="AC76" i="11"/>
  <c r="AK75" i="11"/>
  <c r="AL75" i="11" s="1" a="1"/>
  <c r="AL75" i="11" s="1"/>
  <c r="AC75" i="11"/>
  <c r="AL74" i="11" a="1"/>
  <c r="AL74" i="11" s="1"/>
  <c r="AK74" i="11"/>
  <c r="AC74" i="11"/>
  <c r="AK73" i="11"/>
  <c r="AC73" i="11"/>
  <c r="AK72" i="11"/>
  <c r="AC72" i="11"/>
  <c r="AK71" i="11"/>
  <c r="AL71" i="11" s="1" a="1"/>
  <c r="AL71" i="11" s="1"/>
  <c r="AC71" i="11"/>
  <c r="V71" i="11"/>
  <c r="AK70" i="11"/>
  <c r="AC70" i="11"/>
  <c r="AK69" i="11"/>
  <c r="AC69" i="11"/>
  <c r="AL68" i="11" a="1"/>
  <c r="AL68" i="11" s="1"/>
  <c r="AK68" i="11"/>
  <c r="AC68" i="11"/>
  <c r="AK67" i="11"/>
  <c r="AL67" i="11" s="1" a="1"/>
  <c r="AL67" i="11" s="1"/>
  <c r="AC67" i="11"/>
  <c r="AK66" i="11"/>
  <c r="AC66" i="11"/>
  <c r="AK65" i="11"/>
  <c r="AC65" i="11"/>
  <c r="AL64" i="11" a="1"/>
  <c r="AL64" i="11" s="1"/>
  <c r="AK64" i="11"/>
  <c r="AC64" i="11"/>
  <c r="AL63" i="11" a="1"/>
  <c r="AL63" i="11"/>
  <c r="AK63" i="11"/>
  <c r="AC63" i="11"/>
  <c r="AK62" i="11"/>
  <c r="AL62" i="11" s="1" a="1"/>
  <c r="AL62" i="11" s="1"/>
  <c r="AC62" i="11"/>
  <c r="AK61" i="11"/>
  <c r="AL61" i="11" s="1" a="1"/>
  <c r="AL61" i="11" s="1"/>
  <c r="AC61" i="11"/>
  <c r="AL60" i="11" a="1"/>
  <c r="AL60" i="11" s="1"/>
  <c r="AK60" i="11"/>
  <c r="AC60" i="11"/>
  <c r="AL59" i="11" a="1"/>
  <c r="AL59" i="11" s="1"/>
  <c r="AK59" i="11"/>
  <c r="AC59" i="11"/>
  <c r="R59" i="11"/>
  <c r="AK58" i="11"/>
  <c r="AC58" i="11"/>
  <c r="R58" i="11"/>
  <c r="AK57" i="11"/>
  <c r="AL57" i="11" s="1" a="1"/>
  <c r="AL57" i="11" s="1"/>
  <c r="AF57" i="11"/>
  <c r="AC57" i="11"/>
  <c r="AK56" i="11"/>
  <c r="AL56" i="11" s="1" a="1"/>
  <c r="AL56" i="11" s="1"/>
  <c r="AH56" i="11"/>
  <c r="AF56" i="11"/>
  <c r="AC56" i="11"/>
  <c r="AL55" i="11"/>
  <c r="AK55" i="11"/>
  <c r="AL55" i="11" s="1" a="1"/>
  <c r="AF55" i="11"/>
  <c r="AC55" i="11"/>
  <c r="AK54" i="11"/>
  <c r="AL54" i="11" s="1" a="1"/>
  <c r="AL54" i="11" s="1"/>
  <c r="AF54" i="11"/>
  <c r="AC54" i="11"/>
  <c r="AK53" i="11"/>
  <c r="AL53" i="11" s="1" a="1"/>
  <c r="AL53" i="11" s="1"/>
  <c r="AC53" i="11"/>
  <c r="AK52" i="11"/>
  <c r="AL52" i="11" s="1" a="1"/>
  <c r="AL52" i="11" s="1"/>
  <c r="AH52" i="11"/>
  <c r="AC52" i="11"/>
  <c r="AK51" i="11"/>
  <c r="AL51" i="11" s="1" a="1"/>
  <c r="AL51" i="11" s="1"/>
  <c r="AH51" i="11"/>
  <c r="AC51" i="11"/>
  <c r="AK50" i="11"/>
  <c r="AL50" i="11" s="1" a="1"/>
  <c r="AL50" i="11" s="1"/>
  <c r="AC50" i="11"/>
  <c r="AK49" i="11"/>
  <c r="AC49" i="11"/>
  <c r="AK48" i="11"/>
  <c r="AL48" i="11" s="1" a="1"/>
  <c r="AL48" i="11" s="1"/>
  <c r="AF48" i="11"/>
  <c r="AC48" i="11"/>
  <c r="Q48" i="11"/>
  <c r="AL47" i="11" a="1"/>
  <c r="AL47" i="11" s="1"/>
  <c r="AK47" i="11"/>
  <c r="AC47" i="11"/>
  <c r="Q47" i="11"/>
  <c r="AC46" i="11" s="1"/>
  <c r="AR46" i="11"/>
  <c r="AQ46" i="11"/>
  <c r="AP46" i="11"/>
  <c r="AO46" i="11"/>
  <c r="AN46" i="11"/>
  <c r="AL46" i="11" a="1"/>
  <c r="AL46" i="11" s="1"/>
  <c r="AK46" i="11"/>
  <c r="Q46" i="11"/>
  <c r="AC45" i="11" s="1"/>
  <c r="AR45" i="11"/>
  <c r="AQ45" i="11"/>
  <c r="AP45" i="11"/>
  <c r="AO45" i="11"/>
  <c r="AN45" i="11"/>
  <c r="AK45" i="11"/>
  <c r="Q45" i="11"/>
  <c r="AC44" i="11" s="1"/>
  <c r="AN44" i="11"/>
  <c r="AK44" i="11"/>
  <c r="Q44" i="11"/>
  <c r="AC43" i="11" s="1"/>
  <c r="AO43" i="11"/>
  <c r="AN43" i="11"/>
  <c r="AK43" i="11"/>
  <c r="Q43" i="11"/>
  <c r="AC42" i="11" s="1"/>
  <c r="AR42" i="11"/>
  <c r="AQ42" i="11"/>
  <c r="AP42" i="11"/>
  <c r="P76" i="2" s="1"/>
  <c r="AN42" i="11"/>
  <c r="AO42" i="11" s="1"/>
  <c r="AK42" i="11"/>
  <c r="Q42" i="11"/>
  <c r="AN41" i="11"/>
  <c r="AK41" i="11"/>
  <c r="AC41" i="11"/>
  <c r="Q41" i="11"/>
  <c r="AC40" i="11" s="1"/>
  <c r="AN40" i="11"/>
  <c r="AK40" i="11"/>
  <c r="Q40" i="11"/>
  <c r="AC39" i="11" s="1"/>
  <c r="AR39" i="11"/>
  <c r="AP39" i="11"/>
  <c r="AN39" i="11"/>
  <c r="AK39" i="11"/>
  <c r="Q39" i="11"/>
  <c r="AC38" i="11" s="1"/>
  <c r="AR38" i="11"/>
  <c r="AQ38" i="11"/>
  <c r="AO38" i="11"/>
  <c r="AN38" i="11"/>
  <c r="AK38" i="11"/>
  <c r="Q38" i="11"/>
  <c r="AC37" i="11" s="1"/>
  <c r="AO37" i="11"/>
  <c r="AN37" i="11"/>
  <c r="AL37" i="11" a="1"/>
  <c r="AL37" i="11" s="1"/>
  <c r="AK37" i="11"/>
  <c r="Q37" i="11"/>
  <c r="AR36" i="11"/>
  <c r="AQ36" i="11"/>
  <c r="AP36" i="11"/>
  <c r="AO36" i="11"/>
  <c r="AN36" i="11"/>
  <c r="AK36" i="11"/>
  <c r="AL36" i="11" s="1" a="1"/>
  <c r="AL36" i="11" s="1"/>
  <c r="AC36" i="11"/>
  <c r="Q36" i="11"/>
  <c r="AR35" i="11"/>
  <c r="AQ35" i="11"/>
  <c r="AN35" i="11"/>
  <c r="AK35" i="11"/>
  <c r="AL35" i="11" s="1" a="1"/>
  <c r="AL35" i="11" s="1"/>
  <c r="AC35" i="11"/>
  <c r="Q35" i="11"/>
  <c r="AN34" i="11"/>
  <c r="AK34" i="11"/>
  <c r="AL34" i="11" s="1" a="1"/>
  <c r="AL34" i="11" s="1"/>
  <c r="AC34" i="11"/>
  <c r="Q34" i="11"/>
  <c r="AN33" i="11"/>
  <c r="AK33" i="11"/>
  <c r="AL33" i="11" s="1" a="1"/>
  <c r="AL33" i="11" s="1"/>
  <c r="AC33" i="11"/>
  <c r="Z33" i="11"/>
  <c r="Q33" i="11"/>
  <c r="AB146" i="11" s="1" a="1"/>
  <c r="AB146" i="11" s="1"/>
  <c r="AN32" i="11"/>
  <c r="AK32" i="11"/>
  <c r="AL32" i="11" s="1" a="1"/>
  <c r="AL32" i="11" s="1"/>
  <c r="Z32" i="11"/>
  <c r="Q32" i="11"/>
  <c r="AN31" i="11"/>
  <c r="AK31" i="11"/>
  <c r="AC31" i="11"/>
  <c r="Z31" i="11"/>
  <c r="Q31" i="11"/>
  <c r="AR30" i="11"/>
  <c r="AQ30" i="11"/>
  <c r="AP30" i="11"/>
  <c r="AO30" i="11"/>
  <c r="AN30" i="11"/>
  <c r="AK30" i="11"/>
  <c r="AL30" i="11" s="1" a="1"/>
  <c r="AL30" i="11" s="1"/>
  <c r="AC30" i="11"/>
  <c r="Z30" i="11"/>
  <c r="Q30" i="11"/>
  <c r="AR29" i="11"/>
  <c r="AQ29" i="11"/>
  <c r="AN29" i="11"/>
  <c r="AK29" i="11"/>
  <c r="AR28" i="11"/>
  <c r="AQ28" i="11"/>
  <c r="AP28" i="11"/>
  <c r="AO28" i="11"/>
  <c r="AN28" i="11"/>
  <c r="AL28" i="11" a="1"/>
  <c r="AL28" i="11"/>
  <c r="AK28" i="11"/>
  <c r="AC28" i="11"/>
  <c r="AR27" i="11"/>
  <c r="AQ27" i="11"/>
  <c r="AP27" i="11"/>
  <c r="AO27" i="11"/>
  <c r="AN27" i="11"/>
  <c r="AL27" i="11" a="1"/>
  <c r="AL27" i="11" s="1"/>
  <c r="AK27" i="11"/>
  <c r="AC27" i="11"/>
  <c r="AR26" i="11"/>
  <c r="AQ26" i="11"/>
  <c r="AP26" i="11"/>
  <c r="AO26" i="11"/>
  <c r="AN26" i="11"/>
  <c r="AL26" i="11" a="1"/>
  <c r="AL26" i="11" s="1"/>
  <c r="AK26" i="11"/>
  <c r="AC26" i="11"/>
  <c r="AR25" i="11"/>
  <c r="AQ25" i="11"/>
  <c r="AP25" i="11"/>
  <c r="AO25" i="11"/>
  <c r="AN25" i="11"/>
  <c r="AK25" i="11"/>
  <c r="AL25" i="11" s="1" a="1"/>
  <c r="AL25" i="11" s="1"/>
  <c r="AC25" i="11"/>
  <c r="AR24" i="11"/>
  <c r="AQ24" i="11"/>
  <c r="AP24" i="11"/>
  <c r="AO24" i="11"/>
  <c r="AN24" i="11"/>
  <c r="AL24" i="11" a="1"/>
  <c r="AL24" i="11"/>
  <c r="AK24" i="11"/>
  <c r="AC24" i="11"/>
  <c r="AR23" i="11"/>
  <c r="AQ23" i="11"/>
  <c r="AP23" i="11"/>
  <c r="AO23" i="11"/>
  <c r="AN23" i="11"/>
  <c r="AL23" i="11" a="1"/>
  <c r="AL23" i="11" s="1"/>
  <c r="AK23" i="11"/>
  <c r="AC23" i="11"/>
  <c r="AR22" i="11"/>
  <c r="AQ22" i="11"/>
  <c r="AP22" i="11"/>
  <c r="AO22" i="11"/>
  <c r="AN22" i="11"/>
  <c r="AL22" i="11" a="1"/>
  <c r="AL22" i="11" s="1"/>
  <c r="AK22" i="11"/>
  <c r="AC22" i="11"/>
  <c r="AR21" i="11"/>
  <c r="AQ21" i="11"/>
  <c r="AP21" i="11"/>
  <c r="AO21" i="11"/>
  <c r="AN21" i="11"/>
  <c r="AK21" i="11"/>
  <c r="AL21" i="11" s="1" a="1"/>
  <c r="AL21" i="11" s="1"/>
  <c r="AC21" i="11"/>
  <c r="AN20" i="11"/>
  <c r="AR20" i="11" s="1"/>
  <c r="AK20" i="11"/>
  <c r="AL20" i="11" s="1" a="1"/>
  <c r="AL20" i="11" s="1"/>
  <c r="AC20" i="11"/>
  <c r="AN19" i="11"/>
  <c r="AR19" i="11" s="1"/>
  <c r="AK19" i="11"/>
  <c r="AL19" i="11" s="1" a="1"/>
  <c r="AL19" i="11" s="1"/>
  <c r="AC19" i="11"/>
  <c r="AN18" i="11"/>
  <c r="AR18" i="11" s="1"/>
  <c r="AL18" i="11" a="1"/>
  <c r="AL18" i="11" s="1"/>
  <c r="AK18" i="11"/>
  <c r="AC18" i="11"/>
  <c r="AP17" i="11"/>
  <c r="I66" i="2" s="1"/>
  <c r="AN17" i="11"/>
  <c r="AR17" i="11" s="1"/>
  <c r="AL17" i="11" a="1"/>
  <c r="AL17" i="11"/>
  <c r="AK17" i="11"/>
  <c r="AC17" i="11"/>
  <c r="AN16" i="11"/>
  <c r="AP16" i="11" s="1"/>
  <c r="B80" i="2" s="1"/>
  <c r="AK16" i="11"/>
  <c r="AL16" i="11" s="1" a="1"/>
  <c r="AL16" i="11" s="1"/>
  <c r="AC16" i="11"/>
  <c r="AN15" i="11"/>
  <c r="AR15" i="11" s="1"/>
  <c r="AL15" i="11" a="1"/>
  <c r="AL15" i="11"/>
  <c r="AK15" i="11"/>
  <c r="AC15" i="11"/>
  <c r="AN14" i="11"/>
  <c r="AQ14" i="11" s="1"/>
  <c r="AL14" i="11" a="1"/>
  <c r="AL14" i="11" s="1"/>
  <c r="AK14" i="11"/>
  <c r="AC14" i="11"/>
  <c r="AN13" i="11"/>
  <c r="AQ13" i="11" s="1"/>
  <c r="AK13" i="11"/>
  <c r="AL13" i="11" s="1" a="1"/>
  <c r="AL13" i="11" s="1"/>
  <c r="AC13" i="11"/>
  <c r="AN12" i="11"/>
  <c r="AP12" i="11" s="1"/>
  <c r="B76" i="2" s="1"/>
  <c r="AK12" i="11"/>
  <c r="AC12" i="11"/>
  <c r="AN11" i="11"/>
  <c r="AR11" i="11" s="1"/>
  <c r="AK11" i="11"/>
  <c r="AL11" i="11" s="1" a="1"/>
  <c r="AL11" i="11" s="1"/>
  <c r="AC11" i="11"/>
  <c r="AN10" i="11"/>
  <c r="AK10" i="11"/>
  <c r="AC10" i="11"/>
  <c r="AN9" i="11"/>
  <c r="AL9" i="11" a="1"/>
  <c r="AL9" i="11" s="1"/>
  <c r="AK9" i="11"/>
  <c r="AC9" i="11"/>
  <c r="AN8" i="11"/>
  <c r="AQ8" i="11" s="1"/>
  <c r="AK8" i="11"/>
  <c r="AL8" i="11" s="1" a="1"/>
  <c r="AL8" i="11" s="1"/>
  <c r="AC8" i="11"/>
  <c r="AN7" i="11"/>
  <c r="AK7" i="11"/>
  <c r="AL7" i="11" s="1" a="1"/>
  <c r="AL7" i="11" s="1"/>
  <c r="AC7" i="11"/>
  <c r="AN6" i="11"/>
  <c r="AK6" i="11"/>
  <c r="AL6" i="11" s="1" a="1"/>
  <c r="AL6" i="11" s="1"/>
  <c r="AC6" i="11"/>
  <c r="AN5" i="11"/>
  <c r="AP5" i="11" s="1"/>
  <c r="B69" i="2" s="1"/>
  <c r="AK5" i="11"/>
  <c r="AC5" i="11"/>
  <c r="AN4" i="11"/>
  <c r="AL4" i="11" a="1"/>
  <c r="AL4" i="11" s="1"/>
  <c r="AK4" i="11"/>
  <c r="AC4" i="11"/>
  <c r="AN3" i="11"/>
  <c r="AR3" i="11" s="1"/>
  <c r="AL3" i="11" a="1"/>
  <c r="AL3" i="11" s="1"/>
  <c r="AK3" i="11"/>
  <c r="AC3" i="11"/>
  <c r="AN2" i="11"/>
  <c r="AK2" i="11"/>
  <c r="AC2" i="11"/>
  <c r="A89" i="10"/>
  <c r="A88" i="10"/>
  <c r="A87" i="10"/>
  <c r="A86" i="10"/>
  <c r="A85" i="10"/>
  <c r="A84" i="10"/>
  <c r="A83" i="10"/>
  <c r="A82" i="10"/>
  <c r="A81" i="10"/>
  <c r="A80" i="10"/>
  <c r="A79" i="10"/>
  <c r="A77" i="10"/>
  <c r="A75" i="10"/>
  <c r="A73" i="10"/>
  <c r="A72" i="10"/>
  <c r="A71" i="10"/>
  <c r="A29" i="10"/>
  <c r="A28" i="10"/>
  <c r="A27" i="10"/>
  <c r="A26" i="10"/>
  <c r="A25" i="10"/>
  <c r="A24" i="10"/>
  <c r="G9" i="10"/>
  <c r="E9" i="10"/>
  <c r="G8" i="10"/>
  <c r="E8" i="10"/>
  <c r="G7" i="10"/>
  <c r="E7" i="10"/>
  <c r="G6" i="10"/>
  <c r="E6" i="10"/>
  <c r="E5" i="10"/>
  <c r="E4" i="10"/>
  <c r="G4" i="10" s="1"/>
  <c r="E3" i="10"/>
  <c r="G3" i="10" s="1"/>
  <c r="E2" i="10"/>
  <c r="D23" i="2" s="1"/>
  <c r="K59" i="9"/>
  <c r="AR58" i="9"/>
  <c r="AQ58" i="9"/>
  <c r="AP58" i="9"/>
  <c r="AO58" i="9"/>
  <c r="AN58" i="9"/>
  <c r="AM58" i="9"/>
  <c r="AL58" i="9"/>
  <c r="AK58" i="9"/>
  <c r="AJ58" i="9"/>
  <c r="AI58" i="9"/>
  <c r="AH58" i="9"/>
  <c r="AG58" i="9"/>
  <c r="AF58" i="9"/>
  <c r="AE58" i="9"/>
  <c r="AD58" i="9"/>
  <c r="AC58" i="9"/>
  <c r="AB58" i="9"/>
  <c r="AA58" i="9"/>
  <c r="Z58" i="9"/>
  <c r="Y58" i="9"/>
  <c r="K58" i="9"/>
  <c r="AR57" i="9"/>
  <c r="AQ57" i="9"/>
  <c r="AP57" i="9"/>
  <c r="AO57" i="9"/>
  <c r="AN57" i="9"/>
  <c r="AM57" i="9"/>
  <c r="AL57" i="9"/>
  <c r="AK57" i="9"/>
  <c r="AJ57" i="9"/>
  <c r="AI57" i="9"/>
  <c r="AH57" i="9"/>
  <c r="AG57" i="9"/>
  <c r="AF57" i="9"/>
  <c r="AE57" i="9"/>
  <c r="AD57" i="9"/>
  <c r="AC57" i="9"/>
  <c r="AB57" i="9"/>
  <c r="AA57" i="9"/>
  <c r="Z57" i="9"/>
  <c r="Y57" i="9"/>
  <c r="K57" i="9"/>
  <c r="AR56" i="9"/>
  <c r="AQ56" i="9"/>
  <c r="AP56" i="9"/>
  <c r="AO56" i="9"/>
  <c r="AN56" i="9"/>
  <c r="AM56" i="9"/>
  <c r="AL56" i="9"/>
  <c r="AK56" i="9"/>
  <c r="AJ56" i="9"/>
  <c r="AI56" i="9"/>
  <c r="AH56" i="9"/>
  <c r="AG56" i="9"/>
  <c r="AF56" i="9"/>
  <c r="AE56" i="9"/>
  <c r="AD56" i="9"/>
  <c r="AC56" i="9"/>
  <c r="AB56" i="9"/>
  <c r="AA56" i="9"/>
  <c r="Z56" i="9"/>
  <c r="Y56" i="9"/>
  <c r="K56" i="9"/>
  <c r="AR55" i="9"/>
  <c r="AQ55" i="9"/>
  <c r="AP55" i="9"/>
  <c r="AO55" i="9"/>
  <c r="AN55" i="9"/>
  <c r="AM55" i="9"/>
  <c r="AL55" i="9"/>
  <c r="AK55" i="9"/>
  <c r="AJ55" i="9"/>
  <c r="AI55" i="9"/>
  <c r="AH55" i="9"/>
  <c r="AG55" i="9"/>
  <c r="AF55" i="9"/>
  <c r="AE55" i="9"/>
  <c r="AD55" i="9"/>
  <c r="AC55" i="9"/>
  <c r="AB55" i="9"/>
  <c r="AA55" i="9"/>
  <c r="Z55" i="9"/>
  <c r="Y55" i="9"/>
  <c r="K55" i="9"/>
  <c r="AR54" i="9"/>
  <c r="AQ54" i="9"/>
  <c r="AP54" i="9"/>
  <c r="AO54" i="9"/>
  <c r="AN54" i="9"/>
  <c r="AM54" i="9"/>
  <c r="AL54" i="9"/>
  <c r="AK54" i="9"/>
  <c r="AJ54" i="9"/>
  <c r="AI54" i="9"/>
  <c r="AH54" i="9"/>
  <c r="AG54" i="9"/>
  <c r="AF54" i="9"/>
  <c r="AE54" i="9"/>
  <c r="AD54" i="9"/>
  <c r="AC54" i="9"/>
  <c r="AB54" i="9"/>
  <c r="AA54" i="9"/>
  <c r="Z54" i="9"/>
  <c r="Y54" i="9"/>
  <c r="K54" i="9"/>
  <c r="AR53" i="9"/>
  <c r="AQ53" i="9"/>
  <c r="AP53" i="9"/>
  <c r="AO53" i="9"/>
  <c r="AN53" i="9"/>
  <c r="AM53" i="9"/>
  <c r="AL53" i="9"/>
  <c r="AK53" i="9"/>
  <c r="AJ53" i="9"/>
  <c r="AI53" i="9"/>
  <c r="AH53" i="9"/>
  <c r="AG53" i="9"/>
  <c r="AF53" i="9"/>
  <c r="AE53" i="9"/>
  <c r="AD53" i="9"/>
  <c r="AC53" i="9"/>
  <c r="AB53" i="9"/>
  <c r="AA53" i="9"/>
  <c r="Z53" i="9"/>
  <c r="Y53" i="9"/>
  <c r="X53" i="9"/>
  <c r="W53" i="9"/>
  <c r="V53" i="9"/>
  <c r="U53" i="9"/>
  <c r="T53" i="9"/>
  <c r="S53" i="9"/>
  <c r="K53" i="9"/>
  <c r="AR52" i="9"/>
  <c r="AQ52" i="9"/>
  <c r="AP52" i="9"/>
  <c r="AO52" i="9"/>
  <c r="AN52" i="9"/>
  <c r="AM52" i="9"/>
  <c r="AL52" i="9"/>
  <c r="AK52" i="9"/>
  <c r="AJ52" i="9"/>
  <c r="AI52" i="9"/>
  <c r="AH52" i="9"/>
  <c r="AG52" i="9"/>
  <c r="AF52" i="9"/>
  <c r="AE52" i="9"/>
  <c r="AD52" i="9"/>
  <c r="AC52" i="9"/>
  <c r="AB52" i="9"/>
  <c r="AA52" i="9"/>
  <c r="Z52" i="9"/>
  <c r="Y52" i="9"/>
  <c r="X52" i="9"/>
  <c r="W52" i="9"/>
  <c r="V52" i="9"/>
  <c r="U52" i="9"/>
  <c r="T52" i="9"/>
  <c r="S52" i="9"/>
  <c r="K52" i="9"/>
  <c r="K51" i="9"/>
  <c r="K50" i="9"/>
  <c r="K49" i="9"/>
  <c r="K48" i="9"/>
  <c r="K47" i="9"/>
  <c r="K46" i="9"/>
  <c r="AR45" i="9"/>
  <c r="AQ45" i="9"/>
  <c r="AL45" i="9"/>
  <c r="AK45" i="9"/>
  <c r="Z45" i="9"/>
  <c r="Y45" i="9"/>
  <c r="K45" i="9"/>
  <c r="K44" i="9"/>
  <c r="K43" i="9"/>
  <c r="K42" i="9"/>
  <c r="K41" i="9"/>
  <c r="K40" i="9"/>
  <c r="K39" i="9"/>
  <c r="K38" i="9"/>
  <c r="K37" i="9"/>
  <c r="K36" i="9"/>
  <c r="K35" i="9"/>
  <c r="K34" i="9"/>
  <c r="K33" i="9"/>
  <c r="AX32" i="9"/>
  <c r="AW32" i="9"/>
  <c r="AV32" i="9"/>
  <c r="AU32" i="9"/>
  <c r="AT32" i="9"/>
  <c r="AS32" i="9"/>
  <c r="AR32" i="9"/>
  <c r="AQ32" i="9"/>
  <c r="AP32" i="9"/>
  <c r="AO32" i="9"/>
  <c r="AN32" i="9"/>
  <c r="AM32" i="9"/>
  <c r="AL32" i="9"/>
  <c r="AK32" i="9"/>
  <c r="AJ32" i="9"/>
  <c r="AI32" i="9"/>
  <c r="AH32" i="9"/>
  <c r="AG32" i="9"/>
  <c r="AF32" i="9"/>
  <c r="AE32" i="9"/>
  <c r="AD32" i="9"/>
  <c r="AC32" i="9"/>
  <c r="AB32" i="9"/>
  <c r="AA32" i="9"/>
  <c r="Z32" i="9"/>
  <c r="Y32" i="9"/>
  <c r="X32" i="9"/>
  <c r="W32" i="9"/>
  <c r="V32" i="9"/>
  <c r="U32" i="9"/>
  <c r="T32" i="9"/>
  <c r="S32" i="9"/>
  <c r="K32" i="9"/>
  <c r="AX31" i="9"/>
  <c r="AW31" i="9"/>
  <c r="AV31" i="9"/>
  <c r="AU31" i="9"/>
  <c r="AT31" i="9"/>
  <c r="AS31" i="9"/>
  <c r="AR31" i="9"/>
  <c r="AQ31" i="9"/>
  <c r="AP31" i="9"/>
  <c r="AO31" i="9"/>
  <c r="AN31" i="9"/>
  <c r="AM31" i="9"/>
  <c r="AL31" i="9"/>
  <c r="AK31" i="9"/>
  <c r="AJ31" i="9"/>
  <c r="AI31" i="9"/>
  <c r="AH31" i="9"/>
  <c r="AG31" i="9"/>
  <c r="AF31" i="9"/>
  <c r="AE31" i="9"/>
  <c r="AD31" i="9"/>
  <c r="AC31" i="9"/>
  <c r="AB31" i="9"/>
  <c r="AA31" i="9"/>
  <c r="Z31" i="9"/>
  <c r="Y31" i="9"/>
  <c r="X31" i="9"/>
  <c r="W31" i="9"/>
  <c r="V31" i="9"/>
  <c r="U31" i="9"/>
  <c r="T31" i="9"/>
  <c r="S31" i="9"/>
  <c r="K31" i="9"/>
  <c r="AX30" i="9"/>
  <c r="AW30" i="9"/>
  <c r="AV30" i="9"/>
  <c r="AU30" i="9"/>
  <c r="AT30" i="9"/>
  <c r="AS30" i="9"/>
  <c r="AR30" i="9"/>
  <c r="AQ30" i="9"/>
  <c r="AP30" i="9"/>
  <c r="AO30" i="9"/>
  <c r="AN30" i="9"/>
  <c r="AM30" i="9"/>
  <c r="AL30" i="9"/>
  <c r="AK30" i="9"/>
  <c r="AJ30" i="9"/>
  <c r="AI30" i="9"/>
  <c r="AH30" i="9"/>
  <c r="AG30" i="9"/>
  <c r="AF30" i="9"/>
  <c r="AE30" i="9"/>
  <c r="AD30" i="9"/>
  <c r="AC30" i="9"/>
  <c r="AB30" i="9"/>
  <c r="AA30" i="9"/>
  <c r="Z30" i="9"/>
  <c r="Y30" i="9"/>
  <c r="X30" i="9"/>
  <c r="W30" i="9"/>
  <c r="V30" i="9"/>
  <c r="U30" i="9"/>
  <c r="T30" i="9"/>
  <c r="S30" i="9"/>
  <c r="K30" i="9"/>
  <c r="AX29" i="9"/>
  <c r="AW29" i="9"/>
  <c r="AV29" i="9"/>
  <c r="AU29" i="9"/>
  <c r="AT29" i="9"/>
  <c r="AS29" i="9"/>
  <c r="AR29" i="9"/>
  <c r="AQ29" i="9"/>
  <c r="AP29" i="9"/>
  <c r="AO29" i="9"/>
  <c r="AN29" i="9"/>
  <c r="AM29" i="9"/>
  <c r="AL29" i="9"/>
  <c r="AK29" i="9"/>
  <c r="AJ29" i="9"/>
  <c r="AI29" i="9"/>
  <c r="AH29" i="9"/>
  <c r="AG29" i="9"/>
  <c r="AF29" i="9"/>
  <c r="AE29" i="9"/>
  <c r="AD29" i="9"/>
  <c r="AC29" i="9"/>
  <c r="AB29" i="9"/>
  <c r="AA29" i="9"/>
  <c r="Z29" i="9"/>
  <c r="Y29" i="9"/>
  <c r="X29" i="9"/>
  <c r="W29" i="9"/>
  <c r="V29" i="9"/>
  <c r="U29" i="9"/>
  <c r="T29" i="9"/>
  <c r="S29" i="9"/>
  <c r="K29" i="9"/>
  <c r="A29" i="9"/>
  <c r="AX28" i="9"/>
  <c r="AW28" i="9"/>
  <c r="AV28" i="9"/>
  <c r="AU28" i="9"/>
  <c r="AT28" i="9"/>
  <c r="AS28" i="9"/>
  <c r="AR28" i="9"/>
  <c r="AQ28" i="9"/>
  <c r="AP28" i="9"/>
  <c r="AO28" i="9"/>
  <c r="AN28" i="9"/>
  <c r="AM28" i="9"/>
  <c r="AL28" i="9"/>
  <c r="AK28" i="9"/>
  <c r="AJ28" i="9"/>
  <c r="AI28" i="9"/>
  <c r="AH28" i="9"/>
  <c r="AG28" i="9"/>
  <c r="AF28" i="9"/>
  <c r="AE28" i="9"/>
  <c r="AD28" i="9"/>
  <c r="AC28" i="9"/>
  <c r="AB28" i="9"/>
  <c r="AA28" i="9"/>
  <c r="Z28" i="9"/>
  <c r="Y28" i="9"/>
  <c r="X28" i="9"/>
  <c r="W28" i="9"/>
  <c r="V28" i="9"/>
  <c r="U28" i="9"/>
  <c r="T28" i="9"/>
  <c r="S28" i="9"/>
  <c r="K28" i="9"/>
  <c r="A28" i="9"/>
  <c r="AX27" i="9"/>
  <c r="AW27" i="9"/>
  <c r="AV27" i="9"/>
  <c r="AU27" i="9"/>
  <c r="AT27" i="9"/>
  <c r="AS27" i="9"/>
  <c r="AR27" i="9"/>
  <c r="AQ27" i="9"/>
  <c r="AP27" i="9"/>
  <c r="AO27" i="9"/>
  <c r="AN27" i="9"/>
  <c r="AM27" i="9"/>
  <c r="AL27" i="9"/>
  <c r="AK27" i="9"/>
  <c r="AJ27" i="9"/>
  <c r="AI27" i="9"/>
  <c r="AH27" i="9"/>
  <c r="AG27" i="9"/>
  <c r="AF27" i="9"/>
  <c r="AE27" i="9"/>
  <c r="AD27" i="9"/>
  <c r="AC27" i="9"/>
  <c r="AB27" i="9"/>
  <c r="AA27" i="9"/>
  <c r="Z27" i="9"/>
  <c r="Y27" i="9"/>
  <c r="X27" i="9"/>
  <c r="W27" i="9"/>
  <c r="V27" i="9"/>
  <c r="U27" i="9"/>
  <c r="T27" i="9"/>
  <c r="S27" i="9"/>
  <c r="K27" i="9"/>
  <c r="A27" i="9"/>
  <c r="C27" i="9" s="1"/>
  <c r="Z26" i="9"/>
  <c r="Y26" i="9"/>
  <c r="K26" i="9"/>
  <c r="A26" i="9"/>
  <c r="AX25" i="9"/>
  <c r="AW25" i="9"/>
  <c r="AV25" i="9"/>
  <c r="AU25" i="9"/>
  <c r="AT25" i="9"/>
  <c r="AS25" i="9"/>
  <c r="AR25" i="9"/>
  <c r="AQ25" i="9"/>
  <c r="AP25" i="9"/>
  <c r="AO25" i="9"/>
  <c r="AN25" i="9"/>
  <c r="AM25" i="9"/>
  <c r="AL25" i="9"/>
  <c r="AK25" i="9"/>
  <c r="AJ25" i="9"/>
  <c r="AI25" i="9"/>
  <c r="AH25" i="9"/>
  <c r="AG25" i="9"/>
  <c r="AF25" i="9"/>
  <c r="AE25" i="9"/>
  <c r="AD25" i="9"/>
  <c r="AC25" i="9"/>
  <c r="AB25" i="9"/>
  <c r="AA25" i="9"/>
  <c r="Z25" i="9"/>
  <c r="Y25" i="9"/>
  <c r="X25" i="9"/>
  <c r="W25" i="9"/>
  <c r="V25" i="9"/>
  <c r="U25" i="9"/>
  <c r="T25" i="9"/>
  <c r="S25" i="9"/>
  <c r="K25" i="9"/>
  <c r="A25" i="9"/>
  <c r="AX24" i="9"/>
  <c r="AW24" i="9"/>
  <c r="AV24" i="9"/>
  <c r="AU24" i="9"/>
  <c r="AT24" i="9"/>
  <c r="AS24" i="9"/>
  <c r="AR24" i="9"/>
  <c r="AQ24" i="9"/>
  <c r="AP24" i="9"/>
  <c r="AO24" i="9"/>
  <c r="AN24" i="9"/>
  <c r="AM24" i="9"/>
  <c r="AL24" i="9"/>
  <c r="AK24" i="9"/>
  <c r="AJ24" i="9"/>
  <c r="AI24" i="9"/>
  <c r="AH24" i="9"/>
  <c r="AG24" i="9"/>
  <c r="AF24" i="9"/>
  <c r="AE24" i="9"/>
  <c r="AD24" i="9"/>
  <c r="AC24" i="9"/>
  <c r="AB24" i="9"/>
  <c r="AA24" i="9"/>
  <c r="Z24" i="9"/>
  <c r="Y24" i="9"/>
  <c r="X24" i="9"/>
  <c r="W24" i="9"/>
  <c r="V24" i="9"/>
  <c r="U24" i="9"/>
  <c r="T24" i="9"/>
  <c r="S24" i="9"/>
  <c r="K24" i="9"/>
  <c r="E30" i="9" s="1" a="1"/>
  <c r="E30" i="9" s="1"/>
  <c r="AX23" i="9"/>
  <c r="AW23" i="9"/>
  <c r="AV23" i="9"/>
  <c r="AU23" i="9"/>
  <c r="AT23" i="9"/>
  <c r="AS23" i="9"/>
  <c r="AR23" i="9"/>
  <c r="AQ23" i="9"/>
  <c r="AP23" i="9"/>
  <c r="AO23" i="9"/>
  <c r="AN23" i="9"/>
  <c r="AM23" i="9"/>
  <c r="AL23" i="9"/>
  <c r="AK23" i="9"/>
  <c r="AJ23" i="9"/>
  <c r="AI23" i="9"/>
  <c r="AH23" i="9"/>
  <c r="AG23" i="9"/>
  <c r="AF23" i="9"/>
  <c r="AE23" i="9"/>
  <c r="AD23" i="9"/>
  <c r="AC23" i="9"/>
  <c r="AB23" i="9"/>
  <c r="AA23" i="9"/>
  <c r="Z23" i="9"/>
  <c r="Y23" i="9"/>
  <c r="X23" i="9"/>
  <c r="W23" i="9"/>
  <c r="V23" i="9"/>
  <c r="U23" i="9"/>
  <c r="T23" i="9"/>
  <c r="S23" i="9"/>
  <c r="K23"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K22" i="9"/>
  <c r="AU21" i="9"/>
  <c r="AR21" i="9"/>
  <c r="AQ21" i="9"/>
  <c r="AP21" i="9"/>
  <c r="AN21" i="9"/>
  <c r="AM21" i="9"/>
  <c r="AL21" i="9"/>
  <c r="AK21" i="9"/>
  <c r="AJ21" i="9"/>
  <c r="AG21" i="9"/>
  <c r="AD21" i="9"/>
  <c r="AC21" i="9"/>
  <c r="AB21" i="9"/>
  <c r="X21" i="9"/>
  <c r="V21" i="9"/>
  <c r="U21" i="9"/>
  <c r="Q21" i="9"/>
  <c r="P21" i="9"/>
  <c r="O21" i="9"/>
  <c r="K21" i="9"/>
  <c r="AX20" i="9"/>
  <c r="AX21" i="9" s="1"/>
  <c r="AW20" i="9"/>
  <c r="AW21" i="9" s="1"/>
  <c r="AV20" i="9"/>
  <c r="AV21" i="9" s="1"/>
  <c r="AU20" i="9"/>
  <c r="AT20" i="9"/>
  <c r="AT21" i="9" s="1"/>
  <c r="AS20" i="9"/>
  <c r="AS21" i="9" s="1"/>
  <c r="AR20" i="9"/>
  <c r="AQ20" i="9"/>
  <c r="AP20" i="9"/>
  <c r="AO20" i="9"/>
  <c r="AO21" i="9" s="1"/>
  <c r="AN20" i="9"/>
  <c r="AM20" i="9"/>
  <c r="AL20" i="9"/>
  <c r="AK20" i="9"/>
  <c r="AJ20" i="9"/>
  <c r="AI20" i="9"/>
  <c r="AI21" i="9" s="1"/>
  <c r="AH20" i="9"/>
  <c r="AH21" i="9" s="1"/>
  <c r="AG20" i="9"/>
  <c r="AF20" i="9"/>
  <c r="AF21" i="9" s="1"/>
  <c r="AE20" i="9"/>
  <c r="AE21" i="9" s="1"/>
  <c r="AD20" i="9"/>
  <c r="AC20" i="9"/>
  <c r="AB20" i="9"/>
  <c r="AA20" i="9"/>
  <c r="AA21" i="9" s="1"/>
  <c r="Z20" i="9"/>
  <c r="Z21" i="9" s="1"/>
  <c r="Y20" i="9"/>
  <c r="Y21" i="9" s="1"/>
  <c r="X20" i="9"/>
  <c r="W20" i="9"/>
  <c r="W21" i="9" s="1"/>
  <c r="V20" i="9"/>
  <c r="U20" i="9"/>
  <c r="T20" i="9"/>
  <c r="T21" i="9" s="1"/>
  <c r="S20" i="9"/>
  <c r="S21" i="9" s="1"/>
  <c r="K20" i="9"/>
  <c r="AX17" i="9"/>
  <c r="AW17" i="9"/>
  <c r="AV17" i="9"/>
  <c r="AU17" i="9"/>
  <c r="AT17" i="9"/>
  <c r="AS17" i="9"/>
  <c r="AR17" i="9"/>
  <c r="AQ17" i="9"/>
  <c r="AP17" i="9"/>
  <c r="AO17" i="9"/>
  <c r="AN17" i="9"/>
  <c r="AM17" i="9"/>
  <c r="AL17" i="9"/>
  <c r="AK17" i="9"/>
  <c r="AJ17" i="9"/>
  <c r="AI17" i="9"/>
  <c r="AH17" i="9"/>
  <c r="AG17" i="9"/>
  <c r="AF17" i="9"/>
  <c r="AE17" i="9"/>
  <c r="AD17" i="9"/>
  <c r="AC17" i="9"/>
  <c r="AB17" i="9"/>
  <c r="AA17" i="9"/>
  <c r="Z17" i="9"/>
  <c r="Y17" i="9"/>
  <c r="X17" i="9"/>
  <c r="W17" i="9"/>
  <c r="V17" i="9"/>
  <c r="U17" i="9"/>
  <c r="T17" i="9"/>
  <c r="S17" i="9"/>
  <c r="N17" i="9"/>
  <c r="M17" i="9"/>
  <c r="AX13" i="9"/>
  <c r="AW13" i="9"/>
  <c r="AV13" i="9"/>
  <c r="AU13" i="9"/>
  <c r="AT13" i="9"/>
  <c r="AS13" i="9"/>
  <c r="AR13" i="9"/>
  <c r="AQ13" i="9"/>
  <c r="AP13" i="9"/>
  <c r="AO13" i="9"/>
  <c r="AN13" i="9"/>
  <c r="AM13" i="9"/>
  <c r="AL13" i="9"/>
  <c r="AK13" i="9"/>
  <c r="AJ13" i="9"/>
  <c r="AI13" i="9"/>
  <c r="AH13" i="9"/>
  <c r="AG13" i="9"/>
  <c r="AF13" i="9"/>
  <c r="AE13" i="9"/>
  <c r="AD13" i="9"/>
  <c r="AC13" i="9"/>
  <c r="AB13" i="9"/>
  <c r="AA13" i="9"/>
  <c r="Z13" i="9"/>
  <c r="Y13" i="9"/>
  <c r="X13" i="9"/>
  <c r="W13" i="9"/>
  <c r="V13" i="9"/>
  <c r="U13" i="9"/>
  <c r="T13" i="9"/>
  <c r="S13" i="9"/>
  <c r="O13" i="9"/>
  <c r="N13" i="9"/>
  <c r="M13" i="9"/>
  <c r="AX10" i="9"/>
  <c r="AW10" i="9"/>
  <c r="AV10" i="9"/>
  <c r="AU10" i="9"/>
  <c r="AT10" i="9"/>
  <c r="AS10" i="9"/>
  <c r="AR10" i="9"/>
  <c r="AQ10" i="9"/>
  <c r="AP10" i="9"/>
  <c r="AO10" i="9"/>
  <c r="AN10" i="9"/>
  <c r="AM10" i="9"/>
  <c r="AL10" i="9"/>
  <c r="AK10" i="9"/>
  <c r="AJ10" i="9"/>
  <c r="AI10" i="9"/>
  <c r="AH10" i="9"/>
  <c r="AG10" i="9"/>
  <c r="AF10" i="9"/>
  <c r="AE10" i="9"/>
  <c r="AD10" i="9"/>
  <c r="AC10" i="9"/>
  <c r="AB10" i="9"/>
  <c r="AA10" i="9"/>
  <c r="Z10" i="9"/>
  <c r="Y10" i="9"/>
  <c r="X10" i="9"/>
  <c r="W10" i="9"/>
  <c r="V10" i="9"/>
  <c r="U10" i="9"/>
  <c r="T10" i="9"/>
  <c r="S10" i="9"/>
  <c r="Q10" i="9"/>
  <c r="P10" i="9"/>
  <c r="M10" i="9"/>
  <c r="F10" i="9"/>
  <c r="F9" i="9"/>
  <c r="F8" i="9"/>
  <c r="AX7" i="9"/>
  <c r="AW7" i="9"/>
  <c r="AV7" i="9"/>
  <c r="AU7" i="9"/>
  <c r="AT7" i="9"/>
  <c r="AS7" i="9"/>
  <c r="AR7" i="9"/>
  <c r="AQ7" i="9"/>
  <c r="AP7" i="9"/>
  <c r="AO7" i="9"/>
  <c r="AN7" i="9"/>
  <c r="AM7" i="9"/>
  <c r="AL7" i="9"/>
  <c r="AK7" i="9"/>
  <c r="AJ7" i="9"/>
  <c r="AI7" i="9"/>
  <c r="AH7" i="9"/>
  <c r="AG7" i="9"/>
  <c r="AF7" i="9"/>
  <c r="AE7" i="9"/>
  <c r="AD7" i="9"/>
  <c r="AC7" i="9"/>
  <c r="AB7" i="9"/>
  <c r="AA7" i="9"/>
  <c r="Z7" i="9"/>
  <c r="Y7" i="9"/>
  <c r="X7" i="9"/>
  <c r="W7" i="9"/>
  <c r="V7" i="9"/>
  <c r="U7" i="9"/>
  <c r="T7" i="9"/>
  <c r="S7" i="9"/>
  <c r="Q7" i="9"/>
  <c r="P7" i="9"/>
  <c r="M7" i="9"/>
  <c r="F7" i="9"/>
  <c r="F6" i="9"/>
  <c r="AX5" i="9"/>
  <c r="AW5" i="9"/>
  <c r="AV5" i="9"/>
  <c r="AU5" i="9"/>
  <c r="AT5" i="9"/>
  <c r="AS5" i="9"/>
  <c r="AR5" i="9"/>
  <c r="AQ5" i="9"/>
  <c r="AP5" i="9"/>
  <c r="AO5" i="9"/>
  <c r="AN5" i="9"/>
  <c r="AM5" i="9"/>
  <c r="AL5" i="9"/>
  <c r="AK5" i="9"/>
  <c r="AJ5" i="9"/>
  <c r="AI5" i="9"/>
  <c r="AH5" i="9"/>
  <c r="AG5" i="9"/>
  <c r="AF5" i="9"/>
  <c r="AE5" i="9"/>
  <c r="AD5" i="9"/>
  <c r="AC5" i="9"/>
  <c r="AB5" i="9"/>
  <c r="AA5" i="9"/>
  <c r="Z5" i="9"/>
  <c r="Y5" i="9"/>
  <c r="X5" i="9"/>
  <c r="W5" i="9"/>
  <c r="V5" i="9"/>
  <c r="U5" i="9"/>
  <c r="T5" i="9"/>
  <c r="S5" i="9"/>
  <c r="Q5" i="9"/>
  <c r="P5" i="9"/>
  <c r="N5" i="9"/>
  <c r="M5" i="9"/>
  <c r="A2" i="9"/>
  <c r="A1" i="9"/>
  <c r="H1" i="9" s="1"/>
  <c r="F176" i="8"/>
  <c r="E176" i="8"/>
  <c r="D176" i="8"/>
  <c r="C176" i="8"/>
  <c r="F175" i="8"/>
  <c r="E175" i="8"/>
  <c r="D175" i="8"/>
  <c r="E173" i="8"/>
  <c r="D173" i="8"/>
  <c r="C173" i="8"/>
  <c r="E172" i="8"/>
  <c r="D172" i="8"/>
  <c r="F171" i="8"/>
  <c r="F170" i="8"/>
  <c r="E170" i="8"/>
  <c r="D170" i="8"/>
  <c r="C170" i="8"/>
  <c r="F169" i="8"/>
  <c r="E169" i="8"/>
  <c r="D169" i="8"/>
  <c r="C169" i="8"/>
  <c r="F168" i="8"/>
  <c r="E168" i="8"/>
  <c r="D168" i="8"/>
  <c r="C168" i="8"/>
  <c r="B167" i="8"/>
  <c r="F166" i="8"/>
  <c r="E166" i="8"/>
  <c r="D166" i="8"/>
  <c r="C166" i="8"/>
  <c r="F165" i="8"/>
  <c r="E165" i="8"/>
  <c r="D165" i="8"/>
  <c r="C165" i="8"/>
  <c r="F164" i="8"/>
  <c r="E164" i="8"/>
  <c r="D164" i="8"/>
  <c r="C164" i="8"/>
  <c r="B163" i="8"/>
  <c r="F162" i="8"/>
  <c r="E162" i="8"/>
  <c r="D162" i="8"/>
  <c r="C162" i="8"/>
  <c r="F161" i="8"/>
  <c r="E161" i="8"/>
  <c r="D161" i="8"/>
  <c r="C161" i="8"/>
  <c r="D160" i="8"/>
  <c r="C160" i="8"/>
  <c r="F159" i="8"/>
  <c r="E159" i="8"/>
  <c r="D159" i="8"/>
  <c r="C159" i="8"/>
  <c r="F158" i="8"/>
  <c r="E158" i="8"/>
  <c r="D158" i="8"/>
  <c r="C158" i="8"/>
  <c r="F156" i="8"/>
  <c r="E156" i="8"/>
  <c r="D156" i="8"/>
  <c r="C156" i="8"/>
  <c r="F155" i="8"/>
  <c r="E155" i="8"/>
  <c r="D155" i="8"/>
  <c r="C155" i="8"/>
  <c r="F153" i="8"/>
  <c r="E153" i="8"/>
  <c r="D153" i="8"/>
  <c r="C153" i="8"/>
  <c r="F152" i="8"/>
  <c r="E152" i="8"/>
  <c r="D152" i="8"/>
  <c r="C152" i="8"/>
  <c r="F151" i="8"/>
  <c r="E151" i="8"/>
  <c r="D151" i="8"/>
  <c r="F149" i="8"/>
  <c r="E149" i="8"/>
  <c r="D149" i="8"/>
  <c r="C149" i="8"/>
  <c r="F148" i="8"/>
  <c r="E148" i="8"/>
  <c r="D148" i="8"/>
  <c r="C148" i="8"/>
  <c r="F147" i="8"/>
  <c r="E147" i="8"/>
  <c r="D147" i="8"/>
  <c r="F145" i="8"/>
  <c r="E145" i="8"/>
  <c r="D145" i="8"/>
  <c r="C145" i="8"/>
  <c r="F144" i="8"/>
  <c r="E144" i="8"/>
  <c r="D144" i="8"/>
  <c r="C144" i="8"/>
  <c r="B144" i="8"/>
  <c r="B143" i="8"/>
  <c r="B145" i="8" s="1"/>
  <c r="F142" i="8"/>
  <c r="E142" i="8"/>
  <c r="D142" i="8"/>
  <c r="C142" i="8"/>
  <c r="F141" i="8"/>
  <c r="E141" i="8"/>
  <c r="D141" i="8"/>
  <c r="C141" i="8"/>
  <c r="F140" i="8"/>
  <c r="E140" i="8"/>
  <c r="D140" i="8"/>
  <c r="F138" i="8"/>
  <c r="E138" i="8"/>
  <c r="D138" i="8"/>
  <c r="C138" i="8"/>
  <c r="F137" i="8"/>
  <c r="E137" i="8"/>
  <c r="D137" i="8"/>
  <c r="C137" i="8"/>
  <c r="F136" i="8"/>
  <c r="E136" i="8"/>
  <c r="D136" i="8"/>
  <c r="F134" i="8"/>
  <c r="E134" i="8"/>
  <c r="D134" i="8"/>
  <c r="C134" i="8"/>
  <c r="F133" i="8"/>
  <c r="E133" i="8"/>
  <c r="D133" i="8"/>
  <c r="C133" i="8"/>
  <c r="F132" i="8"/>
  <c r="E132" i="8"/>
  <c r="D132" i="8"/>
  <c r="F130" i="8"/>
  <c r="E130" i="8"/>
  <c r="D130" i="8"/>
  <c r="C130" i="8"/>
  <c r="F129" i="8"/>
  <c r="E129" i="8"/>
  <c r="D129" i="8"/>
  <c r="C129" i="8"/>
  <c r="F128" i="8"/>
  <c r="E128" i="8"/>
  <c r="D128" i="8"/>
  <c r="V126" i="8"/>
  <c r="F126" i="8"/>
  <c r="E126" i="8"/>
  <c r="D126" i="8"/>
  <c r="C126" i="8"/>
  <c r="V125" i="8"/>
  <c r="F125" i="8"/>
  <c r="E125" i="8"/>
  <c r="D125" i="8"/>
  <c r="C125" i="8"/>
  <c r="V124" i="8"/>
  <c r="F124" i="8"/>
  <c r="E124" i="8"/>
  <c r="D124" i="8"/>
  <c r="V123" i="8"/>
  <c r="V122" i="8"/>
  <c r="F122" i="8"/>
  <c r="E122" i="8"/>
  <c r="D122" i="8"/>
  <c r="C122" i="8"/>
  <c r="V121" i="8"/>
  <c r="F121" i="8"/>
  <c r="E121" i="8"/>
  <c r="D121" i="8"/>
  <c r="C121" i="8"/>
  <c r="V120" i="8"/>
  <c r="F120" i="8"/>
  <c r="E120" i="8"/>
  <c r="D120" i="8"/>
  <c r="V119" i="8"/>
  <c r="V118" i="8"/>
  <c r="F118" i="8"/>
  <c r="E118" i="8"/>
  <c r="D118" i="8"/>
  <c r="C118" i="8"/>
  <c r="V117" i="8"/>
  <c r="F117" i="8"/>
  <c r="E117" i="8"/>
  <c r="D117" i="8"/>
  <c r="C117" i="8"/>
  <c r="F116" i="8"/>
  <c r="E116" i="8"/>
  <c r="D116" i="8"/>
  <c r="V115" i="8"/>
  <c r="V114" i="8"/>
  <c r="F114" i="8"/>
  <c r="E114" i="8"/>
  <c r="D114" i="8"/>
  <c r="C114" i="8"/>
  <c r="V113" i="8"/>
  <c r="F113" i="8"/>
  <c r="E113" i="8"/>
  <c r="D113" i="8"/>
  <c r="C113" i="8"/>
  <c r="F111" i="8"/>
  <c r="E111" i="8"/>
  <c r="D111" i="8"/>
  <c r="C111" i="8"/>
  <c r="F110" i="8"/>
  <c r="E110" i="8"/>
  <c r="D110" i="8"/>
  <c r="C110" i="8"/>
  <c r="F109" i="8"/>
  <c r="E109" i="8"/>
  <c r="D109" i="8"/>
  <c r="F107" i="8"/>
  <c r="E107" i="8"/>
  <c r="D107" i="8"/>
  <c r="C107" i="8"/>
  <c r="F106" i="8"/>
  <c r="E106" i="8"/>
  <c r="D106" i="8"/>
  <c r="C106" i="8"/>
  <c r="F104" i="8"/>
  <c r="E104" i="8"/>
  <c r="D104" i="8"/>
  <c r="C104" i="8"/>
  <c r="F103" i="8"/>
  <c r="E103" i="8"/>
  <c r="D103" i="8"/>
  <c r="C103" i="8"/>
  <c r="F102" i="8"/>
  <c r="E102" i="8"/>
  <c r="D102" i="8"/>
  <c r="F100" i="8"/>
  <c r="E100" i="8"/>
  <c r="D100" i="8"/>
  <c r="C100" i="8"/>
  <c r="F99" i="8"/>
  <c r="E99" i="8"/>
  <c r="D99" i="8"/>
  <c r="C99" i="8"/>
  <c r="F97" i="8"/>
  <c r="E97" i="8"/>
  <c r="D97" i="8"/>
  <c r="C97" i="8"/>
  <c r="F96" i="8"/>
  <c r="E96" i="8"/>
  <c r="D96" i="8"/>
  <c r="C96" i="8"/>
  <c r="F94" i="8"/>
  <c r="E94" i="8"/>
  <c r="D94" i="8"/>
  <c r="C94" i="8"/>
  <c r="F93" i="8"/>
  <c r="E93" i="8"/>
  <c r="D93" i="8"/>
  <c r="C93" i="8"/>
  <c r="F91" i="8"/>
  <c r="E91" i="8"/>
  <c r="D91" i="8"/>
  <c r="C91" i="8"/>
  <c r="F90" i="8"/>
  <c r="E90" i="8"/>
  <c r="D90" i="8"/>
  <c r="C90" i="8"/>
  <c r="V89" i="8"/>
  <c r="V88" i="8"/>
  <c r="F88" i="8"/>
  <c r="E88" i="8"/>
  <c r="D88" i="8"/>
  <c r="C88" i="8"/>
  <c r="V87" i="8"/>
  <c r="F87" i="8"/>
  <c r="E87" i="8"/>
  <c r="D87" i="8"/>
  <c r="C87" i="8"/>
  <c r="V86" i="8"/>
  <c r="V85" i="8"/>
  <c r="F85" i="8"/>
  <c r="E85" i="8"/>
  <c r="D85" i="8"/>
  <c r="C85" i="8"/>
  <c r="F84" i="8"/>
  <c r="E84" i="8"/>
  <c r="D84" i="8"/>
  <c r="C84" i="8"/>
  <c r="F83" i="8"/>
  <c r="E83" i="8"/>
  <c r="D83" i="8"/>
  <c r="F81" i="8"/>
  <c r="E81" i="8"/>
  <c r="D81" i="8"/>
  <c r="C81" i="8"/>
  <c r="F80" i="8"/>
  <c r="E80" i="8"/>
  <c r="D80" i="8"/>
  <c r="C80" i="8"/>
  <c r="F79" i="8"/>
  <c r="E79" i="8"/>
  <c r="D79" i="8"/>
  <c r="F77" i="8"/>
  <c r="E77" i="8"/>
  <c r="D77" i="8"/>
  <c r="C77" i="8"/>
  <c r="F76" i="8"/>
  <c r="E76" i="8"/>
  <c r="D76" i="8"/>
  <c r="V74" i="8"/>
  <c r="F74" i="8"/>
  <c r="E74" i="8"/>
  <c r="D74" i="8"/>
  <c r="C74" i="8"/>
  <c r="V73" i="8"/>
  <c r="F73" i="8"/>
  <c r="E73" i="8"/>
  <c r="D73" i="8"/>
  <c r="C73" i="8"/>
  <c r="V72" i="8"/>
  <c r="F72" i="8"/>
  <c r="E72" i="8"/>
  <c r="D72" i="8"/>
  <c r="V71" i="8"/>
  <c r="V70" i="8"/>
  <c r="F70" i="8"/>
  <c r="E70" i="8"/>
  <c r="D70" i="8"/>
  <c r="C70" i="8"/>
  <c r="V69" i="8"/>
  <c r="F69" i="8"/>
  <c r="E69" i="8"/>
  <c r="D69" i="8"/>
  <c r="C69" i="8"/>
  <c r="V68" i="8"/>
  <c r="F68" i="8"/>
  <c r="E68" i="8"/>
  <c r="D68" i="8"/>
  <c r="V67" i="8"/>
  <c r="V66" i="8"/>
  <c r="F66" i="8"/>
  <c r="E66" i="8"/>
  <c r="D66" i="8"/>
  <c r="C66" i="8"/>
  <c r="V65" i="8"/>
  <c r="F65" i="8"/>
  <c r="E65" i="8"/>
  <c r="D65" i="8"/>
  <c r="C65" i="8"/>
  <c r="V64" i="8"/>
  <c r="F64" i="8"/>
  <c r="E64" i="8"/>
  <c r="D64" i="8"/>
  <c r="F62" i="8"/>
  <c r="E62" i="8"/>
  <c r="D62" i="8"/>
  <c r="C62" i="8"/>
  <c r="F61" i="8"/>
  <c r="E61" i="8"/>
  <c r="D61" i="8"/>
  <c r="C61" i="8"/>
  <c r="F60" i="8"/>
  <c r="E60" i="8"/>
  <c r="D60" i="8"/>
  <c r="V59" i="8"/>
  <c r="F58" i="8"/>
  <c r="E58" i="8"/>
  <c r="D58" i="8"/>
  <c r="V57" i="8"/>
  <c r="F57" i="8"/>
  <c r="V56" i="8"/>
  <c r="V55" i="8"/>
  <c r="V54" i="8"/>
  <c r="F54" i="8"/>
  <c r="V53" i="8"/>
  <c r="F53" i="8"/>
  <c r="X52" i="8"/>
  <c r="Y52" i="8" s="1"/>
  <c r="F52" i="8"/>
  <c r="E52" i="8"/>
  <c r="D52" i="8"/>
  <c r="X51" i="8"/>
  <c r="F51" i="8"/>
  <c r="E51" i="8"/>
  <c r="D51" i="8"/>
  <c r="Y50" i="8"/>
  <c r="X50" i="8"/>
  <c r="Z50" i="8" s="1"/>
  <c r="F50" i="8"/>
  <c r="E50" i="8"/>
  <c r="D50" i="8"/>
  <c r="Z49" i="8"/>
  <c r="Y49" i="8"/>
  <c r="X49" i="8"/>
  <c r="Z48" i="8"/>
  <c r="Y48" i="8"/>
  <c r="X48" i="8"/>
  <c r="F48" i="8"/>
  <c r="E48" i="8"/>
  <c r="D48" i="8"/>
  <c r="X47" i="8"/>
  <c r="F47" i="8"/>
  <c r="E47" i="8"/>
  <c r="D47" i="8"/>
  <c r="X46" i="8"/>
  <c r="V46" i="8"/>
  <c r="F46" i="8"/>
  <c r="E46" i="8"/>
  <c r="D46" i="8"/>
  <c r="X45" i="8"/>
  <c r="Q45" i="8"/>
  <c r="Z44" i="8"/>
  <c r="Y44" i="8"/>
  <c r="X44" i="8"/>
  <c r="V44" i="8"/>
  <c r="Q44" i="8"/>
  <c r="F44" i="8"/>
  <c r="E44" i="8"/>
  <c r="D44" i="8"/>
  <c r="X43" i="8"/>
  <c r="V43" i="8"/>
  <c r="F43" i="8"/>
  <c r="E43" i="8"/>
  <c r="D43" i="8"/>
  <c r="Z42" i="8"/>
  <c r="X42" i="8"/>
  <c r="Y42" i="8" s="1"/>
  <c r="V42" i="8"/>
  <c r="Q42" i="8"/>
  <c r="F42" i="8"/>
  <c r="E42" i="8"/>
  <c r="D42" i="8"/>
  <c r="Z41" i="8"/>
  <c r="Y41" i="8"/>
  <c r="X41" i="8"/>
  <c r="V41" i="8"/>
  <c r="Q41" i="8"/>
  <c r="F41" i="8"/>
  <c r="E41" i="8"/>
  <c r="D41" i="8"/>
  <c r="Y40" i="8"/>
  <c r="X40" i="8"/>
  <c r="Z40" i="8" s="1"/>
  <c r="V40" i="8"/>
  <c r="X39" i="8"/>
  <c r="Z39" i="8" s="1"/>
  <c r="Q39" i="8"/>
  <c r="F39" i="8"/>
  <c r="E39" i="8"/>
  <c r="D39" i="8"/>
  <c r="X38" i="8"/>
  <c r="V38" i="8"/>
  <c r="Q38" i="8"/>
  <c r="F38" i="8"/>
  <c r="E38" i="8"/>
  <c r="D38" i="8"/>
  <c r="X37" i="8"/>
  <c r="F37" i="8"/>
  <c r="E37" i="8"/>
  <c r="D37" i="8"/>
  <c r="Z36" i="8"/>
  <c r="Y36" i="8"/>
  <c r="X36" i="8"/>
  <c r="Q36" i="8"/>
  <c r="AG35" i="8"/>
  <c r="X35" i="8"/>
  <c r="Z35" i="8" s="1"/>
  <c r="Q35" i="8"/>
  <c r="F35" i="8"/>
  <c r="E35" i="8"/>
  <c r="D35" i="8"/>
  <c r="AG34" i="8"/>
  <c r="X34" i="8"/>
  <c r="F34" i="8"/>
  <c r="E34" i="8"/>
  <c r="D34" i="8"/>
  <c r="AG33" i="8"/>
  <c r="X33" i="8"/>
  <c r="Y33" i="8" s="1"/>
  <c r="Q33" i="8"/>
  <c r="F33" i="8"/>
  <c r="E33" i="8"/>
  <c r="D33" i="8"/>
  <c r="AG32" i="8"/>
  <c r="X32" i="8"/>
  <c r="Q32" i="8"/>
  <c r="AG31" i="8"/>
  <c r="Y31" i="8"/>
  <c r="X31" i="8"/>
  <c r="Z31" i="8" s="1"/>
  <c r="F31" i="8"/>
  <c r="E31" i="8"/>
  <c r="D31" i="8"/>
  <c r="AG30" i="8"/>
  <c r="Z30" i="8"/>
  <c r="Y30" i="8"/>
  <c r="X30" i="8"/>
  <c r="V30" i="8"/>
  <c r="Q30" i="8"/>
  <c r="F30" i="8"/>
  <c r="E30" i="8"/>
  <c r="D30" i="8"/>
  <c r="AG29" i="8"/>
  <c r="Z29" i="8"/>
  <c r="Y29" i="8"/>
  <c r="X29" i="8"/>
  <c r="V29" i="8"/>
  <c r="Q29" i="8"/>
  <c r="F29" i="8"/>
  <c r="E29" i="8"/>
  <c r="D29" i="8"/>
  <c r="AG28" i="8"/>
  <c r="X28" i="8"/>
  <c r="Y28" i="8" s="1"/>
  <c r="V28" i="8"/>
  <c r="AG27" i="8"/>
  <c r="Y27" i="8"/>
  <c r="X27" i="8"/>
  <c r="Z27" i="8" s="1"/>
  <c r="Q27" i="8"/>
  <c r="F27" i="8"/>
  <c r="E27" i="8"/>
  <c r="D27" i="8"/>
  <c r="Z26" i="8"/>
  <c r="X26" i="8"/>
  <c r="Y26" i="8" s="1"/>
  <c r="V26" i="8"/>
  <c r="Q26" i="8"/>
  <c r="F26" i="8"/>
  <c r="E26" i="8"/>
  <c r="D26" i="8"/>
  <c r="Z25" i="8"/>
  <c r="X25" i="8"/>
  <c r="Y25" i="8" s="1"/>
  <c r="F25" i="8"/>
  <c r="E25" i="8"/>
  <c r="D25" i="8"/>
  <c r="AG24" i="8"/>
  <c r="Z24" i="8"/>
  <c r="Y24" i="8"/>
  <c r="X24" i="8"/>
  <c r="Q24" i="8"/>
  <c r="AG23" i="8"/>
  <c r="Z23" i="8"/>
  <c r="X23" i="8"/>
  <c r="Y23" i="8" s="1"/>
  <c r="V23" i="8"/>
  <c r="Q23" i="8"/>
  <c r="F23" i="8"/>
  <c r="E23" i="8"/>
  <c r="D23" i="8"/>
  <c r="C23" i="8"/>
  <c r="AG22" i="8"/>
  <c r="X22" i="8"/>
  <c r="V22" i="8"/>
  <c r="F22" i="8"/>
  <c r="E22" i="8"/>
  <c r="D22" i="8"/>
  <c r="C22" i="8"/>
  <c r="X21" i="8"/>
  <c r="Y21" i="8" s="1"/>
  <c r="V21" i="8"/>
  <c r="Q21" i="8"/>
  <c r="F21" i="8"/>
  <c r="E21" i="8"/>
  <c r="D21" i="8"/>
  <c r="AN20" i="8"/>
  <c r="AL20" i="8"/>
  <c r="AM20" i="8" s="1"/>
  <c r="X20" i="8"/>
  <c r="Y20" i="8" s="1"/>
  <c r="Q20" i="8"/>
  <c r="AN19" i="8"/>
  <c r="AM19" i="8"/>
  <c r="AL19" i="8"/>
  <c r="X19" i="8"/>
  <c r="Y19" i="8" s="1"/>
  <c r="F19" i="8"/>
  <c r="E19" i="8"/>
  <c r="D19" i="8"/>
  <c r="AN18" i="8"/>
  <c r="AL18" i="8"/>
  <c r="AM18" i="8" s="1"/>
  <c r="X18" i="8"/>
  <c r="Y18" i="8" s="1"/>
  <c r="Q18" i="8"/>
  <c r="F18" i="8"/>
  <c r="E18" i="8"/>
  <c r="D18" i="8"/>
  <c r="AN17" i="8"/>
  <c r="AL17" i="8"/>
  <c r="AM17" i="8" s="1"/>
  <c r="X17" i="8"/>
  <c r="Y17" i="8" s="1"/>
  <c r="Q17" i="8"/>
  <c r="F17" i="8"/>
  <c r="E17" i="8"/>
  <c r="D17" i="8"/>
  <c r="AL16" i="8"/>
  <c r="X16" i="8"/>
  <c r="Y16" i="8" s="1"/>
  <c r="V16" i="8"/>
  <c r="AN15" i="8"/>
  <c r="AL15" i="8"/>
  <c r="AM15" i="8" s="1"/>
  <c r="X15" i="8"/>
  <c r="Q15" i="8"/>
  <c r="M15" i="8"/>
  <c r="F15" i="8"/>
  <c r="E15" i="8"/>
  <c r="D15" i="8"/>
  <c r="AL14" i="8"/>
  <c r="X14" i="8"/>
  <c r="Y14" i="8" s="1"/>
  <c r="Q14" i="8"/>
  <c r="M14" i="8"/>
  <c r="F14" i="8"/>
  <c r="E14" i="8"/>
  <c r="D14" i="8"/>
  <c r="AL13" i="8"/>
  <c r="AN13" i="8" s="1"/>
  <c r="X13" i="8"/>
  <c r="Y13" i="8" s="1"/>
  <c r="M13" i="8"/>
  <c r="F13" i="8"/>
  <c r="E13" i="8"/>
  <c r="D13" i="8"/>
  <c r="AL12" i="8"/>
  <c r="X12" i="8"/>
  <c r="Y12" i="8" s="1"/>
  <c r="M12" i="8"/>
  <c r="F12" i="8"/>
  <c r="E12" i="8"/>
  <c r="D12" i="8"/>
  <c r="Z11" i="8"/>
  <c r="V3" i="3" s="1"/>
  <c r="P3" i="3" s="1"/>
  <c r="X11" i="8"/>
  <c r="Y11" i="8" s="1"/>
  <c r="Q11" i="8"/>
  <c r="M11" i="8"/>
  <c r="AL10" i="8"/>
  <c r="Z10" i="8"/>
  <c r="Y10" i="8"/>
  <c r="X10" i="8"/>
  <c r="V10" i="8"/>
  <c r="M10" i="8"/>
  <c r="F10" i="8"/>
  <c r="D10" i="8"/>
  <c r="C10" i="8"/>
  <c r="AL9" i="8"/>
  <c r="X9" i="8"/>
  <c r="V9" i="8"/>
  <c r="M9" i="8"/>
  <c r="F9" i="8"/>
  <c r="B9" i="8"/>
  <c r="AL8" i="8"/>
  <c r="X8" i="8"/>
  <c r="V8" i="8"/>
  <c r="M8" i="8"/>
  <c r="F8" i="8"/>
  <c r="D8" i="8"/>
  <c r="AL7" i="8"/>
  <c r="X7" i="8"/>
  <c r="M7" i="8"/>
  <c r="AL6" i="8"/>
  <c r="AD6" i="8"/>
  <c r="Z6" i="8"/>
  <c r="Y6" i="8"/>
  <c r="X6" i="8"/>
  <c r="Q6" i="8"/>
  <c r="M6" i="8"/>
  <c r="AD5" i="8"/>
  <c r="X5" i="8"/>
  <c r="Q5" i="8"/>
  <c r="M5" i="8"/>
  <c r="F5" i="8"/>
  <c r="AD4" i="8"/>
  <c r="X4" i="8"/>
  <c r="Y4" i="8" s="1"/>
  <c r="Q4" i="8"/>
  <c r="M4" i="8"/>
  <c r="F4" i="8"/>
  <c r="AQ3" i="8"/>
  <c r="AM3" i="8"/>
  <c r="AD3" i="8"/>
  <c r="AD1" i="8" s="1"/>
  <c r="X3" i="8"/>
  <c r="Y3" i="8" s="1"/>
  <c r="V3" i="8"/>
  <c r="Q3" i="8"/>
  <c r="M3" i="8"/>
  <c r="F3" i="8"/>
  <c r="AL2" i="8"/>
  <c r="AD2" i="8"/>
  <c r="X2" i="8"/>
  <c r="Z2" i="8" s="1"/>
  <c r="V54" i="7"/>
  <c r="BG46" i="7"/>
  <c r="BI46" i="7" s="1"/>
  <c r="BG45" i="7"/>
  <c r="BG44" i="7"/>
  <c r="BI44" i="7" s="1"/>
  <c r="BI43" i="7"/>
  <c r="BG43" i="7"/>
  <c r="BG42" i="7"/>
  <c r="BG41" i="7"/>
  <c r="T41" i="7"/>
  <c r="BG40" i="7"/>
  <c r="T40" i="7"/>
  <c r="BG39" i="7"/>
  <c r="BI39" i="7" s="1"/>
  <c r="BI38" i="7"/>
  <c r="BG38" i="7"/>
  <c r="BG37" i="7"/>
  <c r="BI37" i="7" s="1"/>
  <c r="P37" i="7"/>
  <c r="N37" i="7"/>
  <c r="BG36" i="7"/>
  <c r="N36" i="7"/>
  <c r="BI35" i="7"/>
  <c r="BG35" i="7"/>
  <c r="BI34" i="7"/>
  <c r="BG34" i="7"/>
  <c r="BG33" i="7"/>
  <c r="BI33" i="7" s="1"/>
  <c r="P33" i="7"/>
  <c r="BI32" i="7"/>
  <c r="BG32" i="7"/>
  <c r="L32" i="7"/>
  <c r="J32" i="7"/>
  <c r="BI31" i="7"/>
  <c r="BG31" i="7"/>
  <c r="BG30" i="7"/>
  <c r="BI30" i="7" s="1"/>
  <c r="X30" i="7"/>
  <c r="D30" i="7"/>
  <c r="BG29" i="7"/>
  <c r="BI29" i="7" s="1"/>
  <c r="L29" i="7"/>
  <c r="BI28" i="7"/>
  <c r="BG28" i="7"/>
  <c r="F28" i="7"/>
  <c r="BI27" i="7"/>
  <c r="BG27" i="7"/>
  <c r="L27" i="7"/>
  <c r="H27" i="7"/>
  <c r="F27" i="7"/>
  <c r="D27" i="7"/>
  <c r="BG26" i="7"/>
  <c r="BI26" i="7" s="1"/>
  <c r="H26" i="7"/>
  <c r="B26" i="7"/>
  <c r="BG25" i="7"/>
  <c r="BI25" i="7" s="1"/>
  <c r="BG24" i="7"/>
  <c r="BI24" i="7" s="1"/>
  <c r="L24" i="7"/>
  <c r="BI23" i="7"/>
  <c r="BG23" i="7"/>
  <c r="BG22" i="7"/>
  <c r="R22" i="7"/>
  <c r="B22" i="7"/>
  <c r="BI21" i="7"/>
  <c r="BG21" i="7"/>
  <c r="AD21" i="7"/>
  <c r="BB4" i="7" s="1"/>
  <c r="BG20" i="7"/>
  <c r="AD20" i="7"/>
  <c r="AX4" i="7" s="1"/>
  <c r="BG19" i="7"/>
  <c r="BI19" i="7" s="1"/>
  <c r="BG18" i="7"/>
  <c r="AE18" i="7"/>
  <c r="AD18" i="7"/>
  <c r="AC18" i="7"/>
  <c r="AB18" i="7"/>
  <c r="BG17" i="7"/>
  <c r="AJ17" i="7"/>
  <c r="AJ30" i="7" s="1"/>
  <c r="AE17" i="7"/>
  <c r="AD17" i="7"/>
  <c r="AC17" i="7"/>
  <c r="AB17" i="7"/>
  <c r="BG16" i="7"/>
  <c r="AE16" i="7"/>
  <c r="AD16" i="7"/>
  <c r="B177" i="8" s="1"/>
  <c r="AC16" i="7"/>
  <c r="AG7" i="7" s="1"/>
  <c r="AP61" i="7" s="1"/>
  <c r="BG15" i="7"/>
  <c r="BG14" i="7"/>
  <c r="AD14" i="7"/>
  <c r="AB14" i="7"/>
  <c r="X14" i="7"/>
  <c r="E14" i="7"/>
  <c r="A14" i="7"/>
  <c r="BG13" i="7"/>
  <c r="AB13" i="7"/>
  <c r="N13" i="7"/>
  <c r="M13" i="7"/>
  <c r="L13" i="7"/>
  <c r="K13" i="7"/>
  <c r="J13" i="7"/>
  <c r="BG12" i="7"/>
  <c r="AB12" i="7"/>
  <c r="J12" i="7"/>
  <c r="I12" i="7"/>
  <c r="H12" i="7"/>
  <c r="G12" i="7"/>
  <c r="F12" i="7"/>
  <c r="E12" i="7"/>
  <c r="BG11" i="7"/>
  <c r="AB11" i="7"/>
  <c r="H11" i="7"/>
  <c r="G11" i="7"/>
  <c r="F11" i="7"/>
  <c r="E11" i="7"/>
  <c r="D11" i="7"/>
  <c r="BG10" i="7"/>
  <c r="J10" i="7"/>
  <c r="I10" i="7"/>
  <c r="H10" i="7"/>
  <c r="G10" i="7"/>
  <c r="F10" i="7"/>
  <c r="E10" i="7"/>
  <c r="BG9" i="7"/>
  <c r="AB9" i="7"/>
  <c r="I9" i="7"/>
  <c r="H9" i="7"/>
  <c r="G9" i="7"/>
  <c r="F9" i="7"/>
  <c r="E9" i="7"/>
  <c r="D9" i="7"/>
  <c r="BG8" i="7"/>
  <c r="AB8" i="7"/>
  <c r="J8" i="7"/>
  <c r="I8" i="7"/>
  <c r="H8" i="7"/>
  <c r="G8" i="7"/>
  <c r="F8" i="7"/>
  <c r="E8" i="7"/>
  <c r="BG7" i="7"/>
  <c r="AB7" i="7"/>
  <c r="K7" i="7"/>
  <c r="J7" i="7"/>
  <c r="I7" i="7"/>
  <c r="H7" i="7"/>
  <c r="G7" i="7"/>
  <c r="F7" i="7"/>
  <c r="E7" i="7"/>
  <c r="BG6" i="7"/>
  <c r="AW6" i="7"/>
  <c r="K6" i="7"/>
  <c r="J6" i="7"/>
  <c r="I6" i="7"/>
  <c r="H6" i="7"/>
  <c r="G6" i="7"/>
  <c r="F6" i="7"/>
  <c r="E6" i="7"/>
  <c r="BG5" i="7"/>
  <c r="AB5" i="7"/>
  <c r="F5" i="7"/>
  <c r="E5" i="7"/>
  <c r="D5" i="7"/>
  <c r="BG4" i="7"/>
  <c r="BA4" i="7"/>
  <c r="AW4" i="7"/>
  <c r="AB4" i="7"/>
  <c r="S4" i="7"/>
  <c r="R4" i="7"/>
  <c r="Q4" i="7"/>
  <c r="P4" i="7"/>
  <c r="O4" i="7"/>
  <c r="N4" i="7"/>
  <c r="M4" i="7"/>
  <c r="L4" i="7"/>
  <c r="K4" i="7"/>
  <c r="J4" i="7"/>
  <c r="I4" i="7"/>
  <c r="BG3" i="7"/>
  <c r="BB3" i="7"/>
  <c r="AY3" i="7"/>
  <c r="AX3" i="7"/>
  <c r="AU12" i="7" s="1"/>
  <c r="AU13" i="7" s="1"/>
  <c r="AU3" i="7"/>
  <c r="AB3" i="7"/>
  <c r="I3" i="7"/>
  <c r="H3" i="7"/>
  <c r="G3" i="7"/>
  <c r="F3" i="7"/>
  <c r="E3" i="7"/>
  <c r="D3" i="7"/>
  <c r="BG2" i="7"/>
  <c r="I2" i="7"/>
  <c r="H2" i="7"/>
  <c r="G2" i="7"/>
  <c r="F2" i="7"/>
  <c r="E2" i="7"/>
  <c r="D2" i="7"/>
  <c r="B143" i="6"/>
  <c r="F141" i="6"/>
  <c r="B141" i="6"/>
  <c r="B133" i="6"/>
  <c r="B131" i="6"/>
  <c r="B129" i="6"/>
  <c r="D127" i="6"/>
  <c r="C127" i="6"/>
  <c r="B127" i="6"/>
  <c r="C125" i="6"/>
  <c r="D123" i="6"/>
  <c r="B123" i="6"/>
  <c r="B121" i="6"/>
  <c r="L115" i="6"/>
  <c r="K115" i="6"/>
  <c r="H115" i="6"/>
  <c r="B115" i="6"/>
  <c r="B111" i="6"/>
  <c r="B109" i="6"/>
  <c r="AM106" i="6"/>
  <c r="AL106" i="6"/>
  <c r="AK106" i="6"/>
  <c r="B105" i="6"/>
  <c r="AM102" i="6"/>
  <c r="AM101" i="6"/>
  <c r="E101" i="6"/>
  <c r="B101" i="6"/>
  <c r="AM100" i="6"/>
  <c r="B99" i="6"/>
  <c r="AM92" i="6"/>
  <c r="AL92" i="6"/>
  <c r="AK92" i="6"/>
  <c r="AJ92" i="6"/>
  <c r="AM91" i="6"/>
  <c r="AL91" i="6"/>
  <c r="AK91" i="6"/>
  <c r="AJ91" i="6"/>
  <c r="D91" i="6"/>
  <c r="B91" i="6"/>
  <c r="AM90" i="6"/>
  <c r="AK90" i="6"/>
  <c r="AJ90" i="6"/>
  <c r="D89" i="6"/>
  <c r="B89" i="6"/>
  <c r="AL87" i="6"/>
  <c r="AK87" i="6"/>
  <c r="B87" i="6"/>
  <c r="G85" i="6"/>
  <c r="B85" i="6"/>
  <c r="C83" i="6"/>
  <c r="B83" i="6"/>
  <c r="B81" i="6"/>
  <c r="B79" i="6"/>
  <c r="AM78" i="6"/>
  <c r="AL78" i="6"/>
  <c r="AK78" i="6"/>
  <c r="AM71" i="6"/>
  <c r="AL71" i="6"/>
  <c r="AK71" i="6"/>
  <c r="AJ71" i="6"/>
  <c r="B71" i="6"/>
  <c r="AM70" i="6"/>
  <c r="AL70" i="6"/>
  <c r="AJ70" i="6"/>
  <c r="B69" i="6"/>
  <c r="M67" i="6"/>
  <c r="L67" i="6"/>
  <c r="K67" i="6"/>
  <c r="I67" i="6"/>
  <c r="H67" i="6"/>
  <c r="G67" i="6"/>
  <c r="F67" i="6"/>
  <c r="B67" i="6"/>
  <c r="N65" i="6"/>
  <c r="M65" i="6"/>
  <c r="L65" i="6"/>
  <c r="K65" i="6"/>
  <c r="J65" i="6"/>
  <c r="I65" i="6"/>
  <c r="H65" i="6"/>
  <c r="G65" i="6"/>
  <c r="F65" i="6"/>
  <c r="E65" i="6"/>
  <c r="C65" i="6"/>
  <c r="B65" i="6"/>
  <c r="K63" i="6"/>
  <c r="B63" i="6"/>
  <c r="AM61" i="6"/>
  <c r="AL61" i="6"/>
  <c r="AK61" i="6"/>
  <c r="G61" i="6"/>
  <c r="E61" i="6"/>
  <c r="AM60" i="6"/>
  <c r="AL60" i="6"/>
  <c r="AK60" i="6"/>
  <c r="AM59" i="6"/>
  <c r="AL59" i="6"/>
  <c r="AK59" i="6"/>
  <c r="R59" i="6"/>
  <c r="E59" i="6"/>
  <c r="AM58" i="6"/>
  <c r="AL58" i="6"/>
  <c r="AK58" i="6"/>
  <c r="AM57" i="6"/>
  <c r="AL57" i="6"/>
  <c r="AK57" i="6"/>
  <c r="F57" i="6"/>
  <c r="AM56" i="6"/>
  <c r="AL56" i="6"/>
  <c r="AK56" i="6"/>
  <c r="AM55" i="6"/>
  <c r="AL55" i="6"/>
  <c r="AK55" i="6"/>
  <c r="L55" i="6"/>
  <c r="I55" i="6"/>
  <c r="B55" i="6"/>
  <c r="AM54" i="6"/>
  <c r="AL54" i="6"/>
  <c r="AK54" i="6"/>
  <c r="AM53" i="6"/>
  <c r="AL53" i="6"/>
  <c r="AK53" i="6"/>
  <c r="AL51" i="6"/>
  <c r="AK51" i="6"/>
  <c r="AL50" i="6"/>
  <c r="AK50" i="6"/>
  <c r="AJ50" i="6"/>
  <c r="AM48" i="6"/>
  <c r="AL48" i="6"/>
  <c r="AK48" i="6"/>
  <c r="AM47" i="6"/>
  <c r="AL47" i="6"/>
  <c r="AK47" i="6"/>
  <c r="AM46" i="6"/>
  <c r="AL46" i="6"/>
  <c r="AK46" i="6"/>
  <c r="AJ46" i="6"/>
  <c r="AM45" i="6"/>
  <c r="AL45" i="6"/>
  <c r="AK45" i="6"/>
  <c r="AJ45" i="6"/>
  <c r="O45" i="6"/>
  <c r="N45" i="6"/>
  <c r="M45" i="6"/>
  <c r="L45" i="6"/>
  <c r="K45" i="6"/>
  <c r="J45" i="6"/>
  <c r="I45" i="6"/>
  <c r="H45" i="6"/>
  <c r="G45" i="6"/>
  <c r="F45" i="6"/>
  <c r="E45" i="6"/>
  <c r="D45" i="6"/>
  <c r="C45" i="6"/>
  <c r="B45" i="6"/>
  <c r="A45" i="6"/>
  <c r="AM44" i="6"/>
  <c r="AL44" i="6"/>
  <c r="O44" i="6"/>
  <c r="N44" i="6"/>
  <c r="M44" i="6"/>
  <c r="L44" i="6"/>
  <c r="K44" i="6"/>
  <c r="J44" i="6"/>
  <c r="I44" i="6"/>
  <c r="H44" i="6"/>
  <c r="G44" i="6"/>
  <c r="F44" i="6"/>
  <c r="E44" i="6"/>
  <c r="D44" i="6"/>
  <c r="A44" i="6"/>
  <c r="AM43" i="6"/>
  <c r="AL43" i="6"/>
  <c r="AK43" i="6"/>
  <c r="AK44" i="6" s="1"/>
  <c r="AJ43" i="6"/>
  <c r="AJ44" i="6" s="1"/>
  <c r="O43" i="6"/>
  <c r="N43" i="6"/>
  <c r="M43" i="6"/>
  <c r="L43" i="6"/>
  <c r="K43" i="6"/>
  <c r="J43" i="6"/>
  <c r="I43" i="6"/>
  <c r="H43" i="6"/>
  <c r="G43" i="6"/>
  <c r="F43" i="6"/>
  <c r="E43" i="6"/>
  <c r="D43" i="6"/>
  <c r="A43" i="6"/>
  <c r="AM42" i="6"/>
  <c r="AL42" i="6"/>
  <c r="AK42" i="6"/>
  <c r="AJ42" i="6"/>
  <c r="O42" i="6"/>
  <c r="N42" i="6"/>
  <c r="M42" i="6"/>
  <c r="L42" i="6"/>
  <c r="K42" i="6"/>
  <c r="J42" i="6"/>
  <c r="I42" i="6"/>
  <c r="H42" i="6"/>
  <c r="G42" i="6"/>
  <c r="F42" i="6"/>
  <c r="E42" i="6"/>
  <c r="D42" i="6"/>
  <c r="C42" i="6"/>
  <c r="B42" i="6"/>
  <c r="A42" i="6"/>
  <c r="O41" i="6"/>
  <c r="N41" i="6"/>
  <c r="M41" i="6"/>
  <c r="L41" i="6"/>
  <c r="K41" i="6"/>
  <c r="J41" i="6"/>
  <c r="I41" i="6"/>
  <c r="H41" i="6"/>
  <c r="G41" i="6"/>
  <c r="F41" i="6"/>
  <c r="E41" i="6"/>
  <c r="D41" i="6"/>
  <c r="C41" i="6"/>
  <c r="B41" i="6"/>
  <c r="A41" i="6"/>
  <c r="S36" i="6" s="1" a="1"/>
  <c r="S36" i="6" s="1"/>
  <c r="AM40" i="6"/>
  <c r="AL40" i="6"/>
  <c r="AK40" i="6"/>
  <c r="O40" i="6"/>
  <c r="N40" i="6"/>
  <c r="M40" i="6"/>
  <c r="L40" i="6"/>
  <c r="K40" i="6"/>
  <c r="J40" i="6"/>
  <c r="I40" i="6"/>
  <c r="H40" i="6"/>
  <c r="G40" i="6"/>
  <c r="F40" i="6"/>
  <c r="E40" i="6"/>
  <c r="D40" i="6"/>
  <c r="C40" i="6"/>
  <c r="B40" i="6"/>
  <c r="A40" i="6"/>
  <c r="S34" i="6" s="1" a="1"/>
  <c r="S34" i="6" s="1"/>
  <c r="AK39" i="6"/>
  <c r="O39" i="6"/>
  <c r="N39" i="6"/>
  <c r="M39" i="6"/>
  <c r="L39" i="6"/>
  <c r="K39" i="6"/>
  <c r="J39" i="6"/>
  <c r="I39" i="6"/>
  <c r="H39" i="6"/>
  <c r="G39" i="6"/>
  <c r="F39" i="6"/>
  <c r="E39" i="6"/>
  <c r="D39" i="6"/>
  <c r="C39" i="6"/>
  <c r="B39" i="6"/>
  <c r="A39" i="6"/>
  <c r="AM38" i="6"/>
  <c r="AL38" i="6"/>
  <c r="AK38" i="6"/>
  <c r="O38" i="6"/>
  <c r="N38" i="6"/>
  <c r="M38" i="6"/>
  <c r="L38" i="6"/>
  <c r="K38" i="6"/>
  <c r="J38" i="6"/>
  <c r="I38" i="6"/>
  <c r="H38" i="6"/>
  <c r="G38" i="6"/>
  <c r="F38" i="6"/>
  <c r="E38" i="6"/>
  <c r="D38" i="6"/>
  <c r="C38" i="6"/>
  <c r="B38" i="6"/>
  <c r="A38" i="6"/>
  <c r="O37" i="6"/>
  <c r="N37" i="6"/>
  <c r="M37" i="6"/>
  <c r="L37" i="6"/>
  <c r="K37" i="6"/>
  <c r="J37" i="6"/>
  <c r="I37" i="6"/>
  <c r="H37" i="6"/>
  <c r="G37" i="6"/>
  <c r="F37" i="6"/>
  <c r="E37" i="6"/>
  <c r="D37" i="6"/>
  <c r="C37" i="6"/>
  <c r="B37" i="6"/>
  <c r="A37" i="6"/>
  <c r="AM36" i="6"/>
  <c r="AL36" i="6"/>
  <c r="AK36" i="6"/>
  <c r="AJ36" i="6"/>
  <c r="O36" i="6"/>
  <c r="N36" i="6"/>
  <c r="M36" i="6"/>
  <c r="L36" i="6"/>
  <c r="K36" i="6"/>
  <c r="J36" i="6"/>
  <c r="I36" i="6"/>
  <c r="H36" i="6"/>
  <c r="G36" i="6"/>
  <c r="F36" i="6"/>
  <c r="E36" i="6"/>
  <c r="D36" i="6"/>
  <c r="C36" i="6"/>
  <c r="B36" i="6"/>
  <c r="A36" i="6"/>
  <c r="AM35" i="6"/>
  <c r="AL35" i="6"/>
  <c r="AK35" i="6"/>
  <c r="AJ35" i="6"/>
  <c r="O35" i="6"/>
  <c r="N35" i="6"/>
  <c r="M35" i="6"/>
  <c r="L35" i="6"/>
  <c r="K35" i="6"/>
  <c r="J35" i="6"/>
  <c r="I35" i="6"/>
  <c r="H35" i="6"/>
  <c r="G35" i="6"/>
  <c r="F35" i="6"/>
  <c r="E35" i="6"/>
  <c r="D35" i="6"/>
  <c r="C35" i="6"/>
  <c r="B35" i="6"/>
  <c r="A35" i="6"/>
  <c r="AM34" i="6"/>
  <c r="AL34" i="6"/>
  <c r="AK34" i="6"/>
  <c r="O34" i="6"/>
  <c r="N34" i="6"/>
  <c r="M34" i="6"/>
  <c r="L34" i="6"/>
  <c r="K34" i="6"/>
  <c r="J34" i="6"/>
  <c r="I34" i="6"/>
  <c r="H34" i="6"/>
  <c r="G34" i="6"/>
  <c r="F34" i="6"/>
  <c r="E34" i="6"/>
  <c r="D34" i="6"/>
  <c r="C34" i="6"/>
  <c r="B34" i="6"/>
  <c r="A34" i="6"/>
  <c r="AM33" i="6"/>
  <c r="AL33" i="6"/>
  <c r="AK33" i="6"/>
  <c r="O33" i="6"/>
  <c r="N33" i="6"/>
  <c r="M33" i="6"/>
  <c r="L33" i="6"/>
  <c r="K33" i="6"/>
  <c r="J33" i="6"/>
  <c r="I33" i="6"/>
  <c r="H33" i="6"/>
  <c r="G33" i="6"/>
  <c r="F33" i="6"/>
  <c r="A33" i="6"/>
  <c r="AM32" i="6"/>
  <c r="AL32" i="6"/>
  <c r="AK32" i="6"/>
  <c r="O32" i="6"/>
  <c r="N32" i="6"/>
  <c r="M32" i="6"/>
  <c r="L32" i="6"/>
  <c r="K32" i="6"/>
  <c r="J32" i="6"/>
  <c r="I32" i="6"/>
  <c r="H32" i="6"/>
  <c r="G32" i="6"/>
  <c r="F32" i="6"/>
  <c r="E32" i="6"/>
  <c r="D32" i="6"/>
  <c r="C32" i="6"/>
  <c r="B32" i="6"/>
  <c r="A32" i="6"/>
  <c r="O31" i="6"/>
  <c r="N31" i="6"/>
  <c r="M31" i="6"/>
  <c r="L31" i="6"/>
  <c r="K31" i="6"/>
  <c r="J31" i="6"/>
  <c r="I31" i="6"/>
  <c r="H31" i="6"/>
  <c r="G31" i="6"/>
  <c r="F31" i="6"/>
  <c r="E31" i="6"/>
  <c r="D31" i="6"/>
  <c r="C31" i="6"/>
  <c r="B31" i="6"/>
  <c r="A31" i="6"/>
  <c r="AM30" i="6"/>
  <c r="AL30" i="6"/>
  <c r="AK30" i="6"/>
  <c r="O30" i="6"/>
  <c r="N30" i="6"/>
  <c r="M30" i="6"/>
  <c r="L30" i="6"/>
  <c r="K30" i="6"/>
  <c r="J30" i="6"/>
  <c r="I30" i="6"/>
  <c r="H30" i="6"/>
  <c r="G30" i="6"/>
  <c r="F30" i="6"/>
  <c r="E30" i="6"/>
  <c r="D30" i="6"/>
  <c r="C30" i="6"/>
  <c r="B30" i="6"/>
  <c r="A30" i="6"/>
  <c r="AM29" i="6"/>
  <c r="AL29" i="6"/>
  <c r="AK29" i="6"/>
  <c r="O29" i="6"/>
  <c r="N29" i="6"/>
  <c r="M29" i="6"/>
  <c r="L29" i="6"/>
  <c r="K29" i="6"/>
  <c r="J29" i="6"/>
  <c r="I29" i="6"/>
  <c r="H29" i="6"/>
  <c r="G29" i="6"/>
  <c r="F29" i="6"/>
  <c r="E29" i="6"/>
  <c r="D29" i="6"/>
  <c r="C29" i="6"/>
  <c r="B29" i="6"/>
  <c r="A29" i="6"/>
  <c r="AM28" i="6"/>
  <c r="AL28" i="6"/>
  <c r="AK28" i="6"/>
  <c r="O28" i="6"/>
  <c r="N28" i="6"/>
  <c r="M28" i="6"/>
  <c r="L28" i="6"/>
  <c r="K28" i="6"/>
  <c r="J28" i="6"/>
  <c r="I28" i="6"/>
  <c r="H28" i="6"/>
  <c r="G28" i="6"/>
  <c r="F28" i="6"/>
  <c r="E28" i="6"/>
  <c r="D28" i="6"/>
  <c r="C28" i="6"/>
  <c r="B28" i="6"/>
  <c r="A28" i="6"/>
  <c r="AM27" i="6"/>
  <c r="AL27" i="6"/>
  <c r="AK27" i="6"/>
  <c r="AJ27" i="6"/>
  <c r="O27" i="6"/>
  <c r="N27" i="6"/>
  <c r="M27" i="6"/>
  <c r="L27" i="6"/>
  <c r="K27" i="6"/>
  <c r="J27" i="6"/>
  <c r="I27" i="6"/>
  <c r="H27" i="6"/>
  <c r="G27" i="6"/>
  <c r="F27" i="6"/>
  <c r="E27" i="6"/>
  <c r="D27" i="6"/>
  <c r="C27" i="6"/>
  <c r="B27" i="6"/>
  <c r="A27" i="6"/>
  <c r="AM26" i="6"/>
  <c r="AL26" i="6"/>
  <c r="AK26" i="6"/>
  <c r="O26" i="6"/>
  <c r="N26" i="6"/>
  <c r="M26" i="6"/>
  <c r="L26" i="6"/>
  <c r="K26" i="6"/>
  <c r="J26" i="6"/>
  <c r="I26" i="6"/>
  <c r="H26" i="6"/>
  <c r="G26" i="6"/>
  <c r="F26" i="6"/>
  <c r="E26" i="6"/>
  <c r="D26" i="6"/>
  <c r="C26" i="6"/>
  <c r="B26" i="6"/>
  <c r="A26" i="6"/>
  <c r="AM25" i="6"/>
  <c r="AL25" i="6"/>
  <c r="AK25" i="6"/>
  <c r="O25" i="6"/>
  <c r="N25" i="6"/>
  <c r="M25" i="6"/>
  <c r="L25" i="6"/>
  <c r="K25" i="6"/>
  <c r="J25" i="6"/>
  <c r="I25" i="6"/>
  <c r="H25" i="6"/>
  <c r="G25" i="6"/>
  <c r="F25" i="6"/>
  <c r="E25" i="6"/>
  <c r="D25" i="6"/>
  <c r="C25" i="6"/>
  <c r="B25" i="6"/>
  <c r="A25" i="6"/>
  <c r="AM24" i="6"/>
  <c r="AL24" i="6"/>
  <c r="AK24" i="6"/>
  <c r="O24" i="6"/>
  <c r="N24" i="6"/>
  <c r="M24" i="6"/>
  <c r="L24" i="6"/>
  <c r="K24" i="6"/>
  <c r="J24" i="6"/>
  <c r="I24" i="6"/>
  <c r="H24" i="6"/>
  <c r="G24" i="6"/>
  <c r="F24" i="6"/>
  <c r="E24" i="6"/>
  <c r="D24" i="6"/>
  <c r="C24" i="6"/>
  <c r="B24" i="6"/>
  <c r="A24" i="6"/>
  <c r="AM23" i="6"/>
  <c r="AL23" i="6"/>
  <c r="AK23" i="6"/>
  <c r="AF23" i="6"/>
  <c r="AF34" i="6" s="1"/>
  <c r="AF40" i="6" s="1"/>
  <c r="AF45" i="6" s="1"/>
  <c r="AF53" i="6" s="1"/>
  <c r="AF56" i="6" s="1"/>
  <c r="AF66" i="6" s="1"/>
  <c r="AF67" i="6" s="1"/>
  <c r="AF68" i="6" s="1"/>
  <c r="AF69" i="6" s="1"/>
  <c r="AF70" i="6" s="1"/>
  <c r="AF71" i="6" s="1"/>
  <c r="AF72" i="6" s="1"/>
  <c r="AF73" i="6" s="1"/>
  <c r="AF78" i="6" s="1"/>
  <c r="AF79" i="6" s="1"/>
  <c r="AF80" i="6" s="1"/>
  <c r="AF81" i="6" s="1"/>
  <c r="AF84" i="6" s="1"/>
  <c r="AF85" i="6" s="1"/>
  <c r="AF86" i="6" s="1"/>
  <c r="AF87" i="6" s="1"/>
  <c r="AF88" i="6" s="1"/>
  <c r="AF89" i="6" s="1"/>
  <c r="AF90" i="6" s="1"/>
  <c r="AF91" i="6" s="1"/>
  <c r="AF92" i="6" s="1"/>
  <c r="AF93" i="6" s="1"/>
  <c r="AF94" i="6" s="1"/>
  <c r="AF99" i="6" s="1"/>
  <c r="AF100" i="6" s="1"/>
  <c r="AF101" i="6" s="1"/>
  <c r="AF102" i="6" s="1"/>
  <c r="AF103" i="6" s="1"/>
  <c r="AF104" i="6" s="1"/>
  <c r="AF105" i="6" s="1"/>
  <c r="AF106" i="6" s="1"/>
  <c r="AF107" i="6" s="1"/>
  <c r="AF108" i="6" s="1"/>
  <c r="AF109" i="6" s="1"/>
  <c r="AF110" i="6" s="1"/>
  <c r="AF111" i="6" s="1"/>
  <c r="AF114" i="6" s="1"/>
  <c r="AF117" i="6" s="1"/>
  <c r="O23" i="6"/>
  <c r="N23" i="6"/>
  <c r="M23" i="6"/>
  <c r="L23" i="6"/>
  <c r="K23" i="6"/>
  <c r="J23" i="6"/>
  <c r="I23" i="6"/>
  <c r="H23" i="6"/>
  <c r="G23" i="6"/>
  <c r="F23" i="6"/>
  <c r="E23" i="6"/>
  <c r="D23" i="6"/>
  <c r="C23" i="6"/>
  <c r="B23" i="6"/>
  <c r="A23" i="6"/>
  <c r="AL22" i="6"/>
  <c r="AK22" i="6"/>
  <c r="O22" i="6"/>
  <c r="N22" i="6"/>
  <c r="M22" i="6"/>
  <c r="L22" i="6"/>
  <c r="K22" i="6"/>
  <c r="J22" i="6"/>
  <c r="I22" i="6"/>
  <c r="H22" i="6"/>
  <c r="G22" i="6"/>
  <c r="F22" i="6"/>
  <c r="E22" i="6"/>
  <c r="D22" i="6"/>
  <c r="A22" i="6"/>
  <c r="AM21" i="6"/>
  <c r="AL21" i="6"/>
  <c r="AK21" i="6"/>
  <c r="O21" i="6"/>
  <c r="N21" i="6"/>
  <c r="M21" i="6"/>
  <c r="L21" i="6"/>
  <c r="K21" i="6"/>
  <c r="J21" i="6"/>
  <c r="I21" i="6"/>
  <c r="H21" i="6"/>
  <c r="G21" i="6"/>
  <c r="F21" i="6"/>
  <c r="E21" i="6"/>
  <c r="D21" i="6"/>
  <c r="C21" i="6"/>
  <c r="B21" i="6"/>
  <c r="A21" i="6"/>
  <c r="O20" i="6"/>
  <c r="N20" i="6"/>
  <c r="M20" i="6"/>
  <c r="L20" i="6"/>
  <c r="K20" i="6"/>
  <c r="J20" i="6"/>
  <c r="I20" i="6"/>
  <c r="H20" i="6"/>
  <c r="G20" i="6"/>
  <c r="F20" i="6"/>
  <c r="E20" i="6"/>
  <c r="D20" i="6"/>
  <c r="C20" i="6"/>
  <c r="B20" i="6"/>
  <c r="A20" i="6"/>
  <c r="AM19" i="6"/>
  <c r="AL19" i="6"/>
  <c r="AK19" i="6"/>
  <c r="O19" i="6"/>
  <c r="N19" i="6"/>
  <c r="M19" i="6"/>
  <c r="L19" i="6"/>
  <c r="K19" i="6"/>
  <c r="J19" i="6"/>
  <c r="I19" i="6"/>
  <c r="H19" i="6"/>
  <c r="G19" i="6"/>
  <c r="F19" i="6"/>
  <c r="E19" i="6"/>
  <c r="D19" i="6"/>
  <c r="C19" i="6"/>
  <c r="B19" i="6"/>
  <c r="A19" i="6"/>
  <c r="AM18" i="6"/>
  <c r="AL18" i="6"/>
  <c r="AK18" i="6"/>
  <c r="O18" i="6"/>
  <c r="N18" i="6"/>
  <c r="M18" i="6"/>
  <c r="L18" i="6"/>
  <c r="K18" i="6"/>
  <c r="J18" i="6"/>
  <c r="I18" i="6"/>
  <c r="H18" i="6"/>
  <c r="G18" i="6"/>
  <c r="F18" i="6"/>
  <c r="E18" i="6"/>
  <c r="D18" i="6"/>
  <c r="A18" i="6"/>
  <c r="AM17" i="6"/>
  <c r="AL17" i="6"/>
  <c r="AK17" i="6"/>
  <c r="O17" i="6"/>
  <c r="N17" i="6"/>
  <c r="M17" i="6"/>
  <c r="L17" i="6"/>
  <c r="K17" i="6"/>
  <c r="J17" i="6"/>
  <c r="I17" i="6"/>
  <c r="H17" i="6"/>
  <c r="G17" i="6"/>
  <c r="F17" i="6"/>
  <c r="E17" i="6"/>
  <c r="D17" i="6"/>
  <c r="C17" i="6"/>
  <c r="B17" i="6"/>
  <c r="A17" i="6"/>
  <c r="AM16" i="6"/>
  <c r="AL16" i="6"/>
  <c r="AK16" i="6"/>
  <c r="O16" i="6"/>
  <c r="N16" i="6"/>
  <c r="M16" i="6"/>
  <c r="L16" i="6"/>
  <c r="K16" i="6"/>
  <c r="J16" i="6"/>
  <c r="I16" i="6"/>
  <c r="H16" i="6"/>
  <c r="G16" i="6"/>
  <c r="F16" i="6"/>
  <c r="E16" i="6"/>
  <c r="D16" i="6"/>
  <c r="C16" i="6"/>
  <c r="B16" i="6"/>
  <c r="A16" i="6"/>
  <c r="AM15" i="6"/>
  <c r="AL15" i="6"/>
  <c r="AK15" i="6"/>
  <c r="AB15" i="6"/>
  <c r="T15" i="6"/>
  <c r="O15" i="6"/>
  <c r="N15" i="6"/>
  <c r="M15" i="6"/>
  <c r="L15" i="6"/>
  <c r="K15" i="6"/>
  <c r="J15" i="6"/>
  <c r="I15" i="6"/>
  <c r="H15" i="6"/>
  <c r="G15" i="6"/>
  <c r="F15" i="6"/>
  <c r="E15" i="6"/>
  <c r="D15" i="6"/>
  <c r="C15" i="6"/>
  <c r="B15" i="6"/>
  <c r="A15" i="6"/>
  <c r="S24" i="6" s="1" a="1"/>
  <c r="S24" i="6" s="1"/>
  <c r="AB14" i="6"/>
  <c r="AD14" i="6" s="1"/>
  <c r="T14" i="6"/>
  <c r="O14" i="6"/>
  <c r="N14" i="6"/>
  <c r="M14" i="6"/>
  <c r="L14" i="6"/>
  <c r="K14" i="6"/>
  <c r="J14" i="6"/>
  <c r="I14" i="6"/>
  <c r="H14" i="6"/>
  <c r="G14" i="6"/>
  <c r="F14" i="6"/>
  <c r="E14" i="6"/>
  <c r="D14" i="6"/>
  <c r="C14" i="6"/>
  <c r="B14" i="6"/>
  <c r="A14" i="6"/>
  <c r="AM13" i="6"/>
  <c r="AL13" i="6"/>
  <c r="AK13" i="6"/>
  <c r="AB13" i="6"/>
  <c r="AD13" i="6" s="1"/>
  <c r="T13" i="6"/>
  <c r="O13" i="6"/>
  <c r="N13" i="6"/>
  <c r="M13" i="6"/>
  <c r="L13" i="6"/>
  <c r="K13" i="6"/>
  <c r="J13" i="6"/>
  <c r="I13" i="6"/>
  <c r="H13" i="6"/>
  <c r="G13" i="6"/>
  <c r="F13" i="6"/>
  <c r="E13" i="6"/>
  <c r="D13" i="6"/>
  <c r="C13" i="6"/>
  <c r="B13" i="6"/>
  <c r="A13" i="6"/>
  <c r="AM12" i="6"/>
  <c r="AL12" i="6"/>
  <c r="AK12" i="6"/>
  <c r="AB12" i="6"/>
  <c r="AD12" i="6" s="1"/>
  <c r="O12" i="6"/>
  <c r="N12" i="6"/>
  <c r="M12" i="6"/>
  <c r="L12" i="6"/>
  <c r="K12" i="6"/>
  <c r="J12" i="6"/>
  <c r="I12" i="6"/>
  <c r="H12" i="6"/>
  <c r="G12" i="6"/>
  <c r="F12" i="6"/>
  <c r="E12" i="6"/>
  <c r="D12" i="6"/>
  <c r="C12" i="6"/>
  <c r="B12" i="6"/>
  <c r="A12" i="6"/>
  <c r="S39" i="6" s="1" a="1"/>
  <c r="S39" i="6" s="1"/>
  <c r="AM11" i="6"/>
  <c r="AL11" i="6"/>
  <c r="AK11" i="6"/>
  <c r="AJ11" i="6"/>
  <c r="AB11" i="6"/>
  <c r="O11" i="6"/>
  <c r="N11" i="6"/>
  <c r="M11" i="6"/>
  <c r="L11" i="6"/>
  <c r="K11" i="6"/>
  <c r="J11" i="6"/>
  <c r="I11" i="6"/>
  <c r="H11" i="6"/>
  <c r="G11" i="6"/>
  <c r="F11" i="6"/>
  <c r="E11" i="6"/>
  <c r="D11" i="6"/>
  <c r="C11" i="6"/>
  <c r="B11" i="6"/>
  <c r="A11" i="6"/>
  <c r="AM10" i="6"/>
  <c r="AL10" i="6"/>
  <c r="AK10" i="6"/>
  <c r="AJ10" i="6"/>
  <c r="AB10" i="6"/>
  <c r="AD10" i="6" s="1"/>
  <c r="O10" i="6"/>
  <c r="N10" i="6"/>
  <c r="M10" i="6"/>
  <c r="L10" i="6"/>
  <c r="K10" i="6"/>
  <c r="J10" i="6"/>
  <c r="I10" i="6"/>
  <c r="H10" i="6"/>
  <c r="G10" i="6"/>
  <c r="F10" i="6"/>
  <c r="E10" i="6"/>
  <c r="D10" i="6"/>
  <c r="C10" i="6"/>
  <c r="B10" i="6"/>
  <c r="AL9" i="6"/>
  <c r="AK9" i="6"/>
  <c r="AB9" i="6"/>
  <c r="O9" i="6"/>
  <c r="N9" i="6"/>
  <c r="M9" i="6"/>
  <c r="L9" i="6"/>
  <c r="K9" i="6"/>
  <c r="J9" i="6"/>
  <c r="I9" i="6"/>
  <c r="H9" i="6"/>
  <c r="G9" i="6"/>
  <c r="F9" i="6"/>
  <c r="E9" i="6"/>
  <c r="D9" i="6"/>
  <c r="C9" i="6"/>
  <c r="B9" i="6"/>
  <c r="AM8" i="6"/>
  <c r="AL8" i="6"/>
  <c r="AK8" i="6"/>
  <c r="AB8" i="6"/>
  <c r="O8" i="6"/>
  <c r="N8" i="6"/>
  <c r="M8" i="6"/>
  <c r="L8" i="6"/>
  <c r="K8" i="6"/>
  <c r="J8" i="6"/>
  <c r="I8" i="6"/>
  <c r="H8" i="6"/>
  <c r="G8" i="6"/>
  <c r="F8" i="6"/>
  <c r="E8" i="6"/>
  <c r="D8" i="6"/>
  <c r="C8" i="6"/>
  <c r="B8" i="6"/>
  <c r="AM7" i="6"/>
  <c r="AL7" i="6"/>
  <c r="AK7" i="6"/>
  <c r="AF7" i="6"/>
  <c r="AF16" i="6" s="1"/>
  <c r="AB7" i="6"/>
  <c r="O7" i="6"/>
  <c r="N7" i="6"/>
  <c r="M7" i="6"/>
  <c r="L7" i="6"/>
  <c r="K7" i="6"/>
  <c r="J7" i="6"/>
  <c r="I7" i="6"/>
  <c r="H7" i="6"/>
  <c r="G7" i="6"/>
  <c r="F7" i="6"/>
  <c r="E7" i="6"/>
  <c r="D7" i="6"/>
  <c r="AB6" i="6"/>
  <c r="O6" i="6"/>
  <c r="N6" i="6"/>
  <c r="M6" i="6"/>
  <c r="L6" i="6"/>
  <c r="K6" i="6"/>
  <c r="J6" i="6"/>
  <c r="I6" i="6"/>
  <c r="H6" i="6"/>
  <c r="G6" i="6"/>
  <c r="F6" i="6"/>
  <c r="E6" i="6"/>
  <c r="D6" i="6"/>
  <c r="C6" i="6"/>
  <c r="B6" i="6"/>
  <c r="AM5" i="6"/>
  <c r="AL5" i="6"/>
  <c r="AK5" i="6"/>
  <c r="AB5" i="6"/>
  <c r="O5" i="6"/>
  <c r="N5" i="6"/>
  <c r="M5" i="6"/>
  <c r="L5" i="6"/>
  <c r="K5" i="6"/>
  <c r="J5" i="6"/>
  <c r="I5" i="6"/>
  <c r="H5" i="6"/>
  <c r="G5" i="6"/>
  <c r="F5" i="6"/>
  <c r="E5" i="6"/>
  <c r="D5" i="6"/>
  <c r="C5" i="6"/>
  <c r="AK4" i="6"/>
  <c r="AB4" i="6"/>
  <c r="V4" i="6"/>
  <c r="Y4" i="6" s="1"/>
  <c r="O4" i="6"/>
  <c r="N4" i="6"/>
  <c r="M4" i="6"/>
  <c r="L4" i="6"/>
  <c r="K4" i="6"/>
  <c r="J4" i="6"/>
  <c r="I4" i="6"/>
  <c r="H4" i="6"/>
  <c r="G4" i="6"/>
  <c r="F4" i="6"/>
  <c r="E4" i="6"/>
  <c r="D4" i="6"/>
  <c r="AM3" i="6"/>
  <c r="AL3" i="6"/>
  <c r="AK3" i="6"/>
  <c r="AB3" i="6"/>
  <c r="V3" i="6"/>
  <c r="AH25" i="6" s="1"/>
  <c r="O3" i="6"/>
  <c r="N3" i="6"/>
  <c r="M3" i="6"/>
  <c r="L3" i="6"/>
  <c r="K3" i="6"/>
  <c r="J3" i="6"/>
  <c r="I3" i="6"/>
  <c r="H3" i="6"/>
  <c r="G3" i="6"/>
  <c r="F3" i="6"/>
  <c r="E3" i="6"/>
  <c r="AB2" i="6"/>
  <c r="O2" i="6"/>
  <c r="N2" i="6"/>
  <c r="M2" i="6"/>
  <c r="L2" i="6"/>
  <c r="K2" i="6"/>
  <c r="J2" i="6"/>
  <c r="I2" i="6"/>
  <c r="H2" i="6"/>
  <c r="G2" i="6"/>
  <c r="F2" i="6"/>
  <c r="E2" i="6"/>
  <c r="D2" i="6"/>
  <c r="F22" i="5"/>
  <c r="P21" i="5"/>
  <c r="AI62" i="2" s="1"/>
  <c r="G21" i="5"/>
  <c r="H21" i="5" s="1"/>
  <c r="F21" i="5"/>
  <c r="H20" i="5"/>
  <c r="G20" i="5"/>
  <c r="F20" i="5"/>
  <c r="H19" i="5"/>
  <c r="G19" i="5"/>
  <c r="F19" i="5"/>
  <c r="O18" i="5"/>
  <c r="N18" i="5"/>
  <c r="M18" i="5"/>
  <c r="L18" i="5"/>
  <c r="K18" i="5"/>
  <c r="J18" i="5"/>
  <c r="G18" i="5"/>
  <c r="H18" i="5" s="1"/>
  <c r="F18" i="5"/>
  <c r="G17" i="5"/>
  <c r="H17" i="5" s="1"/>
  <c r="F17" i="5"/>
  <c r="O16" i="5"/>
  <c r="N16" i="5"/>
  <c r="M16" i="5"/>
  <c r="L16" i="5"/>
  <c r="K16" i="5"/>
  <c r="J16" i="5"/>
  <c r="G16" i="5"/>
  <c r="H16" i="5" s="1"/>
  <c r="F16" i="5"/>
  <c r="O15" i="5"/>
  <c r="N15" i="5"/>
  <c r="M15" i="5"/>
  <c r="L15" i="5"/>
  <c r="K15" i="5"/>
  <c r="J15" i="5"/>
  <c r="G15" i="5"/>
  <c r="H15" i="5" s="1"/>
  <c r="F15" i="5"/>
  <c r="H14" i="5"/>
  <c r="G14" i="5"/>
  <c r="F14" i="5"/>
  <c r="G13" i="5"/>
  <c r="H13" i="5" s="1"/>
  <c r="F13" i="5"/>
  <c r="G12" i="5"/>
  <c r="H12" i="5" s="1"/>
  <c r="F12" i="5"/>
  <c r="G11" i="5"/>
  <c r="H11" i="5" s="1"/>
  <c r="F11" i="5"/>
  <c r="G10" i="5"/>
  <c r="H10" i="5" s="1"/>
  <c r="F10" i="5"/>
  <c r="H9" i="5"/>
  <c r="G9" i="5"/>
  <c r="F9" i="5"/>
  <c r="G8" i="5"/>
  <c r="H8" i="5" s="1"/>
  <c r="F8" i="5"/>
  <c r="G7" i="5"/>
  <c r="H7" i="5" s="1"/>
  <c r="F7" i="5"/>
  <c r="G6" i="5"/>
  <c r="H6" i="5" s="1"/>
  <c r="G5" i="5"/>
  <c r="H5" i="5" s="1"/>
  <c r="H4" i="5"/>
  <c r="G4" i="5"/>
  <c r="H3" i="5"/>
  <c r="G2" i="5"/>
  <c r="AJ57" i="4"/>
  <c r="AI57" i="4"/>
  <c r="AG57" i="4"/>
  <c r="AF57" i="4"/>
  <c r="AD57" i="4"/>
  <c r="AC57" i="4"/>
  <c r="AA57" i="4"/>
  <c r="Z57" i="4"/>
  <c r="X57" i="4"/>
  <c r="W57" i="4"/>
  <c r="U57" i="4"/>
  <c r="T57" i="4"/>
  <c r="AJ56" i="4"/>
  <c r="AI56" i="4"/>
  <c r="AG56" i="4"/>
  <c r="AF56" i="4"/>
  <c r="AD56" i="4"/>
  <c r="AC56" i="4"/>
  <c r="AA56" i="4"/>
  <c r="Z56" i="4"/>
  <c r="X56" i="4"/>
  <c r="W56" i="4"/>
  <c r="U56" i="4"/>
  <c r="T56" i="4"/>
  <c r="AJ55" i="4"/>
  <c r="AI55" i="4"/>
  <c r="AG55" i="4"/>
  <c r="AF55" i="4"/>
  <c r="AD55" i="4"/>
  <c r="AC55" i="4"/>
  <c r="AA55" i="4"/>
  <c r="Z55" i="4"/>
  <c r="X55" i="4"/>
  <c r="W55" i="4"/>
  <c r="U55" i="4"/>
  <c r="T55" i="4"/>
  <c r="AJ54" i="4"/>
  <c r="AI54" i="4"/>
  <c r="AG54" i="4"/>
  <c r="AF54" i="4"/>
  <c r="AD54" i="4"/>
  <c r="AC54" i="4"/>
  <c r="AA54" i="4"/>
  <c r="Z54" i="4"/>
  <c r="X54" i="4"/>
  <c r="W54" i="4"/>
  <c r="U54" i="4"/>
  <c r="T54" i="4"/>
  <c r="AJ53" i="4"/>
  <c r="AI53" i="4"/>
  <c r="AG53" i="4"/>
  <c r="AF53" i="4"/>
  <c r="AD53" i="4"/>
  <c r="AC53" i="4"/>
  <c r="AA53" i="4"/>
  <c r="Z53" i="4"/>
  <c r="X53" i="4"/>
  <c r="W53" i="4"/>
  <c r="U53" i="4"/>
  <c r="T53" i="4"/>
  <c r="AJ52" i="4"/>
  <c r="AI52" i="4"/>
  <c r="AG52" i="4"/>
  <c r="AF52" i="4"/>
  <c r="AD52" i="4"/>
  <c r="AC52" i="4"/>
  <c r="AA52" i="4"/>
  <c r="Z52" i="4"/>
  <c r="X52" i="4"/>
  <c r="W52" i="4"/>
  <c r="U52" i="4"/>
  <c r="T52" i="4"/>
  <c r="AJ51" i="4"/>
  <c r="AI51" i="4"/>
  <c r="AG51" i="4"/>
  <c r="AF51" i="4"/>
  <c r="AD51" i="4"/>
  <c r="AC51" i="4"/>
  <c r="AA51" i="4"/>
  <c r="Z51" i="4"/>
  <c r="X51" i="4"/>
  <c r="W51" i="4"/>
  <c r="U51" i="4"/>
  <c r="T51" i="4"/>
  <c r="AJ50" i="4"/>
  <c r="AI50" i="4"/>
  <c r="AG50" i="4"/>
  <c r="AF50" i="4"/>
  <c r="AD50" i="4"/>
  <c r="AC50" i="4"/>
  <c r="AA50" i="4"/>
  <c r="Z50" i="4"/>
  <c r="X50" i="4"/>
  <c r="W50" i="4"/>
  <c r="U50" i="4"/>
  <c r="T50" i="4"/>
  <c r="AJ49" i="4"/>
  <c r="AI49" i="4"/>
  <c r="AG49" i="4"/>
  <c r="AF49" i="4"/>
  <c r="AD49" i="4"/>
  <c r="AC49" i="4"/>
  <c r="AA49" i="4"/>
  <c r="Z49" i="4"/>
  <c r="X49" i="4"/>
  <c r="W49" i="4"/>
  <c r="U49" i="4"/>
  <c r="T49" i="4"/>
  <c r="AJ48" i="4"/>
  <c r="AI48" i="4"/>
  <c r="AG48" i="4"/>
  <c r="AF48" i="4"/>
  <c r="AD48" i="4"/>
  <c r="AC48" i="4"/>
  <c r="AA48" i="4"/>
  <c r="Z48" i="4"/>
  <c r="X48" i="4"/>
  <c r="W48" i="4"/>
  <c r="U48" i="4"/>
  <c r="T48" i="4"/>
  <c r="AJ47" i="4"/>
  <c r="AI47" i="4"/>
  <c r="AG47" i="4"/>
  <c r="AF47" i="4"/>
  <c r="AD47" i="4"/>
  <c r="AC47" i="4"/>
  <c r="AA47" i="4"/>
  <c r="Z47" i="4"/>
  <c r="X47" i="4"/>
  <c r="W47" i="4"/>
  <c r="U47" i="4"/>
  <c r="T47" i="4"/>
  <c r="AJ46" i="4"/>
  <c r="AI46" i="4"/>
  <c r="AG46" i="4"/>
  <c r="AF46" i="4"/>
  <c r="AD46" i="4"/>
  <c r="AC46" i="4"/>
  <c r="AA46" i="4"/>
  <c r="Z46" i="4"/>
  <c r="X46" i="4"/>
  <c r="W46" i="4"/>
  <c r="U46" i="4"/>
  <c r="T46" i="4"/>
  <c r="AJ45" i="4"/>
  <c r="AI45" i="4"/>
  <c r="AG45" i="4"/>
  <c r="AF45" i="4"/>
  <c r="AD45" i="4"/>
  <c r="AC45" i="4"/>
  <c r="AA45" i="4"/>
  <c r="Z45" i="4"/>
  <c r="X45" i="4"/>
  <c r="W45" i="4"/>
  <c r="U45" i="4"/>
  <c r="T45" i="4"/>
  <c r="AJ44" i="4"/>
  <c r="AI44" i="4"/>
  <c r="AG44" i="4"/>
  <c r="AF44" i="4"/>
  <c r="AD44" i="4"/>
  <c r="AC44" i="4"/>
  <c r="AA44" i="4"/>
  <c r="Z44" i="4"/>
  <c r="X44" i="4"/>
  <c r="W44" i="4"/>
  <c r="U44" i="4"/>
  <c r="T44" i="4"/>
  <c r="AJ43" i="4"/>
  <c r="AI43" i="4"/>
  <c r="AG43" i="4"/>
  <c r="AF43" i="4"/>
  <c r="AD43" i="4"/>
  <c r="AC43" i="4"/>
  <c r="AA43" i="4"/>
  <c r="Z43" i="4"/>
  <c r="X43" i="4"/>
  <c r="W43" i="4"/>
  <c r="U43" i="4"/>
  <c r="T43" i="4"/>
  <c r="AJ42" i="4"/>
  <c r="AI42" i="4"/>
  <c r="AG42" i="4"/>
  <c r="AF42" i="4"/>
  <c r="AD42" i="4"/>
  <c r="AC42" i="4"/>
  <c r="AA42" i="4"/>
  <c r="Z42" i="4"/>
  <c r="X42" i="4"/>
  <c r="W42" i="4"/>
  <c r="U42" i="4"/>
  <c r="T42" i="4"/>
  <c r="AJ41" i="4"/>
  <c r="AI41" i="4"/>
  <c r="AG41" i="4"/>
  <c r="AF41" i="4"/>
  <c r="AD41" i="4"/>
  <c r="AC41" i="4"/>
  <c r="AA41" i="4"/>
  <c r="Z41" i="4"/>
  <c r="X41" i="4"/>
  <c r="W41" i="4"/>
  <c r="U41" i="4"/>
  <c r="T41" i="4"/>
  <c r="AJ40" i="4"/>
  <c r="AI40" i="4"/>
  <c r="AG40" i="4"/>
  <c r="AF40" i="4"/>
  <c r="AD40" i="4"/>
  <c r="AC40" i="4"/>
  <c r="AA40" i="4"/>
  <c r="Z40" i="4"/>
  <c r="X40" i="4"/>
  <c r="W40" i="4"/>
  <c r="U40" i="4"/>
  <c r="T40" i="4"/>
  <c r="AJ39" i="4"/>
  <c r="AI39" i="4"/>
  <c r="AG39" i="4"/>
  <c r="AF39" i="4"/>
  <c r="AD39" i="4"/>
  <c r="AC39" i="4"/>
  <c r="AA39" i="4"/>
  <c r="Z39" i="4"/>
  <c r="X39" i="4"/>
  <c r="W39" i="4"/>
  <c r="U39" i="4"/>
  <c r="T39" i="4"/>
  <c r="AJ38" i="4"/>
  <c r="AI38" i="4"/>
  <c r="AG38" i="4"/>
  <c r="AF38" i="4"/>
  <c r="AD38" i="4"/>
  <c r="AC38" i="4"/>
  <c r="AA38" i="4"/>
  <c r="Z38" i="4"/>
  <c r="X38" i="4"/>
  <c r="W38" i="4"/>
  <c r="U38" i="4"/>
  <c r="T38" i="4"/>
  <c r="AJ37" i="4"/>
  <c r="AI37" i="4"/>
  <c r="AG37" i="4"/>
  <c r="AF37" i="4"/>
  <c r="AD37" i="4"/>
  <c r="AC37" i="4"/>
  <c r="AA37" i="4"/>
  <c r="Z37" i="4"/>
  <c r="X37" i="4"/>
  <c r="W37" i="4"/>
  <c r="U37" i="4"/>
  <c r="T37" i="4"/>
  <c r="AJ36" i="4"/>
  <c r="AI36" i="4"/>
  <c r="AG36" i="4"/>
  <c r="AF36" i="4"/>
  <c r="AD36" i="4"/>
  <c r="AC36" i="4"/>
  <c r="AA36" i="4"/>
  <c r="Z36" i="4"/>
  <c r="X36" i="4"/>
  <c r="W36" i="4"/>
  <c r="U36" i="4"/>
  <c r="T36" i="4"/>
  <c r="AJ35" i="4"/>
  <c r="AI35" i="4"/>
  <c r="AG35" i="4"/>
  <c r="AF35" i="4"/>
  <c r="AD35" i="4"/>
  <c r="AC35" i="4"/>
  <c r="AA35" i="4"/>
  <c r="Z35" i="4"/>
  <c r="X35" i="4"/>
  <c r="W35" i="4"/>
  <c r="U35" i="4"/>
  <c r="T35" i="4"/>
  <c r="AJ34" i="4"/>
  <c r="AI34" i="4"/>
  <c r="AG34" i="4"/>
  <c r="AF34" i="4"/>
  <c r="AD34" i="4"/>
  <c r="AC34" i="4"/>
  <c r="AA34" i="4"/>
  <c r="Z34" i="4"/>
  <c r="X34" i="4"/>
  <c r="W34" i="4"/>
  <c r="U34" i="4"/>
  <c r="T34" i="4"/>
  <c r="AJ33" i="4"/>
  <c r="AI33" i="4"/>
  <c r="AG33" i="4"/>
  <c r="AF33" i="4"/>
  <c r="AD33" i="4"/>
  <c r="AC33" i="4"/>
  <c r="AA33" i="4"/>
  <c r="Z33" i="4"/>
  <c r="X33" i="4"/>
  <c r="W33" i="4"/>
  <c r="U33" i="4"/>
  <c r="T33" i="4"/>
  <c r="AJ32" i="4"/>
  <c r="AI32" i="4"/>
  <c r="AG32" i="4"/>
  <c r="AF32" i="4"/>
  <c r="AD32" i="4"/>
  <c r="AC32" i="4"/>
  <c r="AA32" i="4"/>
  <c r="Z32" i="4"/>
  <c r="X32" i="4"/>
  <c r="W32" i="4"/>
  <c r="U32" i="4"/>
  <c r="T32" i="4"/>
  <c r="AJ31" i="4"/>
  <c r="AI31" i="4"/>
  <c r="AG31" i="4"/>
  <c r="AF31" i="4"/>
  <c r="AD31" i="4"/>
  <c r="AC31" i="4"/>
  <c r="AA31" i="4"/>
  <c r="Z31" i="4"/>
  <c r="X31" i="4"/>
  <c r="W31" i="4"/>
  <c r="U31" i="4"/>
  <c r="T31" i="4"/>
  <c r="AJ30" i="4"/>
  <c r="AI30" i="4"/>
  <c r="AG30" i="4"/>
  <c r="AF30" i="4"/>
  <c r="AD30" i="4"/>
  <c r="AC30" i="4"/>
  <c r="AA30" i="4"/>
  <c r="Z30" i="4"/>
  <c r="X30" i="4"/>
  <c r="W30" i="4"/>
  <c r="U30" i="4"/>
  <c r="T30" i="4"/>
  <c r="AJ29" i="4"/>
  <c r="AI29" i="4"/>
  <c r="AG29" i="4"/>
  <c r="AF29" i="4"/>
  <c r="AD29" i="4"/>
  <c r="AC29" i="4"/>
  <c r="AA29" i="4"/>
  <c r="Z29" i="4"/>
  <c r="X29" i="4"/>
  <c r="W29" i="4"/>
  <c r="U29" i="4"/>
  <c r="T29" i="4"/>
  <c r="AJ28" i="4"/>
  <c r="AI28" i="4"/>
  <c r="AG28" i="4"/>
  <c r="AF28" i="4"/>
  <c r="AD28" i="4"/>
  <c r="AC28" i="4"/>
  <c r="AA28" i="4"/>
  <c r="Z28" i="4"/>
  <c r="X28" i="4"/>
  <c r="W28" i="4"/>
  <c r="U28" i="4"/>
  <c r="T28" i="4"/>
  <c r="AJ27" i="4"/>
  <c r="AI27" i="4"/>
  <c r="AG27" i="4"/>
  <c r="AF27" i="4"/>
  <c r="AD27" i="4"/>
  <c r="AC27" i="4"/>
  <c r="AA27" i="4"/>
  <c r="Z27" i="4"/>
  <c r="X27" i="4"/>
  <c r="W27" i="4"/>
  <c r="U27" i="4"/>
  <c r="T27" i="4"/>
  <c r="AJ26" i="4"/>
  <c r="AI26" i="4"/>
  <c r="AG26" i="4"/>
  <c r="AF26" i="4"/>
  <c r="AD26" i="4"/>
  <c r="AC26" i="4"/>
  <c r="AA26" i="4"/>
  <c r="Z26" i="4"/>
  <c r="X26" i="4"/>
  <c r="W26" i="4"/>
  <c r="U26" i="4"/>
  <c r="T26" i="4"/>
  <c r="AJ25" i="4"/>
  <c r="AI25" i="4"/>
  <c r="AG25" i="4"/>
  <c r="AF25" i="4"/>
  <c r="AD25" i="4"/>
  <c r="AC25" i="4"/>
  <c r="AA25" i="4"/>
  <c r="Z25" i="4"/>
  <c r="X25" i="4"/>
  <c r="W25" i="4"/>
  <c r="U25" i="4"/>
  <c r="T25" i="4"/>
  <c r="AJ24" i="4"/>
  <c r="AI24" i="4"/>
  <c r="AG24" i="4"/>
  <c r="AF24" i="4"/>
  <c r="AD24" i="4"/>
  <c r="AC24" i="4"/>
  <c r="AA24" i="4"/>
  <c r="Z24" i="4"/>
  <c r="X24" i="4"/>
  <c r="W24" i="4"/>
  <c r="U24" i="4"/>
  <c r="T24" i="4"/>
  <c r="AJ23" i="4"/>
  <c r="AI23" i="4"/>
  <c r="AG23" i="4"/>
  <c r="AF23" i="4"/>
  <c r="AD23" i="4"/>
  <c r="AC23" i="4"/>
  <c r="AA23" i="4"/>
  <c r="Z23" i="4"/>
  <c r="X23" i="4"/>
  <c r="W23" i="4"/>
  <c r="U23" i="4"/>
  <c r="T23" i="4"/>
  <c r="AJ22" i="4"/>
  <c r="AI22" i="4"/>
  <c r="AG22" i="4"/>
  <c r="AF22" i="4"/>
  <c r="AD22" i="4"/>
  <c r="AC22" i="4"/>
  <c r="AA22" i="4"/>
  <c r="Z22" i="4"/>
  <c r="X22" i="4"/>
  <c r="W22" i="4"/>
  <c r="U22" i="4"/>
  <c r="T22" i="4"/>
  <c r="AJ21" i="4"/>
  <c r="AI21" i="4"/>
  <c r="AG21" i="4"/>
  <c r="AF21" i="4"/>
  <c r="AD21" i="4"/>
  <c r="AC21" i="4"/>
  <c r="AA21" i="4"/>
  <c r="Z21" i="4"/>
  <c r="X21" i="4"/>
  <c r="W21" i="4"/>
  <c r="U21" i="4"/>
  <c r="T21" i="4"/>
  <c r="AJ20" i="4"/>
  <c r="AI20" i="4"/>
  <c r="AG20" i="4"/>
  <c r="AF20" i="4"/>
  <c r="AD20" i="4"/>
  <c r="AC20" i="4"/>
  <c r="AA20" i="4"/>
  <c r="Z20" i="4"/>
  <c r="X20" i="4"/>
  <c r="W20" i="4"/>
  <c r="U20" i="4"/>
  <c r="T20" i="4"/>
  <c r="AJ19" i="4"/>
  <c r="AI19" i="4"/>
  <c r="AG19" i="4"/>
  <c r="AF19" i="4"/>
  <c r="AD19" i="4"/>
  <c r="AC19" i="4"/>
  <c r="AA19" i="4"/>
  <c r="Z19" i="4"/>
  <c r="X19" i="4"/>
  <c r="W19" i="4"/>
  <c r="U19" i="4"/>
  <c r="T19" i="4"/>
  <c r="AJ18" i="4"/>
  <c r="AI18" i="4"/>
  <c r="AG18" i="4"/>
  <c r="AF18" i="4"/>
  <c r="AD18" i="4"/>
  <c r="AC18" i="4"/>
  <c r="AA18" i="4"/>
  <c r="Z18" i="4"/>
  <c r="X18" i="4"/>
  <c r="W18" i="4"/>
  <c r="U18" i="4"/>
  <c r="T18" i="4"/>
  <c r="AJ17" i="4"/>
  <c r="AI17" i="4"/>
  <c r="AG17" i="4"/>
  <c r="AF17" i="4"/>
  <c r="AD17" i="4"/>
  <c r="AC17" i="4"/>
  <c r="AA17" i="4"/>
  <c r="Z17" i="4"/>
  <c r="X17" i="4"/>
  <c r="W17" i="4"/>
  <c r="U17" i="4"/>
  <c r="T17" i="4"/>
  <c r="AJ16" i="4"/>
  <c r="AI16" i="4"/>
  <c r="AG16" i="4"/>
  <c r="AF16" i="4"/>
  <c r="AD16" i="4"/>
  <c r="AC16" i="4"/>
  <c r="AA16" i="4"/>
  <c r="Z16" i="4"/>
  <c r="X16" i="4"/>
  <c r="W16" i="4"/>
  <c r="U16" i="4"/>
  <c r="T16" i="4"/>
  <c r="AJ15" i="4"/>
  <c r="AI15" i="4"/>
  <c r="AG15" i="4"/>
  <c r="AF15" i="4"/>
  <c r="AD15" i="4"/>
  <c r="AC15" i="4"/>
  <c r="AA15" i="4"/>
  <c r="Z15" i="4"/>
  <c r="X15" i="4"/>
  <c r="W15" i="4"/>
  <c r="U15" i="4"/>
  <c r="T15" i="4"/>
  <c r="AJ14" i="4"/>
  <c r="AI14" i="4"/>
  <c r="AG14" i="4"/>
  <c r="AF14" i="4"/>
  <c r="AD14" i="4"/>
  <c r="AC14" i="4"/>
  <c r="AA14" i="4"/>
  <c r="Z14" i="4"/>
  <c r="X14" i="4"/>
  <c r="W14" i="4"/>
  <c r="U14" i="4"/>
  <c r="T14" i="4"/>
  <c r="AJ13" i="4"/>
  <c r="AI13" i="4"/>
  <c r="AG13" i="4"/>
  <c r="AF13" i="4"/>
  <c r="AD13" i="4"/>
  <c r="AC13" i="4"/>
  <c r="AA13" i="4"/>
  <c r="Z13" i="4"/>
  <c r="X13" i="4"/>
  <c r="W13" i="4"/>
  <c r="U13" i="4"/>
  <c r="T13" i="4"/>
  <c r="AJ12" i="4"/>
  <c r="AI12" i="4"/>
  <c r="AG12" i="4"/>
  <c r="AF12" i="4"/>
  <c r="AD12" i="4"/>
  <c r="AC12" i="4"/>
  <c r="AA12" i="4"/>
  <c r="Z12" i="4"/>
  <c r="X12" i="4"/>
  <c r="W12" i="4"/>
  <c r="U12" i="4"/>
  <c r="T12" i="4"/>
  <c r="AJ11" i="4"/>
  <c r="AI11" i="4"/>
  <c r="AG11" i="4"/>
  <c r="AF11" i="4"/>
  <c r="AD11" i="4"/>
  <c r="AC11" i="4"/>
  <c r="AA11" i="4"/>
  <c r="Z11" i="4"/>
  <c r="X11" i="4"/>
  <c r="W11" i="4"/>
  <c r="U11" i="4"/>
  <c r="T11" i="4"/>
  <c r="AJ10" i="4"/>
  <c r="AI10" i="4"/>
  <c r="AG10" i="4"/>
  <c r="AF10" i="4"/>
  <c r="AD10" i="4"/>
  <c r="AC10" i="4"/>
  <c r="AA10" i="4"/>
  <c r="Z10" i="4"/>
  <c r="X10" i="4"/>
  <c r="W10" i="4"/>
  <c r="U10" i="4"/>
  <c r="T10" i="4"/>
  <c r="AJ9" i="4"/>
  <c r="AI9" i="4"/>
  <c r="AG9" i="4"/>
  <c r="AF9" i="4"/>
  <c r="AD9" i="4"/>
  <c r="AC9" i="4"/>
  <c r="AA9" i="4"/>
  <c r="Z9" i="4"/>
  <c r="X9" i="4"/>
  <c r="W9" i="4"/>
  <c r="U9" i="4"/>
  <c r="T9" i="4"/>
  <c r="AJ8" i="4"/>
  <c r="AI8" i="4"/>
  <c r="AG8" i="4"/>
  <c r="AF8" i="4"/>
  <c r="AD8" i="4"/>
  <c r="AC8" i="4"/>
  <c r="AA8" i="4"/>
  <c r="Z8" i="4"/>
  <c r="X8" i="4"/>
  <c r="W8" i="4"/>
  <c r="U8" i="4"/>
  <c r="T8" i="4"/>
  <c r="V5" i="4"/>
  <c r="U6" i="4" s="1"/>
  <c r="U5" i="4"/>
  <c r="Y4" i="4"/>
  <c r="C3" i="4"/>
  <c r="C9" i="4" s="1"/>
  <c r="AR27" i="3"/>
  <c r="AM27" i="3"/>
  <c r="U27" i="3"/>
  <c r="P27" i="3"/>
  <c r="P80" i="2"/>
  <c r="P79" i="2"/>
  <c r="I79" i="2"/>
  <c r="I77" i="2"/>
  <c r="I76" i="2"/>
  <c r="I75" i="2"/>
  <c r="BE74" i="2"/>
  <c r="BC74" i="2"/>
  <c r="I74" i="2"/>
  <c r="BE73" i="2"/>
  <c r="BC73" i="2"/>
  <c r="P73" i="2"/>
  <c r="I73" i="2"/>
  <c r="BE72" i="2"/>
  <c r="BC72" i="2"/>
  <c r="W72" i="2"/>
  <c r="I72" i="2"/>
  <c r="BE71" i="2"/>
  <c r="BC71" i="2"/>
  <c r="I71" i="2"/>
  <c r="BE70" i="2"/>
  <c r="BC70" i="2"/>
  <c r="AD70" i="2"/>
  <c r="W70" i="2"/>
  <c r="P70" i="2"/>
  <c r="I70" i="2"/>
  <c r="BE69" i="2"/>
  <c r="BC69" i="2"/>
  <c r="AK69" i="2"/>
  <c r="W68" i="2"/>
  <c r="AK66" i="2"/>
  <c r="AH66" i="2"/>
  <c r="AE66" i="2"/>
  <c r="BO65" i="2"/>
  <c r="AO62" i="2"/>
  <c r="AC62" i="2"/>
  <c r="W62" i="2"/>
  <c r="Q62" i="2"/>
  <c r="N62" i="2"/>
  <c r="AA60" i="2"/>
  <c r="AY58" i="2"/>
  <c r="BG58" i="2" s="1"/>
  <c r="AA58" i="2"/>
  <c r="L58" i="2"/>
  <c r="BG57" i="2"/>
  <c r="AY57" i="2"/>
  <c r="AI54" i="2"/>
  <c r="AE54" i="2" s="1"/>
  <c r="AI53" i="2"/>
  <c r="AQ50" i="2"/>
  <c r="AO50" i="2"/>
  <c r="AK50" i="2"/>
  <c r="AH50" i="2"/>
  <c r="AQ49" i="2"/>
  <c r="AK49" i="2"/>
  <c r="AK45" i="2"/>
  <c r="AF45" i="2"/>
  <c r="AC45" i="2"/>
  <c r="AK44" i="2"/>
  <c r="AF44" i="2"/>
  <c r="AC44" i="2"/>
  <c r="AK43" i="2"/>
  <c r="AF43" i="2"/>
  <c r="AC43" i="2"/>
  <c r="AK42" i="2"/>
  <c r="AF42" i="2"/>
  <c r="AK41" i="2"/>
  <c r="AF41" i="2"/>
  <c r="W37" i="2"/>
  <c r="O26" i="2"/>
  <c r="J25" i="2"/>
  <c r="F19" i="2"/>
  <c r="A40" i="10" s="1"/>
  <c r="F18" i="2"/>
  <c r="F17" i="2"/>
  <c r="AZ123" i="2" s="1"/>
  <c r="F16" i="2"/>
  <c r="T16" i="2" s="1"/>
  <c r="F15" i="2"/>
  <c r="AZ121" i="2" s="1"/>
  <c r="F14" i="2"/>
  <c r="T14" i="2" s="1"/>
  <c r="BA10" i="2"/>
  <c r="E4" i="1"/>
  <c r="E3" i="1"/>
  <c r="AP1" i="1"/>
  <c r="AH26" i="8" l="1"/>
  <c r="M19" i="8"/>
  <c r="AQ17" i="11"/>
  <c r="AU8" i="8"/>
  <c r="B61" i="8" s="1"/>
  <c r="AO20" i="11"/>
  <c r="AP20" i="11"/>
  <c r="I69" i="2" s="1"/>
  <c r="AQ20" i="11"/>
  <c r="Z4" i="8"/>
  <c r="AO19" i="11"/>
  <c r="AP19" i="11"/>
  <c r="I68" i="2" s="1"/>
  <c r="AQ19" i="11"/>
  <c r="AP18" i="11"/>
  <c r="I67" i="2" s="1"/>
  <c r="AO18" i="11"/>
  <c r="AQ18" i="11"/>
  <c r="AO17" i="11"/>
  <c r="AO16" i="11"/>
  <c r="AQ16" i="11"/>
  <c r="AR16" i="11"/>
  <c r="AO15" i="11"/>
  <c r="AP15" i="11"/>
  <c r="B79" i="2" s="1"/>
  <c r="AQ15" i="11"/>
  <c r="AP14" i="11"/>
  <c r="B78" i="2" s="1"/>
  <c r="AO14" i="11"/>
  <c r="AR14" i="11"/>
  <c r="AO13" i="11"/>
  <c r="AP13" i="11"/>
  <c r="B77" i="2" s="1"/>
  <c r="AR13" i="11"/>
  <c r="AO10" i="11"/>
  <c r="AQ12" i="11"/>
  <c r="AR12" i="11"/>
  <c r="AO12" i="11"/>
  <c r="AQ11" i="11"/>
  <c r="AO11" i="11"/>
  <c r="AP11" i="11"/>
  <c r="B75" i="2" s="1"/>
  <c r="AP10" i="11"/>
  <c r="B74" i="2" s="1"/>
  <c r="AQ10" i="11"/>
  <c r="AR10" i="11"/>
  <c r="Z12" i="8"/>
  <c r="AS29" i="11" a="1"/>
  <c r="AS29" i="11" s="1"/>
  <c r="AH27" i="8"/>
  <c r="AH11" i="8"/>
  <c r="AH16" i="8"/>
  <c r="AH13" i="8"/>
  <c r="AH19" i="8"/>
  <c r="AH34" i="8"/>
  <c r="Z21" i="8"/>
  <c r="AH33" i="8"/>
  <c r="AH21" i="8"/>
  <c r="AH30" i="8"/>
  <c r="AH8" i="8"/>
  <c r="AD4" i="6"/>
  <c r="BI20" i="7"/>
  <c r="BI17" i="7"/>
  <c r="BI18" i="7"/>
  <c r="Y2" i="8"/>
  <c r="E55" i="6"/>
  <c r="R17" i="2"/>
  <c r="I45" i="2" s="1"/>
  <c r="Q6" i="5" s="1"/>
  <c r="AZ122" i="2"/>
  <c r="Y35" i="8"/>
  <c r="Z33" i="8"/>
  <c r="Z18" i="8"/>
  <c r="Z17" i="8"/>
  <c r="Z16" i="8"/>
  <c r="Z14" i="8"/>
  <c r="Z13" i="8"/>
  <c r="C25" i="9"/>
  <c r="G115" i="9"/>
  <c r="G105" i="9"/>
  <c r="G82" i="9"/>
  <c r="G61" i="9"/>
  <c r="G26" i="9"/>
  <c r="G34" i="9"/>
  <c r="G33" i="9"/>
  <c r="G102" i="9"/>
  <c r="G79" i="9"/>
  <c r="G59" i="9"/>
  <c r="G5" i="9"/>
  <c r="G69" i="9"/>
  <c r="G101" i="9"/>
  <c r="G78" i="9"/>
  <c r="G37" i="9"/>
  <c r="F5" i="9"/>
  <c r="B30" i="9" s="1"/>
  <c r="G100" i="9"/>
  <c r="G77" i="9"/>
  <c r="G58" i="9"/>
  <c r="G23" i="9"/>
  <c r="G4" i="9"/>
  <c r="G98" i="9"/>
  <c r="G75" i="9"/>
  <c r="G35" i="9"/>
  <c r="G2" i="9"/>
  <c r="G97" i="9"/>
  <c r="G74" i="9"/>
  <c r="G57" i="9"/>
  <c r="G93" i="9"/>
  <c r="G44" i="9"/>
  <c r="G16" i="9"/>
  <c r="G11" i="9"/>
  <c r="F11" i="9" s="1"/>
  <c r="A22" i="9" s="1"/>
  <c r="G99" i="9"/>
  <c r="G76" i="9"/>
  <c r="G29" i="9"/>
  <c r="G3" i="9"/>
  <c r="G24" i="9"/>
  <c r="G113" i="9"/>
  <c r="G92" i="9"/>
  <c r="G68" i="9"/>
  <c r="G55" i="9"/>
  <c r="G30" i="9"/>
  <c r="G15" i="9"/>
  <c r="G17" i="9"/>
  <c r="G12" i="9"/>
  <c r="G112" i="9"/>
  <c r="G91" i="9"/>
  <c r="G67" i="9"/>
  <c r="G50" i="9"/>
  <c r="G43" i="9"/>
  <c r="G20" i="9"/>
  <c r="G14" i="9"/>
  <c r="G111" i="9"/>
  <c r="G90" i="9"/>
  <c r="G66" i="9"/>
  <c r="G54" i="9"/>
  <c r="G19" i="9"/>
  <c r="G110" i="9"/>
  <c r="G88" i="9"/>
  <c r="G65" i="9"/>
  <c r="G49" i="9"/>
  <c r="G42" i="9"/>
  <c r="G25" i="9"/>
  <c r="G18" i="9"/>
  <c r="G109" i="9"/>
  <c r="G87" i="9"/>
  <c r="G64" i="9"/>
  <c r="G108" i="9"/>
  <c r="G86" i="9"/>
  <c r="G63" i="9"/>
  <c r="G48" i="9"/>
  <c r="G41" i="9"/>
  <c r="G107" i="9"/>
  <c r="G85" i="9"/>
  <c r="G31" i="9"/>
  <c r="G104" i="9"/>
  <c r="G81" i="9"/>
  <c r="G60" i="9"/>
  <c r="G46" i="9"/>
  <c r="G28" i="9"/>
  <c r="G103" i="9"/>
  <c r="G80" i="9"/>
  <c r="G53" i="9"/>
  <c r="G38" i="9"/>
  <c r="G96" i="9"/>
  <c r="G73" i="9"/>
  <c r="G45" i="9"/>
  <c r="G13" i="9"/>
  <c r="G94" i="9"/>
  <c r="G72" i="9"/>
  <c r="G56" i="9"/>
  <c r="G52" i="9"/>
  <c r="G106" i="9"/>
  <c r="G83" i="9"/>
  <c r="G62" i="9"/>
  <c r="G47" i="9"/>
  <c r="G40" i="9"/>
  <c r="G22" i="9"/>
  <c r="F10" i="10"/>
  <c r="AD9" i="6"/>
  <c r="AD8" i="6"/>
  <c r="AD6" i="6"/>
  <c r="AD5" i="6"/>
  <c r="AD3" i="6"/>
  <c r="Z3" i="6"/>
  <c r="AD2" i="6"/>
  <c r="T19" i="2"/>
  <c r="R19" i="2"/>
  <c r="I60" i="2" s="1"/>
  <c r="Q19" i="5" s="1"/>
  <c r="AZ125" i="2"/>
  <c r="T17" i="2"/>
  <c r="T15" i="2"/>
  <c r="R15" i="2"/>
  <c r="Q4" i="5" s="1"/>
  <c r="A109" i="10"/>
  <c r="AH73" i="6"/>
  <c r="A70" i="10"/>
  <c r="J29" i="8"/>
  <c r="B56" i="8"/>
  <c r="B6" i="8"/>
  <c r="BC2" i="7"/>
  <c r="AI56" i="11" a="1"/>
  <c r="AI56" i="11" s="1"/>
  <c r="AG56" i="11" a="1"/>
  <c r="AG56" i="11" s="1"/>
  <c r="AG53" i="11" a="1"/>
  <c r="AG53" i="11" s="1"/>
  <c r="AF19" i="7"/>
  <c r="AD31" i="7"/>
  <c r="AD41" i="7"/>
  <c r="AC31" i="7"/>
  <c r="AC21" i="6"/>
  <c r="AM22" i="6"/>
  <c r="AD21" i="6"/>
  <c r="J24" i="8"/>
  <c r="BI14" i="7"/>
  <c r="BI13" i="7"/>
  <c r="AP8" i="11"/>
  <c r="B72" i="2" s="1"/>
  <c r="AI49" i="11" a="1"/>
  <c r="AI49" i="11" s="1"/>
  <c r="AI54" i="11" a="1"/>
  <c r="AI54" i="11" s="1"/>
  <c r="AI51" i="11" a="1"/>
  <c r="AI51" i="11" s="1"/>
  <c r="AI48" i="11" a="1"/>
  <c r="AI48" i="11" s="1"/>
  <c r="AI53" i="11" a="1"/>
  <c r="AI53" i="11" s="1"/>
  <c r="BI15" i="7"/>
  <c r="BI11" i="7"/>
  <c r="BI12" i="7"/>
  <c r="BI7" i="7"/>
  <c r="BI3" i="7"/>
  <c r="BI5" i="7"/>
  <c r="AB37" i="7"/>
  <c r="AD32" i="7"/>
  <c r="AB24" i="7"/>
  <c r="AB28" i="7"/>
  <c r="AB38" i="7"/>
  <c r="AD43" i="7"/>
  <c r="AD24" i="7"/>
  <c r="AC33" i="7"/>
  <c r="AD38" i="7"/>
  <c r="AC37" i="7"/>
  <c r="AD37" i="7"/>
  <c r="AC43" i="7"/>
  <c r="AC24" i="7"/>
  <c r="AJ28" i="7"/>
  <c r="AC38" i="7"/>
  <c r="AJ24" i="7"/>
  <c r="AB43" i="7"/>
  <c r="H1" i="5"/>
  <c r="H2" i="5" s="1"/>
  <c r="P5" i="2" s="1"/>
  <c r="AD34" i="7"/>
  <c r="AC42" i="7"/>
  <c r="AC25" i="7"/>
  <c r="AB39" i="7"/>
  <c r="AJ19" i="7"/>
  <c r="AC39" i="7"/>
  <c r="AB35" i="7"/>
  <c r="AD39" i="7"/>
  <c r="AB27" i="7"/>
  <c r="AB30" i="7"/>
  <c r="AC35" i="7"/>
  <c r="AI11" i="7"/>
  <c r="AJ11" i="7" s="1"/>
  <c r="AC26" i="7"/>
  <c r="AD30" i="7"/>
  <c r="AD35" i="7"/>
  <c r="AD40" i="7"/>
  <c r="AB42" i="7"/>
  <c r="AD27" i="7"/>
  <c r="AB31" i="7"/>
  <c r="BI9" i="7"/>
  <c r="BI6" i="7"/>
  <c r="BI4" i="7"/>
  <c r="BI57" i="7"/>
  <c r="J90" i="7" s="1"/>
  <c r="BH54" i="7"/>
  <c r="B91" i="7" s="1"/>
  <c r="AH45" i="6"/>
  <c r="AC19" i="6"/>
  <c r="J64" i="6" s="1"/>
  <c r="AC20" i="6"/>
  <c r="L64" i="6" s="1"/>
  <c r="U18" i="6"/>
  <c r="AD19" i="6"/>
  <c r="AH54" i="6"/>
  <c r="AJ72" i="6"/>
  <c r="AK72" i="6"/>
  <c r="AK73" i="6" s="1"/>
  <c r="A60" i="10"/>
  <c r="T2" i="6"/>
  <c r="T7" i="6" s="1"/>
  <c r="AG76" i="6"/>
  <c r="AJ107" i="6"/>
  <c r="A104" i="10"/>
  <c r="AG77" i="6"/>
  <c r="AK107" i="6"/>
  <c r="AK108" i="6" s="1"/>
  <c r="AH77" i="6"/>
  <c r="AL107" i="6"/>
  <c r="AL108" i="6" s="1"/>
  <c r="AC25" i="6"/>
  <c r="H108" i="6" s="1"/>
  <c r="AM107" i="6"/>
  <c r="AM108" i="6" s="1"/>
  <c r="J35" i="8"/>
  <c r="AC23" i="6"/>
  <c r="F70" i="6" s="1"/>
  <c r="AC24" i="6"/>
  <c r="D86" i="6" s="1"/>
  <c r="AG25" i="6"/>
  <c r="AC22" i="6"/>
  <c r="G68" i="6" s="1"/>
  <c r="BD2" i="7"/>
  <c r="AE20" i="7"/>
  <c r="Y10" i="7"/>
  <c r="AP62" i="7"/>
  <c r="AE10" i="7"/>
  <c r="AI8" i="7"/>
  <c r="AJ8" i="7" s="1"/>
  <c r="AI10" i="7"/>
  <c r="AJ10" i="7" s="1"/>
  <c r="AJ35" i="7"/>
  <c r="AI4" i="7"/>
  <c r="AJ4" i="7" s="1"/>
  <c r="AJ22" i="7"/>
  <c r="AB20" i="7"/>
  <c r="AJ23" i="7"/>
  <c r="AJ32" i="7"/>
  <c r="AP3" i="11"/>
  <c r="B67" i="2" s="1"/>
  <c r="AQ3" i="11"/>
  <c r="AP2" i="11"/>
  <c r="AS35" i="11" a="1"/>
  <c r="AS35" i="11" s="1"/>
  <c r="AR2" i="11"/>
  <c r="AS14" i="11" a="1"/>
  <c r="AS14" i="11" s="1"/>
  <c r="AS12" i="11" a="1"/>
  <c r="AS12" i="11" s="1"/>
  <c r="AS42" i="11" a="1"/>
  <c r="AS42" i="11" s="1"/>
  <c r="AS15" i="11" a="1"/>
  <c r="AS15" i="11" s="1"/>
  <c r="AS30" i="11" a="1"/>
  <c r="AS30" i="11" s="1"/>
  <c r="AU14" i="7"/>
  <c r="AW13" i="7"/>
  <c r="AX14" i="7"/>
  <c r="AV13" i="7"/>
  <c r="M21" i="8"/>
  <c r="M20" i="8"/>
  <c r="C26" i="9"/>
  <c r="A13" i="9"/>
  <c r="A15" i="9"/>
  <c r="A14" i="9"/>
  <c r="AS32" i="11" a="1"/>
  <c r="AS32" i="11" s="1"/>
  <c r="AR32" i="11"/>
  <c r="AP32" i="11"/>
  <c r="P66" i="2" s="1"/>
  <c r="AQ32" i="11"/>
  <c r="AO32" i="11"/>
  <c r="AZ124" i="2"/>
  <c r="T18" i="2"/>
  <c r="AB152" i="11" a="1"/>
  <c r="AB152" i="11" s="1"/>
  <c r="AB55" i="11" a="1"/>
  <c r="AB55" i="11" s="1"/>
  <c r="AB28" i="11" a="1"/>
  <c r="AB28" i="11" s="1"/>
  <c r="AB9" i="11" a="1"/>
  <c r="AB9" i="11" s="1"/>
  <c r="AB115" i="11" a="1"/>
  <c r="AB115" i="11" s="1"/>
  <c r="AB52" i="11" a="1"/>
  <c r="AB52" i="11" s="1"/>
  <c r="AB22" i="11" a="1"/>
  <c r="AB22" i="11" s="1"/>
  <c r="AB410" i="11" a="1"/>
  <c r="AB410" i="11" s="1"/>
  <c r="AB197" i="11" a="1"/>
  <c r="AB197" i="11" s="1"/>
  <c r="AB16" i="11" a="1"/>
  <c r="AB16" i="11" s="1"/>
  <c r="AB463" i="11" a="1"/>
  <c r="AB463" i="11" s="1"/>
  <c r="AB373" i="11" a="1"/>
  <c r="AB373" i="11" s="1"/>
  <c r="AB298" i="11" a="1"/>
  <c r="AB298" i="11" s="1"/>
  <c r="AB182" i="11" a="1"/>
  <c r="AB182" i="11" s="1"/>
  <c r="AB45" i="11" a="1"/>
  <c r="AB45" i="11" s="1"/>
  <c r="AB31" i="11" a="1"/>
  <c r="AB31" i="11" s="1"/>
  <c r="AB10" i="11" a="1"/>
  <c r="AB10" i="11" s="1"/>
  <c r="AB4" i="11" a="1"/>
  <c r="AB4" i="11" s="1"/>
  <c r="AB278" i="11" a="1"/>
  <c r="AB278" i="11" s="1"/>
  <c r="AB90" i="11" a="1"/>
  <c r="AB90" i="11" s="1"/>
  <c r="AB498" i="11" a="1"/>
  <c r="AB498" i="11" s="1"/>
  <c r="AB118" i="11" a="1"/>
  <c r="AB118" i="11" s="1"/>
  <c r="AB484" i="11" a="1"/>
  <c r="AB484" i="11" s="1"/>
  <c r="AB297" i="11" a="1"/>
  <c r="AB297" i="11" s="1"/>
  <c r="AB144" i="11" a="1"/>
  <c r="AB144" i="11" s="1"/>
  <c r="AB108" i="11" a="1"/>
  <c r="AB108" i="11" s="1"/>
  <c r="AB68" i="11" a="1"/>
  <c r="AB68" i="11" s="1"/>
  <c r="R18" i="2"/>
  <c r="S5" i="6" a="1"/>
  <c r="S5" i="6" s="1"/>
  <c r="BB12" i="7"/>
  <c r="AY12" i="7"/>
  <c r="Z3" i="8"/>
  <c r="AB48" i="11" a="1"/>
  <c r="AB48" i="11" s="1"/>
  <c r="Z4" i="6"/>
  <c r="AH53" i="6"/>
  <c r="BE4" i="7"/>
  <c r="AB192" i="11" a="1"/>
  <c r="AB192" i="11" s="1"/>
  <c r="S6" i="6" a="1"/>
  <c r="S6" i="6" s="1"/>
  <c r="AB483" i="11" a="1"/>
  <c r="AB483" i="11" s="1"/>
  <c r="C13" i="4"/>
  <c r="BH59" i="7"/>
  <c r="AB268" i="11" a="1"/>
  <c r="AB268" i="11" s="1"/>
  <c r="BI59" i="7"/>
  <c r="AB193" i="11" a="1"/>
  <c r="AB193" i="11" s="1"/>
  <c r="AD7" i="6"/>
  <c r="AF21" i="7"/>
  <c r="AK17" i="7"/>
  <c r="L17" i="7"/>
  <c r="AG13" i="7"/>
  <c r="BH57" i="7"/>
  <c r="BH68" i="7"/>
  <c r="J38" i="8"/>
  <c r="AB166" i="11" a="1"/>
  <c r="AB166" i="11" s="1"/>
  <c r="AP63" i="7"/>
  <c r="E5" i="9" a="1"/>
  <c r="E5" i="9" s="1"/>
  <c r="I49" i="2"/>
  <c r="Q10" i="5" s="1"/>
  <c r="S13" i="6" a="1"/>
  <c r="S13" i="6" s="1"/>
  <c r="S20" i="6" a="1"/>
  <c r="S20" i="6" s="1"/>
  <c r="S42" i="6" a="1"/>
  <c r="S42" i="6" s="1"/>
  <c r="E18" i="9" a="1"/>
  <c r="E18" i="9" s="1"/>
  <c r="E48" i="9" a="1"/>
  <c r="E48" i="9" s="1"/>
  <c r="E53" i="9" a="1"/>
  <c r="E53" i="9" s="1"/>
  <c r="AB6" i="11" a="1"/>
  <c r="AB6" i="11" s="1"/>
  <c r="A39" i="10"/>
  <c r="L37" i="8"/>
  <c r="L40" i="8"/>
  <c r="AZ120" i="2"/>
  <c r="L43" i="8"/>
  <c r="S26" i="6" a="1"/>
  <c r="S26" i="6" s="1"/>
  <c r="S27" i="6" a="1"/>
  <c r="S27" i="6" s="1"/>
  <c r="AG12" i="7"/>
  <c r="AJ34" i="7"/>
  <c r="BH48" i="7"/>
  <c r="BH63" i="7"/>
  <c r="E58" i="9" a="1"/>
  <c r="E58" i="9" s="1"/>
  <c r="E22" i="9" a="1"/>
  <c r="E22" i="9" s="1"/>
  <c r="E3" i="9" a="1"/>
  <c r="E3" i="9" s="1"/>
  <c r="E26" i="9" a="1"/>
  <c r="E26" i="9" s="1"/>
  <c r="E13" i="9" a="1"/>
  <c r="E13" i="9" s="1"/>
  <c r="E31" i="9" a="1"/>
  <c r="E31" i="9" s="1"/>
  <c r="E21" i="9" a="1"/>
  <c r="E21" i="9" s="1"/>
  <c r="E19" i="9" a="1"/>
  <c r="E19" i="9" s="1"/>
  <c r="E10" i="9" a="1"/>
  <c r="E10" i="9" s="1"/>
  <c r="E12" i="9" a="1"/>
  <c r="E12" i="9" s="1"/>
  <c r="E23" i="9" a="1"/>
  <c r="E23" i="9" s="1"/>
  <c r="E15" i="9" a="1"/>
  <c r="E15" i="9" s="1"/>
  <c r="E57" i="9" a="1"/>
  <c r="E57" i="9" s="1"/>
  <c r="E14" i="9" a="1"/>
  <c r="E14" i="9" s="1"/>
  <c r="E41" i="9" a="1"/>
  <c r="E41" i="9" s="1"/>
  <c r="E11" i="9" a="1"/>
  <c r="E11" i="9" s="1"/>
  <c r="E4" i="9" a="1"/>
  <c r="E4" i="9" s="1"/>
  <c r="E52" i="9" a="1"/>
  <c r="E52" i="9" s="1"/>
  <c r="E34" i="9" a="1"/>
  <c r="E34" i="9" s="1"/>
  <c r="E32" i="9" a="1"/>
  <c r="E32" i="9" s="1"/>
  <c r="AB161" i="11" a="1"/>
  <c r="AB161" i="11" s="1"/>
  <c r="R14" i="2"/>
  <c r="AH34" i="6"/>
  <c r="S28" i="6" a="1"/>
  <c r="S28" i="6" s="1"/>
  <c r="S29" i="6" a="1"/>
  <c r="S29" i="6" s="1"/>
  <c r="S30" i="6" a="1"/>
  <c r="S30" i="6" s="1"/>
  <c r="S31" i="6" a="1"/>
  <c r="S31" i="6" s="1"/>
  <c r="AJ18" i="7"/>
  <c r="B75" i="8"/>
  <c r="B57" i="8"/>
  <c r="B58" i="8" s="1"/>
  <c r="H75" i="8"/>
  <c r="H76" i="8" s="1"/>
  <c r="H177" i="8"/>
  <c r="Q5" i="5"/>
  <c r="A107" i="10"/>
  <c r="A102" i="10"/>
  <c r="A92" i="10"/>
  <c r="A62" i="10"/>
  <c r="B5" i="8"/>
  <c r="A63" i="10"/>
  <c r="A108" i="10"/>
  <c r="A66" i="10"/>
  <c r="J37" i="8"/>
  <c r="J34" i="8"/>
  <c r="A103" i="10"/>
  <c r="J31" i="8"/>
  <c r="A100" i="10"/>
  <c r="A93" i="10"/>
  <c r="A59" i="10"/>
  <c r="J40" i="8"/>
  <c r="A106" i="10"/>
  <c r="A99" i="10"/>
  <c r="A65" i="10"/>
  <c r="A58" i="10"/>
  <c r="J22" i="8"/>
  <c r="A98" i="10"/>
  <c r="J7" i="8"/>
  <c r="AJ108" i="6"/>
  <c r="A105" i="10"/>
  <c r="J16" i="8"/>
  <c r="J43" i="8"/>
  <c r="A91" i="10"/>
  <c r="A55" i="10"/>
  <c r="AH76" i="6"/>
  <c r="A101" i="10"/>
  <c r="J28" i="8"/>
  <c r="AH116" i="6"/>
  <c r="AC18" i="6"/>
  <c r="A54" i="10"/>
  <c r="J13" i="8"/>
  <c r="AG116" i="6"/>
  <c r="AH115" i="6"/>
  <c r="AG54" i="6"/>
  <c r="AG115" i="6"/>
  <c r="AM50" i="6"/>
  <c r="A110" i="10"/>
  <c r="A64" i="10"/>
  <c r="AM72" i="6"/>
  <c r="AM73" i="6" s="1"/>
  <c r="J41" i="8"/>
  <c r="J36" i="8"/>
  <c r="AL72" i="6"/>
  <c r="AL73" i="6" s="1"/>
  <c r="AJ73" i="6"/>
  <c r="J10" i="8"/>
  <c r="AO3" i="11"/>
  <c r="AB379" i="11" a="1"/>
  <c r="AB379" i="11" s="1"/>
  <c r="O58" i="2"/>
  <c r="V58" i="2" s="1"/>
  <c r="O9" i="4"/>
  <c r="AG4" i="7"/>
  <c r="AJ25" i="7"/>
  <c r="BI42" i="7"/>
  <c r="M25" i="8"/>
  <c r="Y39" i="8"/>
  <c r="AG54" i="11" a="1"/>
  <c r="AG54" i="11" s="1"/>
  <c r="AG57" i="11" a="1"/>
  <c r="AG57" i="11" s="1"/>
  <c r="AG50" i="11" a="1"/>
  <c r="AG50" i="11" s="1"/>
  <c r="AL102" i="11" a="1"/>
  <c r="AL102" i="11" s="1"/>
  <c r="AV8" i="11"/>
  <c r="AB348" i="11" a="1"/>
  <c r="AB348" i="11" s="1"/>
  <c r="C23" i="4"/>
  <c r="C22" i="4" s="1"/>
  <c r="J19" i="8"/>
  <c r="E6" i="9" a="1"/>
  <c r="E6" i="9" s="1"/>
  <c r="E17" i="9" a="1"/>
  <c r="E17" i="9" s="1"/>
  <c r="E44" i="9" a="1"/>
  <c r="E44" i="9" s="1"/>
  <c r="AQ40" i="11"/>
  <c r="AP40" i="11"/>
  <c r="P74" i="2" s="1"/>
  <c r="AS40" i="11" a="1"/>
  <c r="AS40" i="11" s="1"/>
  <c r="AR40" i="11"/>
  <c r="E49" i="9" a="1"/>
  <c r="E49" i="9" s="1"/>
  <c r="A49" i="10"/>
  <c r="AB88" i="11" a="1"/>
  <c r="AB88" i="11" s="1"/>
  <c r="AX12" i="7"/>
  <c r="AB95" i="11" a="1"/>
  <c r="AB95" i="11" s="1"/>
  <c r="Z2" i="6"/>
  <c r="S4" i="6" a="1"/>
  <c r="S4" i="6" s="1"/>
  <c r="AW10" i="7"/>
  <c r="AW9" i="7"/>
  <c r="AW8" i="7"/>
  <c r="AW7" i="7"/>
  <c r="AW11" i="7"/>
  <c r="AN16" i="8"/>
  <c r="AH31" i="8"/>
  <c r="AH24" i="8"/>
  <c r="AH15" i="8"/>
  <c r="E50" i="9" a="1"/>
  <c r="E50" i="9" s="1"/>
  <c r="AB32" i="11" a="1"/>
  <c r="AB32" i="11" s="1"/>
  <c r="AB38" i="11" a="1"/>
  <c r="AB38" i="11" s="1"/>
  <c r="AB434" i="11" a="1"/>
  <c r="AB434" i="11" s="1"/>
  <c r="I47" i="2"/>
  <c r="Q8" i="5" s="1"/>
  <c r="Q7" i="5"/>
  <c r="O19" i="4"/>
  <c r="C11" i="4"/>
  <c r="C8" i="4"/>
  <c r="O8" i="4"/>
  <c r="K11" i="4"/>
  <c r="AX13" i="7"/>
  <c r="N28" i="8"/>
  <c r="N29" i="8" s="1"/>
  <c r="G5" i="10"/>
  <c r="M16" i="8"/>
  <c r="M22" i="8"/>
  <c r="N31" i="8"/>
  <c r="N32" i="8" s="1"/>
  <c r="M28" i="8"/>
  <c r="F2" i="5"/>
  <c r="BA8" i="7"/>
  <c r="BA7" i="7"/>
  <c r="BA10" i="7"/>
  <c r="BA9" i="7"/>
  <c r="BA11" i="7"/>
  <c r="AP66" i="7"/>
  <c r="AP59" i="7"/>
  <c r="AP64" i="7"/>
  <c r="AP58" i="7"/>
  <c r="AP67" i="7"/>
  <c r="AP65" i="7"/>
  <c r="AP60" i="7"/>
  <c r="AU7" i="8"/>
  <c r="BH56" i="7"/>
  <c r="S37" i="6" a="1"/>
  <c r="S37" i="6" s="1"/>
  <c r="AZ3" i="7"/>
  <c r="AZ4" i="7" s="1"/>
  <c r="AK7" i="7"/>
  <c r="BI8" i="7"/>
  <c r="B90" i="8"/>
  <c r="B26" i="8"/>
  <c r="B65" i="8"/>
  <c r="B80" i="8"/>
  <c r="AB466" i="11" a="1"/>
  <c r="AB466" i="11" s="1"/>
  <c r="BI36" i="7"/>
  <c r="S10" i="6" a="1"/>
  <c r="S10" i="6" s="1"/>
  <c r="S7" i="6" a="1"/>
  <c r="S7" i="6" s="1"/>
  <c r="BH67" i="7"/>
  <c r="BH52" i="7"/>
  <c r="BH49" i="7"/>
  <c r="Z79" i="7"/>
  <c r="BH61" i="7"/>
  <c r="BH51" i="7"/>
  <c r="P38" i="7"/>
  <c r="L30" i="7"/>
  <c r="BE7" i="7"/>
  <c r="BH50" i="7"/>
  <c r="BH55" i="7"/>
  <c r="B23" i="7"/>
  <c r="Z70" i="7"/>
  <c r="BE5" i="7"/>
  <c r="BE2" i="7"/>
  <c r="BH64" i="7"/>
  <c r="D41" i="7"/>
  <c r="BE143" i="7"/>
  <c r="BH60" i="7"/>
  <c r="N38" i="7"/>
  <c r="BH66" i="7"/>
  <c r="BE142" i="7"/>
  <c r="BI61" i="7"/>
  <c r="BE6" i="7"/>
  <c r="BE3" i="7"/>
  <c r="BI2" i="7"/>
  <c r="BE8" i="7"/>
  <c r="Z5" i="8"/>
  <c r="Y5" i="8"/>
  <c r="Y32" i="8"/>
  <c r="Z32" i="8"/>
  <c r="AS3" i="3" s="1"/>
  <c r="S18" i="6" a="1"/>
  <c r="S18" i="6" s="1"/>
  <c r="AB105" i="11" a="1"/>
  <c r="AB105" i="11" s="1"/>
  <c r="AB468" i="11" a="1"/>
  <c r="AB468" i="11" s="1"/>
  <c r="BH62" i="7"/>
  <c r="AP68" i="7"/>
  <c r="AB131" i="11" a="1"/>
  <c r="AB131" i="11" s="1"/>
  <c r="S9" i="6" a="1"/>
  <c r="S9" i="6" s="1"/>
  <c r="S25" i="6" a="1"/>
  <c r="S25" i="6" s="1"/>
  <c r="BH65" i="7"/>
  <c r="Z46" i="8"/>
  <c r="Y46" i="8"/>
  <c r="S32" i="6" a="1"/>
  <c r="S32" i="6" s="1"/>
  <c r="BA6" i="7"/>
  <c r="AG9" i="7"/>
  <c r="BI10" i="7"/>
  <c r="Z22" i="8"/>
  <c r="Y22" i="8"/>
  <c r="B42" i="8"/>
  <c r="AB60" i="11" a="1"/>
  <c r="AB60" i="11" s="1"/>
  <c r="AB316" i="11" a="1"/>
  <c r="AB316" i="11" s="1"/>
  <c r="S2" i="6" a="1"/>
  <c r="S2" i="6" s="1"/>
  <c r="S41" i="6" a="1"/>
  <c r="S41" i="6" s="1"/>
  <c r="AG8" i="7"/>
  <c r="AJ29" i="7"/>
  <c r="AJ27" i="7"/>
  <c r="AJ31" i="7"/>
  <c r="AJ20" i="7"/>
  <c r="AJ33" i="7"/>
  <c r="AJ21" i="7"/>
  <c r="AJ26" i="7"/>
  <c r="BH53" i="7"/>
  <c r="AO40" i="11"/>
  <c r="BH58" i="7"/>
  <c r="J18" i="8"/>
  <c r="J25" i="8"/>
  <c r="C19" i="4"/>
  <c r="Z5" i="6"/>
  <c r="AH56" i="6"/>
  <c r="Y3" i="6"/>
  <c r="W3" i="6"/>
  <c r="AG2" i="7"/>
  <c r="AV3" i="7"/>
  <c r="AV4" i="7" s="1"/>
  <c r="AV12" i="7" s="1"/>
  <c r="D52" i="7"/>
  <c r="AM16" i="8"/>
  <c r="J27" i="8"/>
  <c r="M31" i="8"/>
  <c r="J42" i="8"/>
  <c r="A56" i="10"/>
  <c r="AB15" i="11" a="1"/>
  <c r="AB15" i="11" s="1"/>
  <c r="AC32" i="11"/>
  <c r="AD11" i="6"/>
  <c r="BI55" i="7"/>
  <c r="AS4" i="7"/>
  <c r="BI22" i="7"/>
  <c r="BI45" i="7"/>
  <c r="AH4" i="8"/>
  <c r="Z43" i="8"/>
  <c r="Y43" i="8"/>
  <c r="B53" i="8"/>
  <c r="A48" i="10"/>
  <c r="AQ33" i="11"/>
  <c r="AS33" i="11" a="1"/>
  <c r="AS33" i="11" s="1"/>
  <c r="AR33" i="11"/>
  <c r="AP33" i="11"/>
  <c r="P67" i="2" s="1"/>
  <c r="AO33" i="11"/>
  <c r="S44" i="6" a="1"/>
  <c r="S44" i="6" s="1"/>
  <c r="S43" i="6" a="1"/>
  <c r="S43" i="6" s="1"/>
  <c r="S22" i="6" a="1"/>
  <c r="S22" i="6" s="1"/>
  <c r="S21" i="6" a="1"/>
  <c r="S21" i="6" s="1"/>
  <c r="S8" i="6" a="1"/>
  <c r="S8" i="6" s="1"/>
  <c r="S3" i="6" a="1"/>
  <c r="S3" i="6" s="1"/>
  <c r="S19" i="6" a="1"/>
  <c r="S19" i="6" s="1"/>
  <c r="S16" i="6" a="1"/>
  <c r="S16" i="6" s="1"/>
  <c r="S14" i="6" a="1"/>
  <c r="S14" i="6" s="1"/>
  <c r="S11" i="6" a="1"/>
  <c r="S11" i="6" s="1"/>
  <c r="AD15" i="6"/>
  <c r="BI16" i="7"/>
  <c r="BI41" i="7"/>
  <c r="Z15" i="8"/>
  <c r="Y15" i="8"/>
  <c r="A90" i="10"/>
  <c r="R2" i="14"/>
  <c r="J32" i="8"/>
  <c r="J33" i="8"/>
  <c r="J45" i="8"/>
  <c r="J8" i="8"/>
  <c r="J26" i="8"/>
  <c r="J20" i="8"/>
  <c r="J30" i="8"/>
  <c r="J14" i="8"/>
  <c r="J21" i="8"/>
  <c r="J11" i="8"/>
  <c r="J15" i="8"/>
  <c r="J39" i="8"/>
  <c r="J23" i="8"/>
  <c r="J12" i="8"/>
  <c r="J17" i="8"/>
  <c r="J1" i="9"/>
  <c r="AS6" i="11" a="1"/>
  <c r="AS6" i="11" s="1"/>
  <c r="AP6" i="11"/>
  <c r="B70" i="2" s="1"/>
  <c r="AQ6" i="11"/>
  <c r="AO6" i="11"/>
  <c r="AR6" i="11"/>
  <c r="AP41" i="11"/>
  <c r="P75" i="2" s="1"/>
  <c r="AS41" i="11" a="1"/>
  <c r="AS41" i="11" s="1"/>
  <c r="AR41" i="11"/>
  <c r="AS44" i="11" a="1"/>
  <c r="AS44" i="11" s="1"/>
  <c r="AR44" i="11"/>
  <c r="AP44" i="11"/>
  <c r="P78" i="2" s="1"/>
  <c r="AO44" i="11"/>
  <c r="BI40" i="7"/>
  <c r="Z52" i="8"/>
  <c r="AO41" i="11"/>
  <c r="AQ44" i="11"/>
  <c r="R16" i="2"/>
  <c r="S17" i="6" a="1"/>
  <c r="S17" i="6" s="1"/>
  <c r="S45" i="6" a="1"/>
  <c r="S45" i="6" s="1"/>
  <c r="AI14" i="7"/>
  <c r="AJ14" i="7" s="1"/>
  <c r="AI9" i="7"/>
  <c r="AJ9" i="7" s="1"/>
  <c r="AG5" i="7"/>
  <c r="AI3" i="7"/>
  <c r="AJ3" i="7" s="1"/>
  <c r="AI12" i="7"/>
  <c r="AJ12" i="7" s="1"/>
  <c r="AI7" i="7"/>
  <c r="AJ7" i="7" s="1"/>
  <c r="AQ3" i="7"/>
  <c r="AG11" i="7"/>
  <c r="AI6" i="7"/>
  <c r="AJ6" i="7" s="1"/>
  <c r="AI2" i="7"/>
  <c r="AG6" i="7"/>
  <c r="AI5" i="7"/>
  <c r="AJ5" i="7" s="1"/>
  <c r="AG3" i="7"/>
  <c r="AI13" i="7"/>
  <c r="AJ13" i="7" s="1"/>
  <c r="AG10" i="7"/>
  <c r="B18" i="7"/>
  <c r="AF20" i="7"/>
  <c r="J9" i="8"/>
  <c r="Z28" i="8"/>
  <c r="AQ41" i="11"/>
  <c r="A41" i="10"/>
  <c r="S12" i="6" a="1"/>
  <c r="S12" i="6" s="1"/>
  <c r="AG14" i="7"/>
  <c r="B8" i="8"/>
  <c r="AR7" i="11"/>
  <c r="AP7" i="11"/>
  <c r="B71" i="2" s="1"/>
  <c r="AO7" i="11"/>
  <c r="AS7" i="11" a="1"/>
  <c r="AS7" i="11" s="1"/>
  <c r="AQ7" i="11"/>
  <c r="AL202" i="11" a="1"/>
  <c r="AL202" i="11" s="1"/>
  <c r="AV9" i="11"/>
  <c r="AB99" i="11" a="1"/>
  <c r="AB99" i="11" s="1"/>
  <c r="AS36" i="11" a="1"/>
  <c r="AS36" i="11" s="1"/>
  <c r="F27" i="12"/>
  <c r="E27" i="12"/>
  <c r="AC41" i="7"/>
  <c r="AB36" i="7"/>
  <c r="AD33" i="7"/>
  <c r="AC30" i="7"/>
  <c r="AB33" i="7"/>
  <c r="AC27" i="7"/>
  <c r="AB26" i="7"/>
  <c r="AC34" i="7"/>
  <c r="AB34" i="7"/>
  <c r="AC29" i="7"/>
  <c r="AB41" i="7"/>
  <c r="AC32" i="7"/>
  <c r="AD28" i="7"/>
  <c r="V2" i="6"/>
  <c r="AB32" i="7"/>
  <c r="AC28" i="7"/>
  <c r="AC40" i="7"/>
  <c r="AB25" i="7"/>
  <c r="AB40" i="7"/>
  <c r="D27" i="12"/>
  <c r="AD36" i="7"/>
  <c r="AC36" i="7"/>
  <c r="AD29" i="7"/>
  <c r="AD26" i="7"/>
  <c r="S33" i="6" a="1"/>
  <c r="S33" i="6" s="1"/>
  <c r="AD25" i="7"/>
  <c r="AH39" i="8"/>
  <c r="AH35" i="8"/>
  <c r="AH23" i="8"/>
  <c r="AH2" i="8"/>
  <c r="AH40" i="8"/>
  <c r="AH36" i="8"/>
  <c r="AH25" i="8"/>
  <c r="AH9" i="8"/>
  <c r="AH22" i="8"/>
  <c r="AH6" i="8"/>
  <c r="AH17" i="8"/>
  <c r="AM12" i="8"/>
  <c r="AH20" i="8"/>
  <c r="AH28" i="8"/>
  <c r="AH18" i="8"/>
  <c r="AH12" i="8"/>
  <c r="AH29" i="8"/>
  <c r="AH7" i="8"/>
  <c r="AH3" i="8"/>
  <c r="AH10" i="8"/>
  <c r="AH5" i="8"/>
  <c r="AH38" i="8"/>
  <c r="AH32" i="8"/>
  <c r="AH14" i="8"/>
  <c r="AH37" i="8"/>
  <c r="J44" i="8"/>
  <c r="AS17" i="11" a="1"/>
  <c r="AS17" i="11" s="1"/>
  <c r="S15" i="6" a="1"/>
  <c r="S15" i="6" s="1"/>
  <c r="S23" i="6" a="1"/>
  <c r="S23" i="6" s="1"/>
  <c r="S35" i="6" a="1"/>
  <c r="S35" i="6" s="1"/>
  <c r="S38" i="6" a="1"/>
  <c r="S38" i="6" s="1"/>
  <c r="S40" i="6" a="1"/>
  <c r="S40" i="6" s="1"/>
  <c r="AB29" i="7"/>
  <c r="Z8" i="8"/>
  <c r="Y8" i="8"/>
  <c r="AN12" i="8"/>
  <c r="Z19" i="8"/>
  <c r="AB14" i="11" a="1"/>
  <c r="AB14" i="11" s="1"/>
  <c r="AB41" i="11" a="1"/>
  <c r="AB41" i="11" s="1"/>
  <c r="AB74" i="11" a="1"/>
  <c r="AB74" i="11" s="1"/>
  <c r="AB124" i="11" a="1"/>
  <c r="AB124" i="11" s="1"/>
  <c r="AB257" i="11" a="1"/>
  <c r="AB257" i="11" s="1"/>
  <c r="AB263" i="11" a="1"/>
  <c r="AB263" i="11" s="1"/>
  <c r="AB426" i="11" a="1"/>
  <c r="AB426" i="11" s="1"/>
  <c r="AB446" i="11" a="1"/>
  <c r="AB446" i="11" s="1"/>
  <c r="A97" i="10"/>
  <c r="A57" i="10"/>
  <c r="A96" i="10"/>
  <c r="A94" i="10"/>
  <c r="A68" i="10"/>
  <c r="A61" i="10"/>
  <c r="A111" i="10"/>
  <c r="A95" i="10"/>
  <c r="A69" i="10"/>
  <c r="B54" i="8"/>
  <c r="B55" i="8"/>
  <c r="Z47" i="8"/>
  <c r="Y47" i="8"/>
  <c r="AB7" i="11" a="1"/>
  <c r="AB7" i="11" s="1"/>
  <c r="AR31" i="11"/>
  <c r="AQ31" i="11"/>
  <c r="AO31" i="11"/>
  <c r="AP31" i="11"/>
  <c r="I80" i="2" s="1"/>
  <c r="AS31" i="11" a="1"/>
  <c r="AS31" i="11" s="1"/>
  <c r="AB43" i="11" a="1"/>
  <c r="AB43" i="11" s="1"/>
  <c r="AB89" i="11" a="1"/>
  <c r="AB89" i="11" s="1"/>
  <c r="AB505" i="11" a="1"/>
  <c r="AB505" i="11" s="1"/>
  <c r="AB452" i="11" a="1"/>
  <c r="AB452" i="11" s="1"/>
  <c r="AB428" i="11" a="1"/>
  <c r="AB428" i="11" s="1"/>
  <c r="AB415" i="11" a="1"/>
  <c r="AB415" i="11" s="1"/>
  <c r="AB480" i="11" a="1"/>
  <c r="AB480" i="11" s="1"/>
  <c r="AB418" i="11" a="1"/>
  <c r="AB418" i="11" s="1"/>
  <c r="AB513" i="11" a="1"/>
  <c r="AB513" i="11" s="1"/>
  <c r="AB510" i="11" a="1"/>
  <c r="AB510" i="11" s="1"/>
  <c r="AB482" i="11" a="1"/>
  <c r="AB482" i="11" s="1"/>
  <c r="AB457" i="11" a="1"/>
  <c r="AB457" i="11" s="1"/>
  <c r="AB492" i="11" a="1"/>
  <c r="AB492" i="11" s="1"/>
  <c r="AB478" i="11" a="1"/>
  <c r="AB478" i="11" s="1"/>
  <c r="AB471" i="11" a="1"/>
  <c r="AB471" i="11" s="1"/>
  <c r="AB439" i="11" a="1"/>
  <c r="AB439" i="11" s="1"/>
  <c r="AB416" i="11" a="1"/>
  <c r="AB416" i="11" s="1"/>
  <c r="AB402" i="11" a="1"/>
  <c r="AB402" i="11" s="1"/>
  <c r="AB384" i="11" a="1"/>
  <c r="AB384" i="11" s="1"/>
  <c r="AB372" i="11" a="1"/>
  <c r="AB372" i="11" s="1"/>
  <c r="AB485" i="11" a="1"/>
  <c r="AB485" i="11" s="1"/>
  <c r="AB453" i="11" a="1"/>
  <c r="AB453" i="11" s="1"/>
  <c r="AB442" i="11" a="1"/>
  <c r="AB442" i="11" s="1"/>
  <c r="AB381" i="11" a="1"/>
  <c r="AB381" i="11" s="1"/>
  <c r="AB375" i="11" a="1"/>
  <c r="AB375" i="11" s="1"/>
  <c r="AB359" i="11" a="1"/>
  <c r="AB359" i="11" s="1"/>
  <c r="AB309" i="11" a="1"/>
  <c r="AB309" i="11" s="1"/>
  <c r="AB473" i="11" a="1"/>
  <c r="AB473" i="11" s="1"/>
  <c r="AB444" i="11" a="1"/>
  <c r="AB444" i="11" s="1"/>
  <c r="AB425" i="11" a="1"/>
  <c r="AB425" i="11" s="1"/>
  <c r="AB377" i="11" a="1"/>
  <c r="AB377" i="11" s="1"/>
  <c r="AB361" i="11" a="1"/>
  <c r="AB361" i="11" s="1"/>
  <c r="AB509" i="11" a="1"/>
  <c r="AB509" i="11" s="1"/>
  <c r="AB456" i="11" a="1"/>
  <c r="AB456" i="11" s="1"/>
  <c r="AB391" i="11" a="1"/>
  <c r="AB391" i="11" s="1"/>
  <c r="AB378" i="11" a="1"/>
  <c r="AB378" i="11" s="1"/>
  <c r="AB371" i="11" a="1"/>
  <c r="AB371" i="11" s="1"/>
  <c r="AB364" i="11" a="1"/>
  <c r="AB364" i="11" s="1"/>
  <c r="AB357" i="11" a="1"/>
  <c r="AB357" i="11" s="1"/>
  <c r="AB340" i="11" a="1"/>
  <c r="AB340" i="11" s="1"/>
  <c r="AB315" i="11" a="1"/>
  <c r="AB315" i="11" s="1"/>
  <c r="AB488" i="11" a="1"/>
  <c r="AB488" i="11" s="1"/>
  <c r="AB472" i="11" a="1"/>
  <c r="AB472" i="11" s="1"/>
  <c r="AB460" i="11" a="1"/>
  <c r="AB460" i="11" s="1"/>
  <c r="AB436" i="11" a="1"/>
  <c r="AB436" i="11" s="1"/>
  <c r="AB421" i="11" a="1"/>
  <c r="AB421" i="11" s="1"/>
  <c r="AB350" i="11" a="1"/>
  <c r="AB350" i="11" s="1"/>
  <c r="AB515" i="11" a="1"/>
  <c r="AB515" i="11" s="1"/>
  <c r="AB511" i="11" a="1"/>
  <c r="AB511" i="11" s="1"/>
  <c r="AB438" i="11" a="1"/>
  <c r="AB438" i="11" s="1"/>
  <c r="AB412" i="11" a="1"/>
  <c r="AB412" i="11" s="1"/>
  <c r="AB404" i="11" a="1"/>
  <c r="AB404" i="11" s="1"/>
  <c r="AB400" i="11" a="1"/>
  <c r="AB400" i="11" s="1"/>
  <c r="AB393" i="11" a="1"/>
  <c r="AB393" i="11" s="1"/>
  <c r="AB380" i="11" a="1"/>
  <c r="AB380" i="11" s="1"/>
  <c r="AB352" i="11" a="1"/>
  <c r="AB352" i="11" s="1"/>
  <c r="AB317" i="11" a="1"/>
  <c r="AB317" i="11" s="1"/>
  <c r="AB490" i="11" a="1"/>
  <c r="AB490" i="11" s="1"/>
  <c r="AB397" i="11" a="1"/>
  <c r="AB397" i="11" s="1"/>
  <c r="AB374" i="11" a="1"/>
  <c r="AB374" i="11" s="1"/>
  <c r="AB370" i="11" a="1"/>
  <c r="AB370" i="11" s="1"/>
  <c r="AB366" i="11" a="1"/>
  <c r="AB366" i="11" s="1"/>
  <c r="AB362" i="11" a="1"/>
  <c r="AB362" i="11" s="1"/>
  <c r="AB354" i="11" a="1"/>
  <c r="AB354" i="11" s="1"/>
  <c r="AB346" i="11" a="1"/>
  <c r="AB346" i="11" s="1"/>
  <c r="AB328" i="11" a="1"/>
  <c r="AB328" i="11" s="1"/>
  <c r="AB314" i="11" a="1"/>
  <c r="AB314" i="11" s="1"/>
  <c r="AB307" i="11" a="1"/>
  <c r="AB307" i="11" s="1"/>
  <c r="AB294" i="11" a="1"/>
  <c r="AB294" i="11" s="1"/>
  <c r="AB280" i="11" a="1"/>
  <c r="AB280" i="11" s="1"/>
  <c r="AB275" i="11" a="1"/>
  <c r="AB275" i="11" s="1"/>
  <c r="AB270" i="11" a="1"/>
  <c r="AB270" i="11" s="1"/>
  <c r="AB265" i="11" a="1"/>
  <c r="AB265" i="11" s="1"/>
  <c r="AB244" i="11" a="1"/>
  <c r="AB244" i="11" s="1"/>
  <c r="AB139" i="11" a="1"/>
  <c r="AB139" i="11" s="1"/>
  <c r="AB125" i="11" a="1"/>
  <c r="AB125" i="11" s="1"/>
  <c r="AB120" i="11" a="1"/>
  <c r="AB120" i="11" s="1"/>
  <c r="AB508" i="11" a="1"/>
  <c r="AB508" i="11" s="1"/>
  <c r="AB499" i="11" a="1"/>
  <c r="AB499" i="11" s="1"/>
  <c r="AB459" i="11" a="1"/>
  <c r="AB459" i="11" s="1"/>
  <c r="AB454" i="11" a="1"/>
  <c r="AB454" i="11" s="1"/>
  <c r="AB449" i="11" a="1"/>
  <c r="AB449" i="11" s="1"/>
  <c r="AB419" i="11" a="1"/>
  <c r="AB419" i="11" s="1"/>
  <c r="AB342" i="11" a="1"/>
  <c r="AB342" i="11" s="1"/>
  <c r="AB338" i="11" a="1"/>
  <c r="AB338" i="11" s="1"/>
  <c r="AB285" i="11" a="1"/>
  <c r="AB285" i="11" s="1"/>
  <c r="AB258" i="11" a="1"/>
  <c r="AB258" i="11" s="1"/>
  <c r="AB251" i="11" a="1"/>
  <c r="AB251" i="11" s="1"/>
  <c r="AB235" i="11" a="1"/>
  <c r="AB235" i="11" s="1"/>
  <c r="AB217" i="11" a="1"/>
  <c r="AB217" i="11" s="1"/>
  <c r="AB210" i="11" a="1"/>
  <c r="AB210" i="11" s="1"/>
  <c r="AB205" i="11" a="1"/>
  <c r="AB205" i="11" s="1"/>
  <c r="AB200" i="11" a="1"/>
  <c r="AB200" i="11" s="1"/>
  <c r="AB195" i="11" a="1"/>
  <c r="AB195" i="11" s="1"/>
  <c r="AB190" i="11" a="1"/>
  <c r="AB190" i="11" s="1"/>
  <c r="AB185" i="11" a="1"/>
  <c r="AB185" i="11" s="1"/>
  <c r="AB176" i="11" a="1"/>
  <c r="AB176" i="11" s="1"/>
  <c r="AB167" i="11" a="1"/>
  <c r="AB167" i="11" s="1"/>
  <c r="AB160" i="11" a="1"/>
  <c r="AB160" i="11" s="1"/>
  <c r="AB497" i="11" a="1"/>
  <c r="AB497" i="11" s="1"/>
  <c r="AB462" i="11" a="1"/>
  <c r="AB462" i="11" s="1"/>
  <c r="AB447" i="11" a="1"/>
  <c r="AB447" i="11" s="1"/>
  <c r="AB408" i="11" a="1"/>
  <c r="AB408" i="11" s="1"/>
  <c r="AB360" i="11" a="1"/>
  <c r="AB360" i="11" s="1"/>
  <c r="AB333" i="11" a="1"/>
  <c r="AB333" i="11" s="1"/>
  <c r="AB323" i="11" a="1"/>
  <c r="AB323" i="11" s="1"/>
  <c r="AB295" i="11" a="1"/>
  <c r="AB295" i="11" s="1"/>
  <c r="AB286" i="11" a="1"/>
  <c r="AB286" i="11" s="1"/>
  <c r="AB252" i="11" a="1"/>
  <c r="AB252" i="11" s="1"/>
  <c r="AB245" i="11" a="1"/>
  <c r="AB245" i="11" s="1"/>
  <c r="AB227" i="11" a="1"/>
  <c r="AB227" i="11" s="1"/>
  <c r="AB211" i="11" a="1"/>
  <c r="AB211" i="11" s="1"/>
  <c r="AB206" i="11" a="1"/>
  <c r="AB206" i="11" s="1"/>
  <c r="AB201" i="11" a="1"/>
  <c r="AB201" i="11" s="1"/>
  <c r="AB196" i="11" a="1"/>
  <c r="AB196" i="11" s="1"/>
  <c r="AB191" i="11" a="1"/>
  <c r="AB191" i="11" s="1"/>
  <c r="AB186" i="11" a="1"/>
  <c r="AB186" i="11" s="1"/>
  <c r="AB487" i="11" a="1"/>
  <c r="AB487" i="11" s="1"/>
  <c r="AB477" i="11" a="1"/>
  <c r="AB477" i="11" s="1"/>
  <c r="AB403" i="11" a="1"/>
  <c r="AB403" i="11" s="1"/>
  <c r="AB398" i="11" a="1"/>
  <c r="AB398" i="11" s="1"/>
  <c r="AB353" i="11" a="1"/>
  <c r="AB353" i="11" s="1"/>
  <c r="AB324" i="11" a="1"/>
  <c r="AB324" i="11" s="1"/>
  <c r="AB312" i="11" a="1"/>
  <c r="AB312" i="11" s="1"/>
  <c r="AB308" i="11" a="1"/>
  <c r="AB308" i="11" s="1"/>
  <c r="AB304" i="11" a="1"/>
  <c r="AB304" i="11" s="1"/>
  <c r="AB301" i="11" a="1"/>
  <c r="AB301" i="11" s="1"/>
  <c r="AB289" i="11" a="1"/>
  <c r="AB289" i="11" s="1"/>
  <c r="AB287" i="11" a="1"/>
  <c r="AB287" i="11" s="1"/>
  <c r="AB283" i="11" a="1"/>
  <c r="AB283" i="11" s="1"/>
  <c r="AB243" i="11" a="1"/>
  <c r="AB243" i="11" s="1"/>
  <c r="AB237" i="11" a="1"/>
  <c r="AB237" i="11" s="1"/>
  <c r="AB199" i="11" a="1"/>
  <c r="AB199" i="11" s="1"/>
  <c r="AB111" i="11" a="1"/>
  <c r="AB111" i="11" s="1"/>
  <c r="AB102" i="11" a="1"/>
  <c r="AB102" i="11" s="1"/>
  <c r="AB84" i="11" a="1"/>
  <c r="AB84" i="11" s="1"/>
  <c r="AB75" i="11" a="1"/>
  <c r="AB75" i="11" s="1"/>
  <c r="AB66" i="11" a="1"/>
  <c r="AB66" i="11" s="1"/>
  <c r="AB451" i="11" a="1"/>
  <c r="AB451" i="11" s="1"/>
  <c r="AB441" i="11" a="1"/>
  <c r="AB441" i="11" s="1"/>
  <c r="AB432" i="11" a="1"/>
  <c r="AB432" i="11" s="1"/>
  <c r="AB422" i="11" a="1"/>
  <c r="AB422" i="11" s="1"/>
  <c r="AB413" i="11" a="1"/>
  <c r="AB413" i="11" s="1"/>
  <c r="AB385" i="11" a="1"/>
  <c r="AB385" i="11" s="1"/>
  <c r="AB376" i="11" a="1"/>
  <c r="AB376" i="11" s="1"/>
  <c r="AB299" i="11" a="1"/>
  <c r="AB299" i="11" s="1"/>
  <c r="AB293" i="11" a="1"/>
  <c r="AB293" i="11" s="1"/>
  <c r="AB291" i="11" a="1"/>
  <c r="AB291" i="11" s="1"/>
  <c r="AB281" i="11" a="1"/>
  <c r="AB281" i="11" s="1"/>
  <c r="AB279" i="11" a="1"/>
  <c r="AB279" i="11" s="1"/>
  <c r="AB241" i="11" a="1"/>
  <c r="AB241" i="11" s="1"/>
  <c r="AB239" i="11" a="1"/>
  <c r="AB239" i="11" s="1"/>
  <c r="AB165" i="11" a="1"/>
  <c r="AB165" i="11" s="1"/>
  <c r="AB150" i="11" a="1"/>
  <c r="AB150" i="11" s="1"/>
  <c r="AB129" i="11" a="1"/>
  <c r="AB129" i="11" s="1"/>
  <c r="AB127" i="11" a="1"/>
  <c r="AB127" i="11" s="1"/>
  <c r="AB93" i="11" a="1"/>
  <c r="AB93" i="11" s="1"/>
  <c r="AB56" i="11" a="1"/>
  <c r="AB56" i="11" s="1"/>
  <c r="AB46" i="11" a="1"/>
  <c r="AB46" i="11" s="1"/>
  <c r="AC29" i="11"/>
  <c r="AB495" i="11" a="1"/>
  <c r="AB495" i="11" s="1"/>
  <c r="AB365" i="11" a="1"/>
  <c r="AB365" i="11" s="1"/>
  <c r="AB351" i="11" a="1"/>
  <c r="AB351" i="11" s="1"/>
  <c r="AB347" i="11" a="1"/>
  <c r="AB347" i="11" s="1"/>
  <c r="AB326" i="11" a="1"/>
  <c r="AB326" i="11" s="1"/>
  <c r="AB319" i="11" a="1"/>
  <c r="AB319" i="11" s="1"/>
  <c r="AB306" i="11" a="1"/>
  <c r="AB306" i="11" s="1"/>
  <c r="AB236" i="11" a="1"/>
  <c r="AB236" i="11" s="1"/>
  <c r="AB234" i="11" a="1"/>
  <c r="AB234" i="11" s="1"/>
  <c r="AB232" i="11" a="1"/>
  <c r="AB232" i="11" s="1"/>
  <c r="AB230" i="11" a="1"/>
  <c r="AB230" i="11" s="1"/>
  <c r="AB151" i="11" a="1"/>
  <c r="AB151" i="11" s="1"/>
  <c r="AB134" i="11" a="1"/>
  <c r="AB134" i="11" s="1"/>
  <c r="AB132" i="11" a="1"/>
  <c r="AB132" i="11" s="1"/>
  <c r="AB103" i="11" a="1"/>
  <c r="AB103" i="11" s="1"/>
  <c r="AB94" i="11" a="1"/>
  <c r="AB94" i="11" s="1"/>
  <c r="AB85" i="11" a="1"/>
  <c r="AB85" i="11" s="1"/>
  <c r="AB76" i="11" a="1"/>
  <c r="AB76" i="11" s="1"/>
  <c r="AB67" i="11" a="1"/>
  <c r="AB67" i="11" s="1"/>
  <c r="AB504" i="11" a="1"/>
  <c r="AB504" i="11" s="1"/>
  <c r="AB470" i="11" a="1"/>
  <c r="AB470" i="11" s="1"/>
  <c r="AB433" i="11" a="1"/>
  <c r="AB433" i="11" s="1"/>
  <c r="AB405" i="11" a="1"/>
  <c r="AB405" i="11" s="1"/>
  <c r="AB394" i="11" a="1"/>
  <c r="AB394" i="11" s="1"/>
  <c r="AB355" i="11" a="1"/>
  <c r="AB355" i="11" s="1"/>
  <c r="AB322" i="11" a="1"/>
  <c r="AB322" i="11" s="1"/>
  <c r="AB303" i="11" a="1"/>
  <c r="AB303" i="11" s="1"/>
  <c r="AB276" i="11" a="1"/>
  <c r="AB276" i="11" s="1"/>
  <c r="AB249" i="11" a="1"/>
  <c r="AB249" i="11" s="1"/>
  <c r="AB221" i="11" a="1"/>
  <c r="AB221" i="11" s="1"/>
  <c r="AB212" i="11" a="1"/>
  <c r="AB212" i="11" s="1"/>
  <c r="AB181" i="11" a="1"/>
  <c r="AB181" i="11" s="1"/>
  <c r="AB174" i="11" a="1"/>
  <c r="AB174" i="11" s="1"/>
  <c r="AB130" i="11" a="1"/>
  <c r="AB130" i="11" s="1"/>
  <c r="AB2" i="11" a="1"/>
  <c r="AB2" i="11" s="1"/>
  <c r="AB493" i="11" a="1"/>
  <c r="AB493" i="11" s="1"/>
  <c r="AB465" i="11" a="1"/>
  <c r="AB465" i="11" s="1"/>
  <c r="AB411" i="11" a="1"/>
  <c r="AB411" i="11" s="1"/>
  <c r="AB269" i="11" a="1"/>
  <c r="AB269" i="11" s="1"/>
  <c r="AB242" i="11" a="1"/>
  <c r="AB242" i="11" s="1"/>
  <c r="AB228" i="11" a="1"/>
  <c r="AB228" i="11" s="1"/>
  <c r="AB214" i="11" a="1"/>
  <c r="AB214" i="11" s="1"/>
  <c r="AB183" i="11" a="1"/>
  <c r="AB183" i="11" s="1"/>
  <c r="AB91" i="11" a="1"/>
  <c r="AB91" i="11" s="1"/>
  <c r="AB87" i="11" a="1"/>
  <c r="AB87" i="11" s="1"/>
  <c r="AB64" i="11" a="1"/>
  <c r="AB64" i="11" s="1"/>
  <c r="AB62" i="11" a="1"/>
  <c r="AB62" i="11" s="1"/>
  <c r="AB50" i="11" a="1"/>
  <c r="AB50" i="11" s="1"/>
  <c r="AB479" i="11" a="1"/>
  <c r="AB479" i="11" s="1"/>
  <c r="AB445" i="11" a="1"/>
  <c r="AB445" i="11" s="1"/>
  <c r="AB435" i="11" a="1"/>
  <c r="AB435" i="11" s="1"/>
  <c r="AB320" i="11" a="1"/>
  <c r="AB320" i="11" s="1"/>
  <c r="AB266" i="11" a="1"/>
  <c r="AB266" i="11" s="1"/>
  <c r="AB500" i="11" a="1"/>
  <c r="AB500" i="11" s="1"/>
  <c r="AB443" i="11" a="1"/>
  <c r="AB443" i="11" s="1"/>
  <c r="AB356" i="11" a="1"/>
  <c r="AB356" i="11" s="1"/>
  <c r="AB331" i="11" a="1"/>
  <c r="AB331" i="11" s="1"/>
  <c r="AB292" i="11" a="1"/>
  <c r="AB292" i="11" s="1"/>
  <c r="AB274" i="11" a="1"/>
  <c r="AB274" i="11" s="1"/>
  <c r="AB514" i="11" a="1"/>
  <c r="AB514" i="11" s="1"/>
  <c r="AB507" i="11" a="1"/>
  <c r="AB507" i="11" s="1"/>
  <c r="AB325" i="11" a="1"/>
  <c r="AB325" i="11" s="1"/>
  <c r="AB300" i="11" a="1"/>
  <c r="AB300" i="11" s="1"/>
  <c r="AB253" i="11" a="1"/>
  <c r="AB253" i="11" s="1"/>
  <c r="AB162" i="11" a="1"/>
  <c r="AB162" i="11" s="1"/>
  <c r="AB155" i="11" a="1"/>
  <c r="AB155" i="11" s="1"/>
  <c r="AB80" i="11" a="1"/>
  <c r="AB80" i="11" s="1"/>
  <c r="AB467" i="11" a="1"/>
  <c r="AB467" i="11" s="1"/>
  <c r="AB461" i="11" a="1"/>
  <c r="AB461" i="11" s="1"/>
  <c r="AB430" i="11" a="1"/>
  <c r="AB430" i="11" s="1"/>
  <c r="AB423" i="11" a="1"/>
  <c r="AB423" i="11" s="1"/>
  <c r="AB417" i="11" a="1"/>
  <c r="AB417" i="11" s="1"/>
  <c r="AB387" i="11" a="1"/>
  <c r="AB387" i="11" s="1"/>
  <c r="AB382" i="11" a="1"/>
  <c r="AB382" i="11" s="1"/>
  <c r="AB369" i="11" a="1"/>
  <c r="AB369" i="11" s="1"/>
  <c r="AB248" i="11" a="1"/>
  <c r="AB248" i="11" s="1"/>
  <c r="AB215" i="11" a="1"/>
  <c r="AB215" i="11" s="1"/>
  <c r="AB184" i="11" a="1"/>
  <c r="AB184" i="11" s="1"/>
  <c r="AB179" i="11" a="1"/>
  <c r="AB179" i="11" s="1"/>
  <c r="AB440" i="11" a="1"/>
  <c r="AB440" i="11" s="1"/>
  <c r="AB282" i="11" a="1"/>
  <c r="AB282" i="11" s="1"/>
  <c r="AB261" i="11" a="1"/>
  <c r="AB261" i="11" s="1"/>
  <c r="AB226" i="11" a="1"/>
  <c r="AB226" i="11" s="1"/>
  <c r="AB223" i="11" a="1"/>
  <c r="AB223" i="11" s="1"/>
  <c r="AB203" i="11" a="1"/>
  <c r="AB203" i="11" s="1"/>
  <c r="AB164" i="11" a="1"/>
  <c r="AB164" i="11" s="1"/>
  <c r="AB141" i="11" a="1"/>
  <c r="AB141" i="11" s="1"/>
  <c r="AB136" i="11" a="1"/>
  <c r="AB136" i="11" s="1"/>
  <c r="AB458" i="11" a="1"/>
  <c r="AB458" i="11" s="1"/>
  <c r="AB395" i="11" a="1"/>
  <c r="AB395" i="11" s="1"/>
  <c r="AB225" i="11" a="1"/>
  <c r="AB225" i="11" s="1"/>
  <c r="AB222" i="11" a="1"/>
  <c r="AB222" i="11" s="1"/>
  <c r="AB207" i="11" a="1"/>
  <c r="AB207" i="11" s="1"/>
  <c r="AB173" i="11" a="1"/>
  <c r="AB173" i="11" s="1"/>
  <c r="AB168" i="11" a="1"/>
  <c r="AB168" i="11" s="1"/>
  <c r="AB147" i="11" a="1"/>
  <c r="AB147" i="11" s="1"/>
  <c r="AB140" i="11" a="1"/>
  <c r="AB140" i="11" s="1"/>
  <c r="AB117" i="11" a="1"/>
  <c r="AB117" i="11" s="1"/>
  <c r="AB464" i="11" a="1"/>
  <c r="AB464" i="11" s="1"/>
  <c r="AB429" i="11" a="1"/>
  <c r="AB429" i="11" s="1"/>
  <c r="AB414" i="11" a="1"/>
  <c r="AB414" i="11" s="1"/>
  <c r="AB407" i="11" a="1"/>
  <c r="AB407" i="11" s="1"/>
  <c r="AB334" i="11" a="1"/>
  <c r="AB334" i="11" s="1"/>
  <c r="AB310" i="11" a="1"/>
  <c r="AB310" i="11" s="1"/>
  <c r="AB208" i="11" a="1"/>
  <c r="AB208" i="11" s="1"/>
  <c r="AB516" i="11" a="1"/>
  <c r="AB516" i="11" s="1"/>
  <c r="AB392" i="11" a="1"/>
  <c r="AB392" i="11" s="1"/>
  <c r="AB202" i="11" a="1"/>
  <c r="AB202" i="11" s="1"/>
  <c r="AB177" i="11" a="1"/>
  <c r="AB177" i="11" s="1"/>
  <c r="AB386" i="11" a="1"/>
  <c r="AB386" i="11" s="1"/>
  <c r="AB321" i="11" a="1"/>
  <c r="AB321" i="11" s="1"/>
  <c r="AB296" i="11" a="1"/>
  <c r="AB296" i="11" s="1"/>
  <c r="AB219" i="11" a="1"/>
  <c r="AB219" i="11" s="1"/>
  <c r="AB213" i="11" a="1"/>
  <c r="AB213" i="11" s="1"/>
  <c r="AB157" i="11" a="1"/>
  <c r="AB157" i="11" s="1"/>
  <c r="AB474" i="11" a="1"/>
  <c r="AB474" i="11" s="1"/>
  <c r="AB396" i="11" a="1"/>
  <c r="AB396" i="11" s="1"/>
  <c r="AB344" i="11" a="1"/>
  <c r="AB344" i="11" s="1"/>
  <c r="AB259" i="11" a="1"/>
  <c r="AB259" i="11" s="1"/>
  <c r="AB116" i="11" a="1"/>
  <c r="AB116" i="11" s="1"/>
  <c r="AB506" i="11" a="1"/>
  <c r="AB506" i="11" s="1"/>
  <c r="AB448" i="11" a="1"/>
  <c r="AB448" i="11" s="1"/>
  <c r="AB229" i="11" a="1"/>
  <c r="AB229" i="11" s="1"/>
  <c r="AB204" i="11" a="1"/>
  <c r="AB204" i="11" s="1"/>
  <c r="AB154" i="11" a="1"/>
  <c r="AB154" i="11" s="1"/>
  <c r="AB143" i="11" a="1"/>
  <c r="AB143" i="11" s="1"/>
  <c r="AB128" i="11" a="1"/>
  <c r="AB128" i="11" s="1"/>
  <c r="AB72" i="11" a="1"/>
  <c r="AB72" i="11" s="1"/>
  <c r="AB47" i="11" a="1"/>
  <c r="AB47" i="11" s="1"/>
  <c r="AB512" i="11" a="1"/>
  <c r="AB512" i="11" s="1"/>
  <c r="AB494" i="11" a="1"/>
  <c r="AB494" i="11" s="1"/>
  <c r="AB486" i="11" a="1"/>
  <c r="AB486" i="11" s="1"/>
  <c r="AB469" i="11" a="1"/>
  <c r="AB469" i="11" s="1"/>
  <c r="AB302" i="11" a="1"/>
  <c r="AB302" i="11" s="1"/>
  <c r="AB288" i="11" a="1"/>
  <c r="AB288" i="11" s="1"/>
  <c r="AB264" i="11" a="1"/>
  <c r="AB264" i="11" s="1"/>
  <c r="AB224" i="11" a="1"/>
  <c r="AB224" i="11" s="1"/>
  <c r="AB187" i="11" a="1"/>
  <c r="AB187" i="11" s="1"/>
  <c r="AB156" i="11" a="1"/>
  <c r="AB156" i="11" s="1"/>
  <c r="AB153" i="11" a="1"/>
  <c r="AB153" i="11" s="1"/>
  <c r="AB142" i="11" a="1"/>
  <c r="AB142" i="11" s="1"/>
  <c r="AB503" i="11" a="1"/>
  <c r="AB503" i="11" s="1"/>
  <c r="AB437" i="11" a="1"/>
  <c r="AB437" i="11" s="1"/>
  <c r="AB368" i="11" a="1"/>
  <c r="AB368" i="11" s="1"/>
  <c r="AB337" i="11" a="1"/>
  <c r="AB337" i="11" s="1"/>
  <c r="AB330" i="11" a="1"/>
  <c r="AB330" i="11" s="1"/>
  <c r="AB220" i="11" a="1"/>
  <c r="AB220" i="11" s="1"/>
  <c r="AB216" i="11" a="1"/>
  <c r="AB216" i="11" s="1"/>
  <c r="AB159" i="11" a="1"/>
  <c r="AB159" i="11" s="1"/>
  <c r="AB69" i="11" a="1"/>
  <c r="AB69" i="11" s="1"/>
  <c r="AB502" i="11" a="1"/>
  <c r="AB502" i="11" s="1"/>
  <c r="AB476" i="11" a="1"/>
  <c r="AB476" i="11" s="1"/>
  <c r="AB420" i="11" a="1"/>
  <c r="AB420" i="11" s="1"/>
  <c r="AB367" i="11" a="1"/>
  <c r="AB367" i="11" s="1"/>
  <c r="AB329" i="11" a="1"/>
  <c r="AB329" i="11" s="1"/>
  <c r="AB284" i="11" a="1"/>
  <c r="AB284" i="11" s="1"/>
  <c r="AB238" i="11" a="1"/>
  <c r="AB238" i="11" s="1"/>
  <c r="AB209" i="11" a="1"/>
  <c r="AB209" i="11" s="1"/>
  <c r="AB122" i="11" a="1"/>
  <c r="AB122" i="11" s="1"/>
  <c r="AB109" i="11" a="1"/>
  <c r="AB109" i="11" s="1"/>
  <c r="AB501" i="11" a="1"/>
  <c r="AB501" i="11" s="1"/>
  <c r="AB313" i="11" a="1"/>
  <c r="AB313" i="11" s="1"/>
  <c r="AB267" i="11" a="1"/>
  <c r="AB267" i="11" s="1"/>
  <c r="AB198" i="11" a="1"/>
  <c r="AB198" i="11" s="1"/>
  <c r="AB170" i="11" a="1"/>
  <c r="AB170" i="11" s="1"/>
  <c r="AB104" i="11" a="1"/>
  <c r="AB104" i="11" s="1"/>
  <c r="AB101" i="11" a="1"/>
  <c r="AB101" i="11" s="1"/>
  <c r="AB81" i="11" a="1"/>
  <c r="AB81" i="11" s="1"/>
  <c r="AB399" i="11" a="1"/>
  <c r="AB399" i="11" s="1"/>
  <c r="AB390" i="11" a="1"/>
  <c r="AB390" i="11" s="1"/>
  <c r="AB327" i="11" a="1"/>
  <c r="AB327" i="11" s="1"/>
  <c r="AB290" i="11" a="1"/>
  <c r="AB290" i="11" s="1"/>
  <c r="AB254" i="11" a="1"/>
  <c r="AB254" i="11" s="1"/>
  <c r="AB250" i="11" a="1"/>
  <c r="AB250" i="11" s="1"/>
  <c r="AB246" i="11" a="1"/>
  <c r="AB246" i="11" s="1"/>
  <c r="AB145" i="11" a="1"/>
  <c r="AB145" i="11" s="1"/>
  <c r="AB114" i="11" a="1"/>
  <c r="AB114" i="11" s="1"/>
  <c r="AB106" i="11" a="1"/>
  <c r="AB106" i="11" s="1"/>
  <c r="AB61" i="11" a="1"/>
  <c r="AB61" i="11" s="1"/>
  <c r="AB59" i="11" a="1"/>
  <c r="AB59" i="11" s="1"/>
  <c r="AB57" i="11" a="1"/>
  <c r="AB57" i="11" s="1"/>
  <c r="AB36" i="11" a="1"/>
  <c r="AB36" i="11" s="1"/>
  <c r="AB318" i="11" a="1"/>
  <c r="AB318" i="11" s="1"/>
  <c r="AB273" i="11" a="1"/>
  <c r="AB273" i="11" s="1"/>
  <c r="AB169" i="11" a="1"/>
  <c r="AB169" i="11" s="1"/>
  <c r="AB158" i="11" a="1"/>
  <c r="AB158" i="11" s="1"/>
  <c r="AB148" i="11" a="1"/>
  <c r="AB148" i="11" s="1"/>
  <c r="AB98" i="11" a="1"/>
  <c r="AB98" i="11" s="1"/>
  <c r="AB63" i="11" a="1"/>
  <c r="AB63" i="11" s="1"/>
  <c r="AB37" i="11" a="1"/>
  <c r="AB37" i="11" s="1"/>
  <c r="AB496" i="11" a="1"/>
  <c r="AB496" i="11" s="1"/>
  <c r="AB389" i="11" a="1"/>
  <c r="AB389" i="11" s="1"/>
  <c r="AB233" i="11" a="1"/>
  <c r="AB233" i="11" s="1"/>
  <c r="AB172" i="11" a="1"/>
  <c r="AB172" i="11" s="1"/>
  <c r="AB119" i="11" a="1"/>
  <c r="AB119" i="11" s="1"/>
  <c r="AB100" i="11" a="1"/>
  <c r="AB100" i="11" s="1"/>
  <c r="AB65" i="11" a="1"/>
  <c r="AB65" i="11" s="1"/>
  <c r="AB39" i="11" a="1"/>
  <c r="AB39" i="11" s="1"/>
  <c r="AB406" i="11" a="1"/>
  <c r="AB406" i="11" s="1"/>
  <c r="AB218" i="11" a="1"/>
  <c r="AB218" i="11" s="1"/>
  <c r="AB83" i="11" a="1"/>
  <c r="AB83" i="11" s="1"/>
  <c r="AB58" i="11" a="1"/>
  <c r="AB58" i="11" s="1"/>
  <c r="AB49" i="11" a="1"/>
  <c r="AB49" i="11" s="1"/>
  <c r="AB34" i="11" a="1"/>
  <c r="AB34" i="11" s="1"/>
  <c r="AB23" i="11" a="1"/>
  <c r="AB23" i="11" s="1"/>
  <c r="AB175" i="11" a="1"/>
  <c r="AB175" i="11" s="1"/>
  <c r="AB171" i="11" a="1"/>
  <c r="AB171" i="11" s="1"/>
  <c r="AB107" i="11" a="1"/>
  <c r="AB107" i="11" s="1"/>
  <c r="AB86" i="11" a="1"/>
  <c r="AB86" i="11" s="1"/>
  <c r="AB71" i="11" a="1"/>
  <c r="AB71" i="11" s="1"/>
  <c r="AB40" i="11" a="1"/>
  <c r="AB40" i="11" s="1"/>
  <c r="AB24" i="11" a="1"/>
  <c r="AB24" i="11" s="1"/>
  <c r="AB424" i="11" a="1"/>
  <c r="AB424" i="11" s="1"/>
  <c r="AB341" i="11" a="1"/>
  <c r="AB341" i="11" s="1"/>
  <c r="AB260" i="11" a="1"/>
  <c r="AB260" i="11" s="1"/>
  <c r="AB255" i="11" a="1"/>
  <c r="AB255" i="11" s="1"/>
  <c r="AB123" i="11" a="1"/>
  <c r="AB123" i="11" s="1"/>
  <c r="AB25" i="11" a="1"/>
  <c r="AB25" i="11" s="1"/>
  <c r="AB401" i="11" a="1"/>
  <c r="AB401" i="11" s="1"/>
  <c r="AB383" i="11" a="1"/>
  <c r="AB383" i="11" s="1"/>
  <c r="AB135" i="11" a="1"/>
  <c r="AB135" i="11" s="1"/>
  <c r="AB70" i="11" a="1"/>
  <c r="AB70" i="11" s="1"/>
  <c r="AB30" i="11" a="1"/>
  <c r="AB30" i="11" s="1"/>
  <c r="AB12" i="11" a="1"/>
  <c r="AB12" i="11" s="1"/>
  <c r="AB3" i="11" a="1"/>
  <c r="AB3" i="11" s="1"/>
  <c r="AB311" i="11" a="1"/>
  <c r="AB311" i="11" s="1"/>
  <c r="AB277" i="11" a="1"/>
  <c r="AB277" i="11" s="1"/>
  <c r="AB231" i="11" a="1"/>
  <c r="AB231" i="11" s="1"/>
  <c r="AB112" i="11" a="1"/>
  <c r="AB112" i="11" s="1"/>
  <c r="AB54" i="11" a="1"/>
  <c r="AB54" i="11" s="1"/>
  <c r="AB349" i="11" a="1"/>
  <c r="AB349" i="11" s="1"/>
  <c r="AB339" i="11" a="1"/>
  <c r="AB339" i="11" s="1"/>
  <c r="AB272" i="11" a="1"/>
  <c r="AB272" i="11" s="1"/>
  <c r="AB178" i="11" a="1"/>
  <c r="AB178" i="11" s="1"/>
  <c r="AB77" i="11" a="1"/>
  <c r="AB77" i="11" s="1"/>
  <c r="AB29" i="11" a="1"/>
  <c r="AB29" i="11" s="1"/>
  <c r="AB11" i="11" a="1"/>
  <c r="AB11" i="11" s="1"/>
  <c r="AB358" i="11" a="1"/>
  <c r="AB358" i="11" s="1"/>
  <c r="AB133" i="11" a="1"/>
  <c r="AB133" i="11" s="1"/>
  <c r="AB73" i="11" a="1"/>
  <c r="AB73" i="11" s="1"/>
  <c r="AB489" i="11" a="1"/>
  <c r="AB489" i="11" s="1"/>
  <c r="AB345" i="11" a="1"/>
  <c r="AB345" i="11" s="1"/>
  <c r="AB189" i="11" a="1"/>
  <c r="AB189" i="11" s="1"/>
  <c r="AB137" i="11" a="1"/>
  <c r="AB137" i="11" s="1"/>
  <c r="AB82" i="11" a="1"/>
  <c r="AB82" i="11" s="1"/>
  <c r="AB13" i="11" a="1"/>
  <c r="AB13" i="11" s="1"/>
  <c r="AB481" i="11" a="1"/>
  <c r="AB481" i="11" s="1"/>
  <c r="AB305" i="11" a="1"/>
  <c r="AB305" i="11" s="1"/>
  <c r="AB262" i="11" a="1"/>
  <c r="AB262" i="11" s="1"/>
  <c r="AB149" i="11" a="1"/>
  <c r="AB149" i="11" s="1"/>
  <c r="AB44" i="11" a="1"/>
  <c r="AB44" i="11" s="1"/>
  <c r="AB26" i="11" a="1"/>
  <c r="AB26" i="11" s="1"/>
  <c r="AB363" i="11" a="1"/>
  <c r="AB363" i="11" s="1"/>
  <c r="AB256" i="11" a="1"/>
  <c r="AB256" i="11" s="1"/>
  <c r="AB126" i="11" a="1"/>
  <c r="AB126" i="11" s="1"/>
  <c r="AB110" i="11" a="1"/>
  <c r="AB110" i="11" s="1"/>
  <c r="AB97" i="11" a="1"/>
  <c r="AB97" i="11" s="1"/>
  <c r="AB78" i="11" a="1"/>
  <c r="AB78" i="11" s="1"/>
  <c r="AB8" i="11" a="1"/>
  <c r="AB8" i="11" s="1"/>
  <c r="AB336" i="11" a="1"/>
  <c r="AB336" i="11" s="1"/>
  <c r="AB163" i="11" a="1"/>
  <c r="AB163" i="11" s="1"/>
  <c r="AB121" i="11" a="1"/>
  <c r="AB121" i="11" s="1"/>
  <c r="AB20" i="11" a="1"/>
  <c r="AB20" i="11" s="1"/>
  <c r="AB335" i="11" a="1"/>
  <c r="AB335" i="11" s="1"/>
  <c r="AB92" i="11" a="1"/>
  <c r="AB92" i="11" s="1"/>
  <c r="AB33" i="11" a="1"/>
  <c r="AB33" i="11" s="1"/>
  <c r="AB17" i="11" a="1"/>
  <c r="AB17" i="11" s="1"/>
  <c r="AB455" i="11" a="1"/>
  <c r="AB455" i="11" s="1"/>
  <c r="AB409" i="11" a="1"/>
  <c r="AB409" i="11" s="1"/>
  <c r="AB138" i="11" a="1"/>
  <c r="AB138" i="11" s="1"/>
  <c r="AB431" i="11" a="1"/>
  <c r="AB431" i="11" s="1"/>
  <c r="AB180" i="11" a="1"/>
  <c r="AB180" i="11" s="1"/>
  <c r="AB18" i="11" a="1"/>
  <c r="AB18" i="11" s="1"/>
  <c r="AB332" i="11" a="1"/>
  <c r="AB332" i="11" s="1"/>
  <c r="AB27" i="11" a="1"/>
  <c r="AB27" i="11" s="1"/>
  <c r="AB5" i="11" a="1"/>
  <c r="AB5" i="11" s="1"/>
  <c r="AB113" i="11" a="1"/>
  <c r="AB113" i="11" s="1"/>
  <c r="AB53" i="11" a="1"/>
  <c r="AB53" i="11" s="1"/>
  <c r="AB19" i="11" a="1"/>
  <c r="AB19" i="11" s="1"/>
  <c r="AB343" i="11" a="1"/>
  <c r="AB343" i="11" s="1"/>
  <c r="AB79" i="11" a="1"/>
  <c r="AB79" i="11" s="1"/>
  <c r="AB427" i="11" a="1"/>
  <c r="AB427" i="11" s="1"/>
  <c r="X4" i="6"/>
  <c r="Z20" i="8"/>
  <c r="AS18" i="11" a="1"/>
  <c r="AS18" i="11" s="1"/>
  <c r="AS19" i="11" a="1"/>
  <c r="AS19" i="11" s="1"/>
  <c r="AS20" i="11" a="1"/>
  <c r="AS20" i="11" s="1"/>
  <c r="AS27" i="11" a="1"/>
  <c r="AS27" i="11" s="1"/>
  <c r="AO5" i="11"/>
  <c r="AS16" i="11" a="1"/>
  <c r="AS16" i="11" s="1"/>
  <c r="AS2" i="11" a="1"/>
  <c r="AS2" i="11" s="1"/>
  <c r="AS23" i="11" a="1"/>
  <c r="AS23" i="11" s="1"/>
  <c r="AS3" i="11" a="1"/>
  <c r="AS3" i="11" s="1"/>
  <c r="AO2" i="11"/>
  <c r="AS46" i="11" a="1"/>
  <c r="AS46" i="11" s="1"/>
  <c r="AS24" i="11" a="1"/>
  <c r="AS24" i="11" s="1"/>
  <c r="AS11" i="11" a="1"/>
  <c r="AS11" i="11" s="1"/>
  <c r="AS28" i="11" a="1"/>
  <c r="AS28" i="11" s="1"/>
  <c r="AS21" i="11" a="1"/>
  <c r="AS21" i="11" s="1"/>
  <c r="AQ2" i="11"/>
  <c r="AS25" i="11" a="1"/>
  <c r="AS25" i="11" s="1"/>
  <c r="AS13" i="11" a="1"/>
  <c r="AS13" i="11" s="1"/>
  <c r="AS22" i="11" a="1"/>
  <c r="AS22" i="11" s="1"/>
  <c r="AS45" i="11" a="1"/>
  <c r="AS45" i="11" s="1"/>
  <c r="AS8" i="11" a="1"/>
  <c r="AS8" i="11" s="1"/>
  <c r="AS26" i="11" a="1"/>
  <c r="AS26" i="11" s="1"/>
  <c r="AS43" i="11" a="1"/>
  <c r="AS43" i="11" s="1"/>
  <c r="AS37" i="11" a="1"/>
  <c r="AS37" i="11" s="1"/>
  <c r="AQ4" i="11"/>
  <c r="AP4" i="11"/>
  <c r="B68" i="2" s="1"/>
  <c r="AO4" i="11"/>
  <c r="AS4" i="11" a="1"/>
  <c r="AS4" i="11" s="1"/>
  <c r="AR4" i="11"/>
  <c r="AS10" i="11" a="1"/>
  <c r="AS10" i="11" s="1"/>
  <c r="AB21" i="11" a="1"/>
  <c r="AB21" i="11" s="1"/>
  <c r="AB51" i="11" a="1"/>
  <c r="AB51" i="11" s="1"/>
  <c r="AB388" i="11" a="1"/>
  <c r="AB388" i="11" s="1"/>
  <c r="AB475" i="11" a="1"/>
  <c r="AB475" i="11" s="1"/>
  <c r="AB188" i="11" a="1"/>
  <c r="AB188" i="11" s="1"/>
  <c r="AB450" i="11" a="1"/>
  <c r="AB450" i="11" s="1"/>
  <c r="AB491" i="11" a="1"/>
  <c r="AB491" i="11" s="1"/>
  <c r="A42" i="10"/>
  <c r="A38" i="10"/>
  <c r="Y7" i="8"/>
  <c r="Z7" i="8"/>
  <c r="Z45" i="8"/>
  <c r="Y45" i="8"/>
  <c r="C29" i="9"/>
  <c r="AB35" i="11" a="1"/>
  <c r="AB35" i="11" s="1"/>
  <c r="AQ39" i="11"/>
  <c r="AS39" i="11" a="1"/>
  <c r="AS39" i="11" s="1"/>
  <c r="AB96" i="11" a="1"/>
  <c r="AB96" i="11" s="1"/>
  <c r="AB194" i="11" a="1"/>
  <c r="AB194" i="11" s="1"/>
  <c r="AB240" i="11" a="1"/>
  <c r="AB240" i="11" s="1"/>
  <c r="AB247" i="11" a="1"/>
  <c r="AB247" i="11" s="1"/>
  <c r="AB271" i="11" a="1"/>
  <c r="AB271" i="11" s="1"/>
  <c r="AM13" i="8"/>
  <c r="Z51" i="8"/>
  <c r="Y51" i="8"/>
  <c r="AS9" i="11" a="1"/>
  <c r="AS9" i="11" s="1"/>
  <c r="AO39" i="11"/>
  <c r="AB42" i="11" a="1"/>
  <c r="AB42" i="11" s="1"/>
  <c r="AN14" i="8"/>
  <c r="AM14" i="8"/>
  <c r="E54" i="9" a="1"/>
  <c r="E54" i="9" s="1"/>
  <c r="E42" i="9" a="1"/>
  <c r="E42" i="9" s="1"/>
  <c r="E28" i="9" a="1"/>
  <c r="E28" i="9" s="1"/>
  <c r="E8" i="9" a="1"/>
  <c r="E8" i="9" s="1"/>
  <c r="E39" i="9" a="1"/>
  <c r="E39" i="9" s="1"/>
  <c r="E33" i="9" a="1"/>
  <c r="E33" i="9" s="1"/>
  <c r="E59" i="9" a="1"/>
  <c r="E59" i="9" s="1"/>
  <c r="E56" i="9" a="1"/>
  <c r="E56" i="9" s="1"/>
  <c r="E51" i="9" a="1"/>
  <c r="E51" i="9" s="1"/>
  <c r="E25" i="9" a="1"/>
  <c r="E25" i="9" s="1"/>
  <c r="E24" i="9" a="1"/>
  <c r="E24" i="9" s="1"/>
  <c r="E29" i="9" a="1"/>
  <c r="E29" i="9" s="1"/>
  <c r="E47" i="9" a="1"/>
  <c r="E47" i="9" s="1"/>
  <c r="E37" i="9" a="1"/>
  <c r="E37" i="9" s="1"/>
  <c r="E2" i="9" a="1"/>
  <c r="E2" i="9" s="1"/>
  <c r="E46" i="9" a="1"/>
  <c r="E46" i="9" s="1"/>
  <c r="E40" i="9" a="1"/>
  <c r="E40" i="9" s="1"/>
  <c r="E27" i="9" a="1"/>
  <c r="E27" i="9" s="1"/>
  <c r="E55" i="9" a="1"/>
  <c r="E55" i="9" s="1"/>
  <c r="E43" i="9" a="1"/>
  <c r="E43" i="9" s="1"/>
  <c r="E35" i="9" a="1"/>
  <c r="E35" i="9" s="1"/>
  <c r="E7" i="9" a="1"/>
  <c r="E7" i="9" s="1"/>
  <c r="E38" i="9" a="1"/>
  <c r="E38" i="9" s="1"/>
  <c r="E16" i="9" a="1"/>
  <c r="E16" i="9" s="1"/>
  <c r="E45" i="9" a="1"/>
  <c r="E45" i="9" s="1"/>
  <c r="E36" i="9" a="1"/>
  <c r="E36" i="9" s="1"/>
  <c r="E20" i="9" a="1"/>
  <c r="E20" i="9" s="1"/>
  <c r="E9" i="9" a="1"/>
  <c r="E9" i="9" s="1"/>
  <c r="Z9" i="8"/>
  <c r="Y9" i="8"/>
  <c r="Z37" i="8"/>
  <c r="Y37" i="8"/>
  <c r="B169" i="8"/>
  <c r="F172" i="8"/>
  <c r="F173" i="8"/>
  <c r="AP34" i="11"/>
  <c r="P68" i="2" s="1"/>
  <c r="AS34" i="11" a="1"/>
  <c r="AS34" i="11" s="1"/>
  <c r="AR34" i="11"/>
  <c r="AQ34" i="11"/>
  <c r="AO34" i="11"/>
  <c r="AR43" i="11"/>
  <c r="AQ43" i="11"/>
  <c r="Z38" i="8"/>
  <c r="Y38" i="8"/>
  <c r="C28" i="9"/>
  <c r="AS38" i="11" a="1"/>
  <c r="AS38" i="11" s="1"/>
  <c r="AP38" i="11"/>
  <c r="P72" i="2" s="1"/>
  <c r="AP43" i="11"/>
  <c r="P77" i="2" s="1"/>
  <c r="AI52" i="11" a="1"/>
  <c r="AI52" i="11" s="1"/>
  <c r="AI50" i="11" a="1"/>
  <c r="AI50" i="11" s="1"/>
  <c r="AQ9" i="11"/>
  <c r="AP9" i="11"/>
  <c r="B73" i="2" s="1"/>
  <c r="AO9" i="11"/>
  <c r="AR9" i="11"/>
  <c r="AO35" i="11"/>
  <c r="AP35" i="11"/>
  <c r="P69" i="2" s="1"/>
  <c r="AL222" i="11" a="1"/>
  <c r="AL222" i="11" s="1"/>
  <c r="AL208" i="11" a="1"/>
  <c r="AL208" i="11" s="1"/>
  <c r="AL144" i="11" a="1"/>
  <c r="AL144" i="11" s="1"/>
  <c r="AL213" i="11" a="1"/>
  <c r="AL213" i="11" s="1"/>
  <c r="AL188" i="11" a="1"/>
  <c r="AL188" i="11" s="1"/>
  <c r="AL145" i="11" a="1"/>
  <c r="AL145" i="11" s="1"/>
  <c r="AL40" i="11" a="1"/>
  <c r="AL40" i="11" s="1"/>
  <c r="B44" i="8"/>
  <c r="B15" i="8"/>
  <c r="AL232" i="11" a="1"/>
  <c r="AL232" i="11" s="1"/>
  <c r="AL115" i="11" a="1"/>
  <c r="AL115" i="11" s="1"/>
  <c r="A47" i="10"/>
  <c r="AL297" i="11" a="1"/>
  <c r="AL297" i="11" s="1"/>
  <c r="AL250" i="11" a="1"/>
  <c r="AL250" i="11" s="1"/>
  <c r="AL193" i="11" a="1"/>
  <c r="AL193" i="11" s="1"/>
  <c r="AL159" i="11" a="1"/>
  <c r="AL159" i="11" s="1"/>
  <c r="AL124" i="11" a="1"/>
  <c r="AL124" i="11" s="1"/>
  <c r="AL289" i="11" a="1"/>
  <c r="AL289" i="11" s="1"/>
  <c r="AL255" i="11" a="1"/>
  <c r="AL255" i="11" s="1"/>
  <c r="AL236" i="11" a="1"/>
  <c r="AL236" i="11" s="1"/>
  <c r="AL263" i="11" a="1"/>
  <c r="AL263" i="11" s="1"/>
  <c r="AL205" i="11" a="1"/>
  <c r="AL205" i="11" s="1"/>
  <c r="AL181" i="11" a="1"/>
  <c r="AL181" i="11" s="1"/>
  <c r="AL161" i="11" a="1"/>
  <c r="AL161" i="11" s="1"/>
  <c r="AL158" i="11" a="1"/>
  <c r="AL158" i="11" s="1"/>
  <c r="AL149" i="11" a="1"/>
  <c r="AL149" i="11" s="1"/>
  <c r="AL260" i="11" a="1"/>
  <c r="AL260" i="11" s="1"/>
  <c r="AL196" i="11" a="1"/>
  <c r="AL196" i="11" s="1"/>
  <c r="AL296" i="11" a="1"/>
  <c r="AL296" i="11" s="1"/>
  <c r="AL284" i="11" a="1"/>
  <c r="AL284" i="11" s="1"/>
  <c r="AL278" i="11" a="1"/>
  <c r="AL278" i="11" s="1"/>
  <c r="AL251" i="11" a="1"/>
  <c r="AL251" i="11" s="1"/>
  <c r="AL216" i="11" a="1"/>
  <c r="AL216" i="11" s="1"/>
  <c r="AL157" i="11" a="1"/>
  <c r="AL157" i="11" s="1"/>
  <c r="AL298" i="11" a="1"/>
  <c r="AL298" i="11" s="1"/>
  <c r="AL253" i="11" a="1"/>
  <c r="AL253" i="11" s="1"/>
  <c r="AL135" i="11" a="1"/>
  <c r="AL135" i="11" s="1"/>
  <c r="AL123" i="11" a="1"/>
  <c r="AL123" i="11" s="1"/>
  <c r="AL292" i="11" a="1"/>
  <c r="AL292" i="11" s="1"/>
  <c r="AL283" i="11" a="1"/>
  <c r="AL283" i="11" s="1"/>
  <c r="AL265" i="11" a="1"/>
  <c r="AL265" i="11" s="1"/>
  <c r="AL243" i="11" a="1"/>
  <c r="AL243" i="11" s="1"/>
  <c r="AL192" i="11" a="1"/>
  <c r="AL192" i="11" s="1"/>
  <c r="AL156" i="11" a="1"/>
  <c r="AL156" i="11" s="1"/>
  <c r="AL107" i="11" a="1"/>
  <c r="AL107" i="11" s="1"/>
  <c r="AL90" i="11" a="1"/>
  <c r="AL90" i="11" s="1"/>
  <c r="AL180" i="11" a="1"/>
  <c r="AL180" i="11" s="1"/>
  <c r="AL174" i="11" a="1"/>
  <c r="AL174" i="11" s="1"/>
  <c r="AL270" i="11" a="1"/>
  <c r="AL270" i="11" s="1"/>
  <c r="AL252" i="11" a="1"/>
  <c r="AL252" i="11" s="1"/>
  <c r="AL199" i="11" a="1"/>
  <c r="AL199" i="11" s="1"/>
  <c r="AL294" i="11" a="1"/>
  <c r="AL294" i="11" s="1"/>
  <c r="AL241" i="11" a="1"/>
  <c r="AL241" i="11" s="1"/>
  <c r="AL223" i="11" a="1"/>
  <c r="AL223" i="11" s="1"/>
  <c r="AL187" i="11" a="1"/>
  <c r="AL187" i="11" s="1"/>
  <c r="AL120" i="11" a="1"/>
  <c r="AL120" i="11" s="1"/>
  <c r="AL109" i="11" a="1"/>
  <c r="AL109" i="11" s="1"/>
  <c r="AL285" i="11" a="1"/>
  <c r="AL285" i="11" s="1"/>
  <c r="AL95" i="11" a="1"/>
  <c r="AL95" i="11" s="1"/>
  <c r="AL42" i="11" a="1"/>
  <c r="AL42" i="11" s="1"/>
  <c r="AL108" i="11" a="1"/>
  <c r="AL108" i="11" s="1"/>
  <c r="AL43" i="11" a="1"/>
  <c r="AL43" i="11" s="1"/>
  <c r="AL244" i="11" a="1"/>
  <c r="AL244" i="11" s="1"/>
  <c r="AL130" i="11" a="1"/>
  <c r="AL130" i="11" s="1"/>
  <c r="AL72" i="11" a="1"/>
  <c r="AL72" i="11" s="1"/>
  <c r="AL45" i="11" a="1"/>
  <c r="AL45" i="11" s="1"/>
  <c r="AL264" i="11" a="1"/>
  <c r="AL264" i="11" s="1"/>
  <c r="AL163" i="11" a="1"/>
  <c r="AL163" i="11" s="1"/>
  <c r="AL132" i="11" a="1"/>
  <c r="AL132" i="11" s="1"/>
  <c r="AL65" i="11" a="1"/>
  <c r="AL65" i="11" s="1"/>
  <c r="AL31" i="11" a="1"/>
  <c r="AL31" i="11" s="1"/>
  <c r="AL29" i="11" a="1"/>
  <c r="AL29" i="11" s="1"/>
  <c r="AL10" i="11" a="1"/>
  <c r="AL10" i="11" s="1"/>
  <c r="AL295" i="11" a="1"/>
  <c r="AL295" i="11" s="1"/>
  <c r="AL91" i="11" a="1"/>
  <c r="AL91" i="11" s="1"/>
  <c r="AL41" i="11" a="1"/>
  <c r="AL41" i="11" s="1"/>
  <c r="AL2" i="11" a="1"/>
  <c r="AL2" i="11" s="1"/>
  <c r="A45" i="10"/>
  <c r="AL240" i="11" a="1"/>
  <c r="AL240" i="11" s="1"/>
  <c r="AL231" i="11" a="1"/>
  <c r="AL231" i="11" s="1"/>
  <c r="AL178" i="11" a="1"/>
  <c r="AL178" i="11" s="1"/>
  <c r="AL73" i="11" a="1"/>
  <c r="AL73" i="11" s="1"/>
  <c r="AL189" i="11" a="1"/>
  <c r="AL189" i="11" s="1"/>
  <c r="AL44" i="11" a="1"/>
  <c r="AL44" i="11" s="1"/>
  <c r="A43" i="10"/>
  <c r="AL38" i="11" a="1"/>
  <c r="AL38" i="11" s="1"/>
  <c r="AL131" i="11" a="1"/>
  <c r="AL131" i="11" s="1"/>
  <c r="AL198" i="11" a="1"/>
  <c r="AL198" i="11" s="1"/>
  <c r="G2" i="10"/>
  <c r="N22" i="8"/>
  <c r="N23" i="8" s="1"/>
  <c r="A44" i="10"/>
  <c r="AL66" i="11" a="1"/>
  <c r="AL66" i="11" s="1"/>
  <c r="AL69" i="11" a="1"/>
  <c r="AL69" i="11" s="1"/>
  <c r="AL99" i="11" a="1"/>
  <c r="AL99" i="11" s="1"/>
  <c r="AL218" i="11" a="1"/>
  <c r="AL218" i="11" s="1"/>
  <c r="AL256" i="11" a="1"/>
  <c r="AL256" i="11" s="1"/>
  <c r="AL275" i="11" a="1"/>
  <c r="AL275" i="11" s="1"/>
  <c r="A46" i="10"/>
  <c r="AS5" i="11" a="1"/>
  <c r="AS5" i="11" s="1"/>
  <c r="AR5" i="11"/>
  <c r="AQ5" i="11"/>
  <c r="AL12" i="11" a="1"/>
  <c r="AL12" i="11" s="1"/>
  <c r="AL49" i="11" a="1"/>
  <c r="AL49" i="11" s="1"/>
  <c r="AL168" i="11" a="1"/>
  <c r="AL168" i="11" s="1"/>
  <c r="AL195" i="11" a="1"/>
  <c r="AL195" i="11" s="1"/>
  <c r="AL257" i="11" a="1"/>
  <c r="AL257" i="11" s="1"/>
  <c r="Z34" i="8"/>
  <c r="Y34" i="8"/>
  <c r="AR8" i="11"/>
  <c r="AO8" i="11"/>
  <c r="AR37" i="11"/>
  <c r="AQ37" i="11"/>
  <c r="AP37" i="11"/>
  <c r="P71" i="2" s="1"/>
  <c r="AL58" i="11" a="1"/>
  <c r="AL58" i="11" s="1"/>
  <c r="AL100" i="11" a="1"/>
  <c r="AL100" i="11" s="1"/>
  <c r="AL150" i="11" a="1"/>
  <c r="AL150" i="11" s="1"/>
  <c r="AL191" i="11" a="1"/>
  <c r="AL191" i="11" s="1"/>
  <c r="AL247" i="11" a="1"/>
  <c r="AL247" i="11" s="1"/>
  <c r="C19" i="12" a="1"/>
  <c r="C19" i="12" s="1"/>
  <c r="C13" i="12" a="1"/>
  <c r="C13" i="12" s="1"/>
  <c r="C16" i="12" a="1"/>
  <c r="C16" i="12" s="1"/>
  <c r="C5" i="12" a="1"/>
  <c r="C5" i="12" s="1"/>
  <c r="E1" i="12"/>
  <c r="C9" i="12" a="1"/>
  <c r="C9" i="12" s="1"/>
  <c r="C17" i="12" a="1"/>
  <c r="C17" i="12" s="1"/>
  <c r="C10" i="12" a="1"/>
  <c r="C10" i="12" s="1"/>
  <c r="C12" i="12" a="1"/>
  <c r="C12" i="12" s="1"/>
  <c r="C3" i="12" a="1"/>
  <c r="C3" i="12" s="1"/>
  <c r="C18" i="12" a="1"/>
  <c r="C18" i="12" s="1"/>
  <c r="C15" i="12" a="1"/>
  <c r="C15" i="12" s="1"/>
  <c r="C7" i="12" a="1"/>
  <c r="C7" i="12" s="1"/>
  <c r="C2" i="12" a="1"/>
  <c r="C2" i="12" s="1"/>
  <c r="C11" i="12" a="1"/>
  <c r="C11" i="12" s="1"/>
  <c r="C4" i="12" a="1"/>
  <c r="C4" i="12" s="1"/>
  <c r="C8" i="12" a="1"/>
  <c r="C8" i="12" s="1"/>
  <c r="C6" i="12" a="1"/>
  <c r="C6" i="12" s="1"/>
  <c r="AL5" i="11" a="1"/>
  <c r="AL5" i="11" s="1"/>
  <c r="AL84" i="11" a="1"/>
  <c r="AL84" i="11" s="1"/>
  <c r="AL93" i="11" a="1"/>
  <c r="AL93" i="11" s="1"/>
  <c r="AL225" i="11" a="1"/>
  <c r="AL225" i="11" s="1"/>
  <c r="AI55" i="11" a="1"/>
  <c r="AI55" i="11" s="1"/>
  <c r="AG55" i="11" a="1"/>
  <c r="AG55" i="11" s="1"/>
  <c r="AG51" i="11" a="1"/>
  <c r="AG51" i="11" s="1"/>
  <c r="AG48" i="11" a="1"/>
  <c r="AG48" i="11" s="1"/>
  <c r="AG52" i="11" a="1"/>
  <c r="AG52" i="11" s="1"/>
  <c r="AG49" i="11" a="1"/>
  <c r="AG49" i="11" s="1"/>
  <c r="AL212" i="11" a="1"/>
  <c r="AL212" i="11" s="1"/>
  <c r="AL82" i="11" a="1"/>
  <c r="AL82" i="11" s="1"/>
  <c r="AL97" i="11" a="1"/>
  <c r="AL97" i="11" s="1"/>
  <c r="AL204" i="11" a="1"/>
  <c r="AL204" i="11" s="1"/>
  <c r="AL217" i="11" a="1"/>
  <c r="AL217" i="11" s="1"/>
  <c r="AL151" i="11" a="1"/>
  <c r="AL151" i="11" s="1"/>
  <c r="AL282" i="11" a="1"/>
  <c r="AL282" i="11" s="1"/>
  <c r="AP29" i="11"/>
  <c r="I78" i="2" s="1"/>
  <c r="AO29" i="11"/>
  <c r="AL127" i="11" a="1"/>
  <c r="AL127" i="11" s="1"/>
  <c r="AL137" i="11" a="1"/>
  <c r="AL137" i="11" s="1"/>
  <c r="AL140" i="11" a="1"/>
  <c r="AL140" i="11" s="1"/>
  <c r="AL147" i="11" a="1"/>
  <c r="AL147" i="11" s="1"/>
  <c r="AL219" i="11" a="1"/>
  <c r="AL219" i="11" s="1"/>
  <c r="AL224" i="11" a="1"/>
  <c r="AL224" i="11" s="1"/>
  <c r="AL293" i="11" a="1"/>
  <c r="AL293" i="11" s="1"/>
  <c r="AL70" i="11" a="1"/>
  <c r="AL70" i="11" s="1"/>
  <c r="AL122" i="11" a="1"/>
  <c r="AL122" i="11" s="1"/>
  <c r="AL125" i="11" a="1"/>
  <c r="AL125" i="11" s="1"/>
  <c r="AL154" i="11" a="1"/>
  <c r="AL154" i="11" s="1"/>
  <c r="AL245" i="11" a="1"/>
  <c r="AL245" i="11" s="1"/>
  <c r="AL277" i="11" a="1"/>
  <c r="AL277" i="11" s="1"/>
  <c r="AL281" i="11" a="1"/>
  <c r="AL281" i="11" s="1"/>
  <c r="AL141" i="11" a="1"/>
  <c r="AL141" i="11" s="1"/>
  <c r="AL179" i="11" a="1"/>
  <c r="AL179" i="11" s="1"/>
  <c r="AL273" i="11" a="1"/>
  <c r="AL273" i="11" s="1"/>
  <c r="AL226" i="11" a="1"/>
  <c r="AL226" i="11" s="1"/>
  <c r="AL234" i="11" a="1"/>
  <c r="AL234" i="11" s="1"/>
  <c r="AL116" i="11" a="1"/>
  <c r="AL116" i="11" s="1"/>
  <c r="AL301" i="11" a="1"/>
  <c r="AL301" i="11" s="1"/>
  <c r="AL87" i="11" a="1"/>
  <c r="AL87" i="11" s="1"/>
  <c r="AL94" i="11" a="1"/>
  <c r="AL94" i="11" s="1"/>
  <c r="AL119" i="11" a="1"/>
  <c r="AL119" i="11" s="1"/>
  <c r="AL249" i="11" a="1"/>
  <c r="AL249" i="11" s="1"/>
  <c r="AL291" i="11" a="1"/>
  <c r="AL291" i="11" s="1"/>
  <c r="AL165" i="11" a="1"/>
  <c r="AL165" i="11" s="1"/>
  <c r="AL267" i="11" a="1"/>
  <c r="AL267" i="11" s="1"/>
  <c r="AL110" i="11" a="1"/>
  <c r="AL110" i="11" s="1"/>
  <c r="AL175" i="11" a="1"/>
  <c r="AL175" i="11" s="1"/>
  <c r="AL153" i="11" a="1"/>
  <c r="AL153" i="11" s="1"/>
  <c r="AL184" i="11" a="1"/>
  <c r="AL184" i="11" s="1"/>
  <c r="AL215" i="11" a="1"/>
  <c r="AL215" i="11" s="1"/>
  <c r="AL280" i="11" a="1"/>
  <c r="AL280" i="11" s="1"/>
  <c r="AL138" i="11" a="1"/>
  <c r="AL138" i="11" s="1"/>
  <c r="AL170" i="11" a="1"/>
  <c r="AL170" i="11" s="1"/>
  <c r="AL269" i="11" a="1"/>
  <c r="AL269" i="11" s="1"/>
  <c r="AL286" i="11" a="1"/>
  <c r="AL286" i="11" s="1"/>
  <c r="J13" i="14"/>
  <c r="AL126" i="11" a="1"/>
  <c r="AL126" i="11" s="1"/>
  <c r="AL229" i="11" a="1"/>
  <c r="AL229" i="11" s="1"/>
  <c r="AL272" i="11" a="1"/>
  <c r="AL272" i="11" s="1"/>
  <c r="AL299" i="11" a="1"/>
  <c r="AL299" i="11" s="1"/>
  <c r="AL142" i="11" a="1"/>
  <c r="AL142" i="11" s="1"/>
  <c r="AL171" i="11" a="1"/>
  <c r="AL171" i="11" s="1"/>
  <c r="AL228" i="11" a="1"/>
  <c r="AL228" i="11" s="1"/>
  <c r="AL186" i="11" a="1"/>
  <c r="AL186" i="11" s="1"/>
  <c r="AL279" i="11" a="1"/>
  <c r="AL279" i="11" s="1"/>
  <c r="AL206" i="11" a="1"/>
  <c r="AL206" i="11" s="1"/>
  <c r="G21" i="9"/>
  <c r="G27" i="9"/>
  <c r="G36" i="9"/>
  <c r="G84" i="9"/>
  <c r="G95" i="9"/>
  <c r="G114" i="9"/>
  <c r="AL39" i="11" a="1"/>
  <c r="AL39" i="11" s="1"/>
  <c r="AL160" i="11" a="1"/>
  <c r="AL160" i="11" s="1"/>
  <c r="AL185" i="11" a="1"/>
  <c r="AL185" i="11" s="1"/>
  <c r="AL262" i="11" a="1"/>
  <c r="AL262" i="11" s="1"/>
  <c r="G39" i="9"/>
  <c r="G71" i="9"/>
  <c r="F96" i="9"/>
  <c r="R9" i="1" s="1"/>
  <c r="AL136" i="11" a="1"/>
  <c r="AL136" i="11" s="1"/>
  <c r="AL230" i="11" a="1"/>
  <c r="AL230" i="11" s="1"/>
  <c r="AL271" i="11" a="1"/>
  <c r="AL271" i="11" s="1"/>
  <c r="AL248" i="11" a="1"/>
  <c r="AL248" i="11" s="1"/>
  <c r="AL266" i="11" a="1"/>
  <c r="AL266" i="11" s="1"/>
  <c r="AL121" i="11" a="1"/>
  <c r="AL121" i="11" s="1"/>
  <c r="AL220" i="11" a="1"/>
  <c r="AL220" i="11" s="1"/>
  <c r="AL261" i="11" a="1"/>
  <c r="AL261" i="11" s="1"/>
  <c r="F11" i="10" l="1"/>
  <c r="B117" i="8"/>
  <c r="B69" i="8"/>
  <c r="B148" i="8"/>
  <c r="B18" i="8"/>
  <c r="B161" i="8"/>
  <c r="B38" i="8"/>
  <c r="B22" i="8"/>
  <c r="B158" i="8"/>
  <c r="B51" i="8"/>
  <c r="B87" i="8"/>
  <c r="B141" i="8"/>
  <c r="B165" i="8"/>
  <c r="B110" i="8"/>
  <c r="B152" i="8"/>
  <c r="B176" i="8"/>
  <c r="B99" i="8"/>
  <c r="B155" i="8"/>
  <c r="B113" i="8"/>
  <c r="B96" i="8"/>
  <c r="B129" i="8"/>
  <c r="B121" i="8"/>
  <c r="B30" i="8"/>
  <c r="B106" i="8"/>
  <c r="B47" i="8"/>
  <c r="B73" i="8"/>
  <c r="B137" i="8"/>
  <c r="B34" i="8"/>
  <c r="B133" i="8"/>
  <c r="B13" i="8"/>
  <c r="B103" i="8"/>
  <c r="B84" i="8"/>
  <c r="B125" i="8"/>
  <c r="B93" i="8"/>
  <c r="T4" i="6"/>
  <c r="T11" i="6"/>
  <c r="F6" i="5"/>
  <c r="F5" i="5"/>
  <c r="H30" i="9" a="1"/>
  <c r="H30" i="9" s="1"/>
  <c r="H64" i="9" a="1"/>
  <c r="H64" i="9" s="1"/>
  <c r="H40" i="9" a="1"/>
  <c r="H40" i="9" s="1"/>
  <c r="I48" i="2"/>
  <c r="Q9" i="5" s="1"/>
  <c r="H59" i="8"/>
  <c r="H62" i="8" s="1"/>
  <c r="H162" i="8" s="1"/>
  <c r="Q3" i="5"/>
  <c r="H69" i="9" a="1"/>
  <c r="H69" i="9" s="1"/>
  <c r="H52" i="9" a="1"/>
  <c r="H52" i="9" s="1"/>
  <c r="H15" i="9" a="1"/>
  <c r="H15" i="9" s="1"/>
  <c r="H26" i="9" a="1"/>
  <c r="H26" i="9" s="1"/>
  <c r="H18" i="9" a="1"/>
  <c r="H18" i="9" s="1"/>
  <c r="H53" i="9" a="1"/>
  <c r="H53" i="9" s="1"/>
  <c r="B27" i="9"/>
  <c r="H68" i="9" a="1"/>
  <c r="H68" i="9" s="1"/>
  <c r="H17" i="9" a="1"/>
  <c r="H17" i="9" s="1"/>
  <c r="T3" i="6"/>
  <c r="F4" i="5"/>
  <c r="AU8" i="11"/>
  <c r="AO49" i="2" s="1"/>
  <c r="H61" i="8"/>
  <c r="H165" i="8" s="1"/>
  <c r="I59" i="2"/>
  <c r="Q18" i="5" s="1"/>
  <c r="AV4" i="11"/>
  <c r="B31" i="9"/>
  <c r="Z99" i="2" s="1"/>
  <c r="H14" i="9" a="1"/>
  <c r="H14" i="9" s="1"/>
  <c r="H12" i="9" a="1"/>
  <c r="H12" i="9" s="1"/>
  <c r="H27" i="9" a="1"/>
  <c r="H27" i="9" s="1"/>
  <c r="H57" i="9" a="1"/>
  <c r="H57" i="9" s="1"/>
  <c r="H62" i="9" a="1"/>
  <c r="H62" i="9" s="1"/>
  <c r="H19" i="9" a="1"/>
  <c r="H19" i="9" s="1"/>
  <c r="H61" i="9" a="1"/>
  <c r="H61" i="9" s="1"/>
  <c r="B28" i="9"/>
  <c r="H54" i="9" a="1"/>
  <c r="H54" i="9" s="1"/>
  <c r="H22" i="9" a="1"/>
  <c r="H22" i="9" s="1"/>
  <c r="H66" i="9" a="1"/>
  <c r="H66" i="9" s="1"/>
  <c r="B25" i="9"/>
  <c r="H56" i="9" a="1"/>
  <c r="H56" i="9" s="1"/>
  <c r="H20" i="9" a="1"/>
  <c r="H20" i="9" s="1"/>
  <c r="B29" i="9"/>
  <c r="H58" i="9" a="1"/>
  <c r="H58" i="9" s="1"/>
  <c r="H59" i="9" a="1"/>
  <c r="H59" i="9" s="1"/>
  <c r="B26" i="9"/>
  <c r="H41" i="9" a="1"/>
  <c r="H41" i="9" s="1"/>
  <c r="H37" i="9" a="1"/>
  <c r="H37" i="9" s="1"/>
  <c r="H55" i="9" a="1"/>
  <c r="H55" i="9" s="1"/>
  <c r="H65" i="9" a="1"/>
  <c r="H65" i="9" s="1"/>
  <c r="H45" i="9" a="1"/>
  <c r="H45" i="9" s="1"/>
  <c r="H47" i="9" a="1"/>
  <c r="H47" i="9" s="1"/>
  <c r="H42" i="9" a="1"/>
  <c r="H42" i="9" s="1"/>
  <c r="H39" i="9" a="1"/>
  <c r="H39" i="9" s="1"/>
  <c r="H36" i="9" a="1"/>
  <c r="H36" i="9" s="1"/>
  <c r="H67" i="9" a="1"/>
  <c r="H67" i="9" s="1"/>
  <c r="H60" i="9" a="1"/>
  <c r="H60" i="9" s="1"/>
  <c r="H63" i="9" a="1"/>
  <c r="H63" i="9" s="1"/>
  <c r="AM21" i="8"/>
  <c r="Z119" i="2" s="1"/>
  <c r="G100" i="6"/>
  <c r="B4" i="8" s="1"/>
  <c r="B3" i="8" s="1"/>
  <c r="K64" i="6"/>
  <c r="H70" i="6"/>
  <c r="I64" i="6"/>
  <c r="AC16" i="6"/>
  <c r="I58" i="2"/>
  <c r="Q17" i="5" s="1"/>
  <c r="I57" i="2"/>
  <c r="Q16" i="5" s="1"/>
  <c r="Q15" i="5"/>
  <c r="Q11" i="5"/>
  <c r="Q12" i="5"/>
  <c r="H100" i="6"/>
  <c r="I100" i="6"/>
  <c r="E86" i="6"/>
  <c r="M64" i="6"/>
  <c r="F86" i="6"/>
  <c r="N64" i="6"/>
  <c r="G70" i="6"/>
  <c r="O64" i="6"/>
  <c r="AU9" i="11"/>
  <c r="AD251" i="11" a="1"/>
  <c r="AD251" i="11" s="1"/>
  <c r="K253" i="13" s="1"/>
  <c r="E68" i="6"/>
  <c r="F68" i="6"/>
  <c r="T9" i="6"/>
  <c r="D68" i="6"/>
  <c r="T10" i="6"/>
  <c r="B171" i="8"/>
  <c r="B173" i="8" s="1"/>
  <c r="J84" i="7"/>
  <c r="J85" i="7"/>
  <c r="AD432" i="11" a="1"/>
  <c r="AD432" i="11" s="1"/>
  <c r="AE432" i="11" s="1"/>
  <c r="L434" i="13" s="1"/>
  <c r="AD516" i="11" a="1"/>
  <c r="AD516" i="11" s="1"/>
  <c r="AE516" i="11" s="1"/>
  <c r="L518" i="13" s="1"/>
  <c r="AD15" i="11" a="1"/>
  <c r="AD15" i="11" s="1"/>
  <c r="K17" i="13" s="1"/>
  <c r="AD321" i="11" a="1"/>
  <c r="AD321" i="11" s="1"/>
  <c r="K323" i="13" s="1"/>
  <c r="AD260" i="11" a="1"/>
  <c r="AD260" i="11" s="1"/>
  <c r="K262" i="13" s="1"/>
  <c r="AD38" i="11" a="1"/>
  <c r="AD38" i="11" s="1"/>
  <c r="K40" i="13" s="1"/>
  <c r="AD285" i="11" a="1"/>
  <c r="AD285" i="11" s="1"/>
  <c r="K287" i="13" s="1"/>
  <c r="AD167" i="11" a="1"/>
  <c r="AD167" i="11" s="1"/>
  <c r="K169" i="13" s="1"/>
  <c r="AD106" i="11" a="1"/>
  <c r="AD106" i="11" s="1"/>
  <c r="K108" i="13" s="1"/>
  <c r="AD514" i="11" a="1"/>
  <c r="AD514" i="11" s="1"/>
  <c r="K516" i="13" s="1"/>
  <c r="AD173" i="11" a="1"/>
  <c r="AD173" i="11" s="1"/>
  <c r="AE173" i="11" s="1"/>
  <c r="L175" i="13" s="1"/>
  <c r="AD161" i="11" a="1"/>
  <c r="AD161" i="11" s="1"/>
  <c r="K163" i="13" s="1"/>
  <c r="AD163" i="11" a="1"/>
  <c r="AD163" i="11" s="1"/>
  <c r="K165" i="13" s="1"/>
  <c r="AD78" i="11" a="1"/>
  <c r="AD78" i="11" s="1"/>
  <c r="AE78" i="11" s="1"/>
  <c r="L80" i="13" s="1"/>
  <c r="AD313" i="11" a="1"/>
  <c r="AD313" i="11" s="1"/>
  <c r="K315" i="13" s="1"/>
  <c r="AD328" i="11" a="1"/>
  <c r="AD328" i="11" s="1"/>
  <c r="K330" i="13" s="1"/>
  <c r="AD177" i="11" a="1"/>
  <c r="AD177" i="11" s="1"/>
  <c r="K179" i="13" s="1"/>
  <c r="AD93" i="11" a="1"/>
  <c r="AD93" i="11" s="1"/>
  <c r="AE93" i="11" s="1"/>
  <c r="L95" i="13" s="1"/>
  <c r="AD147" i="11" a="1"/>
  <c r="AD147" i="11" s="1"/>
  <c r="K149" i="13" s="1"/>
  <c r="AD462" i="11" a="1"/>
  <c r="AD462" i="11" s="1"/>
  <c r="AE462" i="11" s="1"/>
  <c r="L464" i="13" s="1"/>
  <c r="AD418" i="11" a="1"/>
  <c r="AD418" i="11" s="1"/>
  <c r="AE418" i="11" s="1"/>
  <c r="L420" i="13" s="1"/>
  <c r="AD387" i="11" a="1"/>
  <c r="AD387" i="11" s="1"/>
  <c r="K389" i="13" s="1"/>
  <c r="AD512" i="11" a="1"/>
  <c r="AD512" i="11" s="1"/>
  <c r="AE512" i="11" s="1"/>
  <c r="L514" i="13" s="1"/>
  <c r="AD458" i="11" a="1"/>
  <c r="AD458" i="11" s="1"/>
  <c r="AE458" i="11" s="1"/>
  <c r="L460" i="13" s="1"/>
  <c r="AD488" i="11" a="1"/>
  <c r="AD488" i="11" s="1"/>
  <c r="K490" i="13" s="1"/>
  <c r="AD171" i="11" a="1"/>
  <c r="AD171" i="11" s="1"/>
  <c r="K173" i="13" s="1"/>
  <c r="AD50" i="11" a="1"/>
  <c r="AD50" i="11" s="1"/>
  <c r="K52" i="13" s="1"/>
  <c r="AD477" i="11" a="1"/>
  <c r="AD477" i="11" s="1"/>
  <c r="AE477" i="11" s="1"/>
  <c r="L479" i="13" s="1"/>
  <c r="AD166" i="11" a="1"/>
  <c r="AD166" i="11" s="1"/>
  <c r="K168" i="13" s="1"/>
  <c r="AD318" i="11" a="1"/>
  <c r="AD318" i="11" s="1"/>
  <c r="AE318" i="11" s="1"/>
  <c r="L320" i="13" s="1"/>
  <c r="AD31" i="11" a="1"/>
  <c r="AD31" i="11" s="1"/>
  <c r="AE31" i="11" s="1"/>
  <c r="L33" i="13" s="1"/>
  <c r="AD149" i="11" a="1"/>
  <c r="AD149" i="11" s="1"/>
  <c r="K151" i="13" s="1"/>
  <c r="AD5" i="11" a="1"/>
  <c r="AD5" i="11" s="1"/>
  <c r="K7" i="13" s="1"/>
  <c r="AD393" i="11" a="1"/>
  <c r="AD393" i="11" s="1"/>
  <c r="K395" i="13" s="1"/>
  <c r="AD88" i="11" a="1"/>
  <c r="AD88" i="11" s="1"/>
  <c r="K90" i="13" s="1"/>
  <c r="AD233" i="11" a="1"/>
  <c r="AD233" i="11" s="1"/>
  <c r="K235" i="13" s="1"/>
  <c r="AD298" i="11" a="1"/>
  <c r="AD298" i="11" s="1"/>
  <c r="K300" i="13" s="1"/>
  <c r="AD463" i="11" a="1"/>
  <c r="AD463" i="11" s="1"/>
  <c r="AE463" i="11" s="1"/>
  <c r="L465" i="13" s="1"/>
  <c r="AD466" i="11" a="1"/>
  <c r="AD466" i="11" s="1"/>
  <c r="AE466" i="11" s="1"/>
  <c r="L468" i="13" s="1"/>
  <c r="AD439" i="11" a="1"/>
  <c r="AD439" i="11" s="1"/>
  <c r="K441" i="13" s="1"/>
  <c r="AD364" i="11" a="1"/>
  <c r="AD364" i="11" s="1"/>
  <c r="K366" i="13" s="1"/>
  <c r="AD169" i="11" a="1"/>
  <c r="AD169" i="11" s="1"/>
  <c r="AE169" i="11" s="1"/>
  <c r="L171" i="13" s="1"/>
  <c r="AD14" i="11" a="1"/>
  <c r="AD14" i="11" s="1"/>
  <c r="K16" i="13" s="1"/>
  <c r="AD156" i="11" a="1"/>
  <c r="AD156" i="11" s="1"/>
  <c r="K158" i="13" s="1"/>
  <c r="AD242" i="11" a="1"/>
  <c r="AD242" i="11" s="1"/>
  <c r="K244" i="13" s="1"/>
  <c r="AD18" i="11" a="1"/>
  <c r="AD18" i="11" s="1"/>
  <c r="K20" i="13" s="1"/>
  <c r="AD435" i="11" a="1"/>
  <c r="AD435" i="11" s="1"/>
  <c r="K437" i="13" s="1"/>
  <c r="AD495" i="11" a="1"/>
  <c r="AD495" i="11" s="1"/>
  <c r="AE495" i="11" s="1"/>
  <c r="L497" i="13" s="1"/>
  <c r="AD511" i="11" a="1"/>
  <c r="AD511" i="11" s="1"/>
  <c r="K513" i="13" s="1"/>
  <c r="AD23" i="11" a="1"/>
  <c r="AD23" i="11" s="1"/>
  <c r="K25" i="13" s="1"/>
  <c r="AD32" i="11" a="1"/>
  <c r="AD32" i="11" s="1"/>
  <c r="K34" i="13" s="1"/>
  <c r="AD102" i="11" a="1"/>
  <c r="AD102" i="11" s="1"/>
  <c r="AE102" i="11" s="1"/>
  <c r="L104" i="13" s="1"/>
  <c r="AD230" i="11" a="1"/>
  <c r="AD230" i="11" s="1"/>
  <c r="K232" i="13" s="1"/>
  <c r="AD303" i="11" a="1"/>
  <c r="AD303" i="11" s="1"/>
  <c r="AE303" i="11" s="1"/>
  <c r="L305" i="13" s="1"/>
  <c r="AD37" i="11" a="1"/>
  <c r="AD37" i="11" s="1"/>
  <c r="AE37" i="11" s="1"/>
  <c r="L39" i="13" s="1"/>
  <c r="AD126" i="11" a="1"/>
  <c r="AD126" i="11" s="1"/>
  <c r="AE126" i="11" s="1"/>
  <c r="L128" i="13" s="1"/>
  <c r="AD229" i="11" a="1"/>
  <c r="AD229" i="11" s="1"/>
  <c r="AE229" i="11" s="1"/>
  <c r="L231" i="13" s="1"/>
  <c r="AD508" i="11" a="1"/>
  <c r="AD508" i="11" s="1"/>
  <c r="K510" i="13" s="1"/>
  <c r="AD261" i="11" a="1"/>
  <c r="AD261" i="11" s="1"/>
  <c r="AE261" i="11" s="1"/>
  <c r="L263" i="13" s="1"/>
  <c r="AD265" i="11" a="1"/>
  <c r="AD265" i="11" s="1"/>
  <c r="K267" i="13" s="1"/>
  <c r="AD310" i="11" a="1"/>
  <c r="AD310" i="11" s="1"/>
  <c r="K312" i="13" s="1"/>
  <c r="AD164" i="11" a="1"/>
  <c r="AD164" i="11" s="1"/>
  <c r="K166" i="13" s="1"/>
  <c r="AD347" i="11" a="1"/>
  <c r="AD347" i="11" s="1"/>
  <c r="K349" i="13" s="1"/>
  <c r="AD410" i="11" a="1"/>
  <c r="AD410" i="11" s="1"/>
  <c r="AE410" i="11" s="1"/>
  <c r="L412" i="13" s="1"/>
  <c r="AD81" i="11" a="1"/>
  <c r="AD81" i="11" s="1"/>
  <c r="AE81" i="11" s="1"/>
  <c r="L83" i="13" s="1"/>
  <c r="AD415" i="11" a="1"/>
  <c r="AD415" i="11" s="1"/>
  <c r="K417" i="13" s="1"/>
  <c r="AD103" i="11" a="1"/>
  <c r="AD103" i="11" s="1"/>
  <c r="K105" i="13" s="1"/>
  <c r="AD86" i="11" a="1"/>
  <c r="AD86" i="11" s="1"/>
  <c r="K88" i="13" s="1"/>
  <c r="AD379" i="11" a="1"/>
  <c r="AD379" i="11" s="1"/>
  <c r="K381" i="13" s="1"/>
  <c r="AD168" i="11" a="1"/>
  <c r="AD168" i="11" s="1"/>
  <c r="K170" i="13" s="1"/>
  <c r="AD184" i="11" a="1"/>
  <c r="AD184" i="11" s="1"/>
  <c r="K186" i="13" s="1"/>
  <c r="AD324" i="11" a="1"/>
  <c r="AD324" i="11" s="1"/>
  <c r="K326" i="13" s="1"/>
  <c r="AD22" i="11" a="1"/>
  <c r="AD22" i="11" s="1"/>
  <c r="K24" i="13" s="1"/>
  <c r="AD67" i="11" a="1"/>
  <c r="AD67" i="11" s="1"/>
  <c r="K69" i="13" s="1"/>
  <c r="AD472" i="11" a="1"/>
  <c r="AD472" i="11" s="1"/>
  <c r="K474" i="13" s="1"/>
  <c r="AD116" i="11" a="1"/>
  <c r="AD116" i="11" s="1"/>
  <c r="AE116" i="11" s="1"/>
  <c r="L118" i="13" s="1"/>
  <c r="AD85" i="11" a="1"/>
  <c r="AD85" i="11" s="1"/>
  <c r="K87" i="13" s="1"/>
  <c r="AD198" i="11" a="1"/>
  <c r="AD198" i="11" s="1"/>
  <c r="AE198" i="11" s="1"/>
  <c r="L200" i="13" s="1"/>
  <c r="AD194" i="11" a="1"/>
  <c r="AD194" i="11" s="1"/>
  <c r="K196" i="13" s="1"/>
  <c r="AD216" i="11" a="1"/>
  <c r="AD216" i="11" s="1"/>
  <c r="K218" i="13" s="1"/>
  <c r="AD343" i="11" a="1"/>
  <c r="AD343" i="11" s="1"/>
  <c r="K345" i="13" s="1"/>
  <c r="AD246" i="11" a="1"/>
  <c r="AD246" i="11" s="1"/>
  <c r="AE246" i="11" s="1"/>
  <c r="L248" i="13" s="1"/>
  <c r="AD107" i="11" a="1"/>
  <c r="AD107" i="11" s="1"/>
  <c r="K109" i="13" s="1"/>
  <c r="AD272" i="11" a="1"/>
  <c r="AD272" i="11" s="1"/>
  <c r="AE272" i="11" s="1"/>
  <c r="L274" i="13" s="1"/>
  <c r="AD30" i="11" a="1"/>
  <c r="AD30" i="11" s="1"/>
  <c r="K32" i="13" s="1"/>
  <c r="AD129" i="11" a="1"/>
  <c r="AD129" i="11" s="1"/>
  <c r="K131" i="13" s="1"/>
  <c r="AD104" i="11" a="1"/>
  <c r="AD104" i="11" s="1"/>
  <c r="K106" i="13" s="1"/>
  <c r="AD329" i="11" a="1"/>
  <c r="AD329" i="11" s="1"/>
  <c r="AE329" i="11" s="1"/>
  <c r="L331" i="13" s="1"/>
  <c r="AD196" i="11" a="1"/>
  <c r="AD196" i="11" s="1"/>
  <c r="K198" i="13" s="1"/>
  <c r="AD234" i="11" a="1"/>
  <c r="AD234" i="11" s="1"/>
  <c r="K236" i="13" s="1"/>
  <c r="AD400" i="11" a="1"/>
  <c r="AD400" i="11" s="1"/>
  <c r="K402" i="13" s="1"/>
  <c r="AD244" i="11" a="1"/>
  <c r="AD244" i="11" s="1"/>
  <c r="AE244" i="11" s="1"/>
  <c r="L246" i="13" s="1"/>
  <c r="AD155" i="11" a="1"/>
  <c r="AD155" i="11" s="1"/>
  <c r="K157" i="13" s="1"/>
  <c r="AD276" i="11" a="1"/>
  <c r="AD276" i="11" s="1"/>
  <c r="K278" i="13" s="1"/>
  <c r="AD455" i="11" a="1"/>
  <c r="AD455" i="11" s="1"/>
  <c r="K457" i="13" s="1"/>
  <c r="AD42" i="11" a="1"/>
  <c r="AD42" i="11" s="1"/>
  <c r="AE42" i="11" s="1"/>
  <c r="L44" i="13" s="1"/>
  <c r="AD75" i="11" a="1"/>
  <c r="AD75" i="11" s="1"/>
  <c r="AE75" i="11" s="1"/>
  <c r="L77" i="13" s="1"/>
  <c r="AD236" i="11" a="1"/>
  <c r="AD236" i="11" s="1"/>
  <c r="AE236" i="11" s="1"/>
  <c r="L238" i="13" s="1"/>
  <c r="AD461" i="11" a="1"/>
  <c r="AD461" i="11" s="1"/>
  <c r="K463" i="13" s="1"/>
  <c r="AD350" i="11" a="1"/>
  <c r="AD350" i="11" s="1"/>
  <c r="K352" i="13" s="1"/>
  <c r="AD280" i="11" a="1"/>
  <c r="AD280" i="11" s="1"/>
  <c r="K282" i="13" s="1"/>
  <c r="AD224" i="11" a="1"/>
  <c r="AD224" i="11" s="1"/>
  <c r="AE224" i="11" s="1"/>
  <c r="L226" i="13" s="1"/>
  <c r="AD469" i="11" a="1"/>
  <c r="AD469" i="11" s="1"/>
  <c r="K471" i="13" s="1"/>
  <c r="AD114" i="11" a="1"/>
  <c r="AD114" i="11" s="1"/>
  <c r="AE114" i="11" s="1"/>
  <c r="L116" i="13" s="1"/>
  <c r="AD250" i="11" a="1"/>
  <c r="AD250" i="11" s="1"/>
  <c r="K252" i="13" s="1"/>
  <c r="AD51" i="11" a="1"/>
  <c r="AD51" i="11" s="1"/>
  <c r="K53" i="13" s="1"/>
  <c r="AD323" i="11" a="1"/>
  <c r="AD323" i="11" s="1"/>
  <c r="K325" i="13" s="1"/>
  <c r="AD358" i="11" a="1"/>
  <c r="AD358" i="11" s="1"/>
  <c r="AE358" i="11" s="1"/>
  <c r="L360" i="13" s="1"/>
  <c r="AD128" i="11" a="1"/>
  <c r="AD128" i="11" s="1"/>
  <c r="AE128" i="11" s="1"/>
  <c r="L130" i="13" s="1"/>
  <c r="AD121" i="11" a="1"/>
  <c r="AD121" i="11" s="1"/>
  <c r="K123" i="13" s="1"/>
  <c r="AD12" i="11" a="1"/>
  <c r="AD12" i="11" s="1"/>
  <c r="AE12" i="11" s="1"/>
  <c r="L14" i="13" s="1"/>
  <c r="AD143" i="11" a="1"/>
  <c r="AD143" i="11" s="1"/>
  <c r="K145" i="13" s="1"/>
  <c r="AD305" i="11" a="1"/>
  <c r="AD305" i="11" s="1"/>
  <c r="AE305" i="11" s="1"/>
  <c r="L307" i="13" s="1"/>
  <c r="AD485" i="11" a="1"/>
  <c r="AD485" i="11" s="1"/>
  <c r="AE485" i="11" s="1"/>
  <c r="L487" i="13" s="1"/>
  <c r="AD433" i="11" a="1"/>
  <c r="AD433" i="11" s="1"/>
  <c r="AE433" i="11" s="1"/>
  <c r="L435" i="13" s="1"/>
  <c r="AD80" i="11" a="1"/>
  <c r="AD80" i="11" s="1"/>
  <c r="K82" i="13" s="1"/>
  <c r="AD256" i="11" a="1"/>
  <c r="AD256" i="11" s="1"/>
  <c r="AE256" i="11" s="1"/>
  <c r="L258" i="13" s="1"/>
  <c r="AD476" i="11" a="1"/>
  <c r="AD476" i="11" s="1"/>
  <c r="AE476" i="11" s="1"/>
  <c r="L478" i="13" s="1"/>
  <c r="AD178" i="11" a="1"/>
  <c r="AD178" i="11" s="1"/>
  <c r="K180" i="13" s="1"/>
  <c r="AD187" i="11" a="1"/>
  <c r="AD187" i="11" s="1"/>
  <c r="AE187" i="11" s="1"/>
  <c r="L189" i="13" s="1"/>
  <c r="AD441" i="11" a="1"/>
  <c r="AD441" i="11" s="1"/>
  <c r="AE441" i="11" s="1"/>
  <c r="L443" i="13" s="1"/>
  <c r="AD150" i="11" a="1"/>
  <c r="AD150" i="11" s="1"/>
  <c r="K152" i="13" s="1"/>
  <c r="AD202" i="11" a="1"/>
  <c r="AD202" i="11" s="1"/>
  <c r="AE202" i="11" s="1"/>
  <c r="L204" i="13" s="1"/>
  <c r="AD98" i="11" a="1"/>
  <c r="AD98" i="11" s="1"/>
  <c r="K100" i="13" s="1"/>
  <c r="AD263" i="11" a="1"/>
  <c r="AD263" i="11" s="1"/>
  <c r="AE263" i="11" s="1"/>
  <c r="L265" i="13" s="1"/>
  <c r="AD515" i="11" a="1"/>
  <c r="AD515" i="11" s="1"/>
  <c r="AE515" i="11" s="1"/>
  <c r="L517" i="13" s="1"/>
  <c r="AD446" i="11" a="1"/>
  <c r="AD446" i="11" s="1"/>
  <c r="K448" i="13" s="1"/>
  <c r="AD8" i="11" a="1"/>
  <c r="AD8" i="11" s="1"/>
  <c r="AE8" i="11" s="1"/>
  <c r="L10" i="13" s="1"/>
  <c r="AD190" i="11" a="1"/>
  <c r="AD190" i="11" s="1"/>
  <c r="AE190" i="11" s="1"/>
  <c r="L192" i="13" s="1"/>
  <c r="AD204" i="11" a="1"/>
  <c r="AD204" i="11" s="1"/>
  <c r="AE204" i="11" s="1"/>
  <c r="L206" i="13" s="1"/>
  <c r="AD125" i="11" a="1"/>
  <c r="AD125" i="11" s="1"/>
  <c r="K127" i="13" s="1"/>
  <c r="AD268" i="11" a="1"/>
  <c r="AD268" i="11" s="1"/>
  <c r="AE268" i="11" s="1"/>
  <c r="L270" i="13" s="1"/>
  <c r="AD327" i="11" a="1"/>
  <c r="AD327" i="11" s="1"/>
  <c r="AE327" i="11" s="1"/>
  <c r="L329" i="13" s="1"/>
  <c r="AD437" i="11" a="1"/>
  <c r="AD437" i="11" s="1"/>
  <c r="K439" i="13" s="1"/>
  <c r="AD16" i="11" a="1"/>
  <c r="AD16" i="11" s="1"/>
  <c r="K18" i="13" s="1"/>
  <c r="AD77" i="11" a="1"/>
  <c r="AD77" i="11" s="1"/>
  <c r="AE77" i="11" s="1"/>
  <c r="L79" i="13" s="1"/>
  <c r="AD222" i="11" a="1"/>
  <c r="AD222" i="11" s="1"/>
  <c r="AE222" i="11" s="1"/>
  <c r="L224" i="13" s="1"/>
  <c r="AD241" i="11" a="1"/>
  <c r="AD241" i="11" s="1"/>
  <c r="K243" i="13" s="1"/>
  <c r="AD179" i="11" a="1"/>
  <c r="AD179" i="11" s="1"/>
  <c r="K181" i="13" s="1"/>
  <c r="AD273" i="11" a="1"/>
  <c r="AD273" i="11" s="1"/>
  <c r="K275" i="13" s="1"/>
  <c r="AD339" i="11" a="1"/>
  <c r="AD339" i="11" s="1"/>
  <c r="K341" i="13" s="1"/>
  <c r="AD214" i="11" a="1"/>
  <c r="AD214" i="11" s="1"/>
  <c r="AE214" i="11" s="1"/>
  <c r="L216" i="13" s="1"/>
  <c r="AD345" i="11" a="1"/>
  <c r="AD345" i="11" s="1"/>
  <c r="K347" i="13" s="1"/>
  <c r="AD447" i="11" a="1"/>
  <c r="AD447" i="11" s="1"/>
  <c r="K449" i="13" s="1"/>
  <c r="AD317" i="11" a="1"/>
  <c r="AD317" i="11" s="1"/>
  <c r="AE317" i="11" s="1"/>
  <c r="L319" i="13" s="1"/>
  <c r="AD122" i="11" a="1"/>
  <c r="AD122" i="11" s="1"/>
  <c r="K124" i="13" s="1"/>
  <c r="AD332" i="11" a="1"/>
  <c r="AD332" i="11" s="1"/>
  <c r="K334" i="13" s="1"/>
  <c r="AD248" i="11" a="1"/>
  <c r="AD248" i="11" s="1"/>
  <c r="K250" i="13" s="1"/>
  <c r="AD146" i="11" a="1"/>
  <c r="AD146" i="11" s="1"/>
  <c r="K148" i="13" s="1"/>
  <c r="AD183" i="11" a="1"/>
  <c r="AD183" i="11" s="1"/>
  <c r="K185" i="13" s="1"/>
  <c r="AD412" i="11" a="1"/>
  <c r="AD412" i="11" s="1"/>
  <c r="AE412" i="11" s="1"/>
  <c r="L414" i="13" s="1"/>
  <c r="AD144" i="11" a="1"/>
  <c r="AD144" i="11" s="1"/>
  <c r="K146" i="13" s="1"/>
  <c r="AD384" i="11" a="1"/>
  <c r="AD384" i="11" s="1"/>
  <c r="K386" i="13" s="1"/>
  <c r="AD154" i="11" a="1"/>
  <c r="AD154" i="11" s="1"/>
  <c r="AE154" i="11" s="1"/>
  <c r="L156" i="13" s="1"/>
  <c r="AD359" i="11" a="1"/>
  <c r="AD359" i="11" s="1"/>
  <c r="AE359" i="11" s="1"/>
  <c r="L361" i="13" s="1"/>
  <c r="AD337" i="11" a="1"/>
  <c r="AD337" i="11" s="1"/>
  <c r="K339" i="13" s="1"/>
  <c r="AD148" i="11" a="1"/>
  <c r="AD148" i="11" s="1"/>
  <c r="K150" i="13" s="1"/>
  <c r="AD215" i="11" a="1"/>
  <c r="AD215" i="11" s="1"/>
  <c r="K217" i="13" s="1"/>
  <c r="AD426" i="11" a="1"/>
  <c r="AD426" i="11" s="1"/>
  <c r="AE426" i="11" s="1"/>
  <c r="L428" i="13" s="1"/>
  <c r="J91" i="7"/>
  <c r="J86" i="7"/>
  <c r="J89" i="7"/>
  <c r="J87" i="7"/>
  <c r="J88" i="7"/>
  <c r="B89" i="7"/>
  <c r="B90" i="7"/>
  <c r="G108" i="6"/>
  <c r="E108" i="6"/>
  <c r="T6" i="6"/>
  <c r="T8" i="6"/>
  <c r="T5" i="6"/>
  <c r="T12" i="6"/>
  <c r="F108" i="6"/>
  <c r="B10" i="8" s="1"/>
  <c r="AK24" i="7"/>
  <c r="AK31" i="7"/>
  <c r="AK23" i="7"/>
  <c r="AK25" i="7"/>
  <c r="AK34" i="7"/>
  <c r="AK29" i="7"/>
  <c r="AK27" i="7"/>
  <c r="AK33" i="7"/>
  <c r="AK22" i="7"/>
  <c r="AK21" i="7"/>
  <c r="AK20" i="7"/>
  <c r="AE21" i="7"/>
  <c r="AK26" i="7"/>
  <c r="AK30" i="7"/>
  <c r="AK18" i="7"/>
  <c r="AK28" i="7"/>
  <c r="AK32" i="7"/>
  <c r="AK19" i="7"/>
  <c r="AK35" i="7"/>
  <c r="F84" i="7"/>
  <c r="F126" i="7"/>
  <c r="F43" i="7"/>
  <c r="F36" i="7"/>
  <c r="F97" i="7"/>
  <c r="F111" i="7"/>
  <c r="F104" i="7"/>
  <c r="F50" i="7"/>
  <c r="F133" i="7"/>
  <c r="F70" i="7"/>
  <c r="F57" i="7"/>
  <c r="F77" i="7"/>
  <c r="F64" i="7"/>
  <c r="F30" i="7"/>
  <c r="F90" i="7"/>
  <c r="F153" i="7"/>
  <c r="F146" i="7"/>
  <c r="F118" i="7"/>
  <c r="F140" i="7"/>
  <c r="AS6" i="7"/>
  <c r="AR3" i="7"/>
  <c r="AR4" i="7" s="1"/>
  <c r="AS10" i="7"/>
  <c r="BD9" i="7" s="1"/>
  <c r="AS8" i="7"/>
  <c r="BD6" i="7" s="1"/>
  <c r="AU5" i="8" s="1"/>
  <c r="A76" i="10" s="1"/>
  <c r="BB124" i="7" s="1"/>
  <c r="AS9" i="7"/>
  <c r="BD7" i="7" s="1"/>
  <c r="AS7" i="7"/>
  <c r="BD5" i="7" s="1"/>
  <c r="AQ7" i="7"/>
  <c r="BD8" i="7" s="1"/>
  <c r="AS11" i="7"/>
  <c r="BD10" i="7" s="1"/>
  <c r="P60" i="7"/>
  <c r="P61" i="7"/>
  <c r="B41" i="7"/>
  <c r="B42" i="7"/>
  <c r="B40" i="7"/>
  <c r="B38" i="7"/>
  <c r="BH47" i="7"/>
  <c r="B39" i="7"/>
  <c r="H33" i="9" a="1"/>
  <c r="H33" i="9" s="1"/>
  <c r="H49" i="9" a="1"/>
  <c r="H49" i="9" s="1"/>
  <c r="O11" i="14"/>
  <c r="O8" i="14"/>
  <c r="O12" i="14"/>
  <c r="O6" i="14"/>
  <c r="O10" i="14"/>
  <c r="O7" i="14"/>
  <c r="O9" i="14"/>
  <c r="O13" i="14"/>
  <c r="O5" i="14"/>
  <c r="AP131" i="7"/>
  <c r="AP133" i="7"/>
  <c r="R47" i="8"/>
  <c r="AP132" i="7"/>
  <c r="AP134" i="7"/>
  <c r="AK14" i="7"/>
  <c r="AH14" i="7"/>
  <c r="BI67" i="7"/>
  <c r="AU9" i="8"/>
  <c r="AP130" i="7"/>
  <c r="AV6" i="11"/>
  <c r="AD292" i="11" a="1"/>
  <c r="AD292" i="11" s="1"/>
  <c r="AD105" i="11" a="1"/>
  <c r="AD105" i="11" s="1"/>
  <c r="AD60" i="11" a="1"/>
  <c r="AD60" i="11" s="1"/>
  <c r="AD228" i="11" a="1"/>
  <c r="AD228" i="11" s="1"/>
  <c r="AD360" i="11" a="1"/>
  <c r="AD360" i="11" s="1"/>
  <c r="AD274" i="11" a="1"/>
  <c r="AD274" i="11" s="1"/>
  <c r="AD373" i="11" a="1"/>
  <c r="AD373" i="11" s="1"/>
  <c r="AD112" i="11" a="1"/>
  <c r="AD112" i="11" s="1"/>
  <c r="AD192" i="11" a="1"/>
  <c r="AD192" i="11" s="1"/>
  <c r="AD509" i="11" a="1"/>
  <c r="AD509" i="11" s="1"/>
  <c r="AD449" i="11" a="1"/>
  <c r="AD449" i="11" s="1"/>
  <c r="AD444" i="11" a="1"/>
  <c r="AD444" i="11" s="1"/>
  <c r="AD193" i="11" a="1"/>
  <c r="AD193" i="11" s="1"/>
  <c r="AD420" i="11" a="1"/>
  <c r="AD420" i="11" s="1"/>
  <c r="AD26" i="11" a="1"/>
  <c r="AD26" i="11" s="1"/>
  <c r="AD111" i="11" a="1"/>
  <c r="AD111" i="11" s="1"/>
  <c r="AD431" i="11" a="1"/>
  <c r="AD431" i="11" s="1"/>
  <c r="AD475" i="11" a="1"/>
  <c r="AD475" i="11" s="1"/>
  <c r="AD278" i="11" a="1"/>
  <c r="AD278" i="11" s="1"/>
  <c r="AD95" i="11" a="1"/>
  <c r="AD95" i="11" s="1"/>
  <c r="AD238" i="11" a="1"/>
  <c r="AD238" i="11" s="1"/>
  <c r="AD356" i="11" a="1"/>
  <c r="AD356" i="11" s="1"/>
  <c r="AD352" i="11" a="1"/>
  <c r="AD352" i="11" s="1"/>
  <c r="AD259" i="11" a="1"/>
  <c r="AD259" i="11" s="1"/>
  <c r="AD440" i="11" a="1"/>
  <c r="AD440" i="11" s="1"/>
  <c r="AD65" i="11" a="1"/>
  <c r="AD65" i="11" s="1"/>
  <c r="AD331" i="11" a="1"/>
  <c r="AD331" i="11" s="1"/>
  <c r="B77" i="8"/>
  <c r="B76" i="8"/>
  <c r="AI22" i="8" a="1"/>
  <c r="AI22" i="8" s="1"/>
  <c r="AI26" i="8" a="1"/>
  <c r="AI26" i="8" s="1"/>
  <c r="AI37" i="8" a="1"/>
  <c r="AI37" i="8" s="1"/>
  <c r="AI29" i="8" a="1"/>
  <c r="AI29" i="8" s="1"/>
  <c r="AI35" i="8" a="1"/>
  <c r="AI35" i="8" s="1"/>
  <c r="AI40" i="8" a="1"/>
  <c r="AI40" i="8" s="1"/>
  <c r="AI27" i="8" a="1"/>
  <c r="AI27" i="8" s="1"/>
  <c r="AI10" i="8" a="1"/>
  <c r="AI10" i="8" s="1"/>
  <c r="AI15" i="8" a="1"/>
  <c r="AI15" i="8" s="1"/>
  <c r="AI19" i="8" a="1"/>
  <c r="AI19" i="8" s="1"/>
  <c r="AI11" i="8" a="1"/>
  <c r="AI11" i="8" s="1"/>
  <c r="AI9" i="8" a="1"/>
  <c r="AI9" i="8" s="1"/>
  <c r="AI34" i="8" a="1"/>
  <c r="AI34" i="8" s="1"/>
  <c r="AI32" i="8" a="1"/>
  <c r="AI32" i="8" s="1"/>
  <c r="AI28" i="8" a="1"/>
  <c r="AI28" i="8" s="1"/>
  <c r="AI23" i="8" a="1"/>
  <c r="AI23" i="8" s="1"/>
  <c r="AI16" i="8" a="1"/>
  <c r="AI16" i="8" s="1"/>
  <c r="AI4" i="8" a="1"/>
  <c r="AI4" i="8" s="1"/>
  <c r="AI17" i="8" a="1"/>
  <c r="AI17" i="8" s="1"/>
  <c r="AI5" i="8" a="1"/>
  <c r="AI5" i="8" s="1"/>
  <c r="AI38" i="8" a="1"/>
  <c r="AI38" i="8" s="1"/>
  <c r="AI30" i="8" a="1"/>
  <c r="AI30" i="8" s="1"/>
  <c r="AI18" i="8" a="1"/>
  <c r="AI18" i="8" s="1"/>
  <c r="AI14" i="8" a="1"/>
  <c r="AI14" i="8" s="1"/>
  <c r="AI21" i="8" a="1"/>
  <c r="AI21" i="8" s="1"/>
  <c r="AI36" i="8" a="1"/>
  <c r="AI36" i="8" s="1"/>
  <c r="AI24" i="8" a="1"/>
  <c r="AI24" i="8" s="1"/>
  <c r="AI20" i="8" a="1"/>
  <c r="AI20" i="8" s="1"/>
  <c r="AI13" i="8" a="1"/>
  <c r="AI13" i="8" s="1"/>
  <c r="AI31" i="8" a="1"/>
  <c r="AI31" i="8" s="1"/>
  <c r="AI39" i="8" a="1"/>
  <c r="AI39" i="8" s="1"/>
  <c r="AI3" i="8" a="1"/>
  <c r="AI3" i="8" s="1"/>
  <c r="AI2" i="8" a="1"/>
  <c r="AI2" i="8" s="1"/>
  <c r="AI6" i="8" a="1"/>
  <c r="AI6" i="8" s="1"/>
  <c r="AI33" i="8" a="1"/>
  <c r="AI33" i="8" s="1"/>
  <c r="AI8" i="8" a="1"/>
  <c r="AI8" i="8" s="1"/>
  <c r="AI7" i="8" a="1"/>
  <c r="AI7" i="8" s="1"/>
  <c r="AI25" i="8" a="1"/>
  <c r="AI25" i="8" s="1"/>
  <c r="AI12" i="8" a="1"/>
  <c r="AI12" i="8" s="1"/>
  <c r="AD10" i="11" a="1"/>
  <c r="AD10" i="11" s="1"/>
  <c r="AD289" i="11" a="1"/>
  <c r="AD289" i="11" s="1"/>
  <c r="AD82" i="11" a="1"/>
  <c r="AD82" i="11" s="1"/>
  <c r="AD209" i="11" a="1"/>
  <c r="AD209" i="11" s="1"/>
  <c r="AD219" i="11" a="1"/>
  <c r="AD219" i="11" s="1"/>
  <c r="AD342" i="11" a="1"/>
  <c r="AD342" i="11" s="1"/>
  <c r="AD71" i="11" a="1"/>
  <c r="AD71" i="11" s="1"/>
  <c r="AD175" i="11" a="1"/>
  <c r="AD175" i="11" s="1"/>
  <c r="AD249" i="11" a="1"/>
  <c r="AD249" i="11" s="1"/>
  <c r="AD315" i="11" a="1"/>
  <c r="AD315" i="11" s="1"/>
  <c r="P20" i="7"/>
  <c r="P19" i="7"/>
  <c r="AP107" i="7"/>
  <c r="AP108" i="7"/>
  <c r="AP113" i="7"/>
  <c r="AP111" i="7"/>
  <c r="AP110" i="7"/>
  <c r="AP114" i="7"/>
  <c r="AP115" i="7"/>
  <c r="AP112" i="7"/>
  <c r="AP109" i="7"/>
  <c r="AP106" i="7"/>
  <c r="AU15" i="7"/>
  <c r="AW14" i="7"/>
  <c r="AX15" i="7"/>
  <c r="AV14" i="7"/>
  <c r="AP98" i="7"/>
  <c r="AP102" i="7"/>
  <c r="AP105" i="7"/>
  <c r="AP100" i="7"/>
  <c r="AP104" i="7"/>
  <c r="AP101" i="7"/>
  <c r="AP99" i="7"/>
  <c r="AP103" i="7"/>
  <c r="AH11" i="7"/>
  <c r="B53" i="7"/>
  <c r="B55" i="7"/>
  <c r="B52" i="7"/>
  <c r="B54" i="7"/>
  <c r="B51" i="7"/>
  <c r="AH87" i="6"/>
  <c r="AH66" i="6"/>
  <c r="AH39" i="6"/>
  <c r="AH38" i="6"/>
  <c r="F100" i="6"/>
  <c r="AH5" i="6"/>
  <c r="AH93" i="6"/>
  <c r="AH37" i="6"/>
  <c r="AH43" i="6"/>
  <c r="AD17" i="6"/>
  <c r="E100" i="6"/>
  <c r="D100" i="6"/>
  <c r="AD69" i="11" a="1"/>
  <c r="AD69" i="11" s="1"/>
  <c r="AD207" i="11" a="1"/>
  <c r="AD207" i="11" s="1"/>
  <c r="AD96" i="11" a="1"/>
  <c r="AD96" i="11" s="1"/>
  <c r="AD333" i="11" a="1"/>
  <c r="AD333" i="11" s="1"/>
  <c r="AD162" i="11" a="1"/>
  <c r="AD162" i="11" s="1"/>
  <c r="AD203" i="11" a="1"/>
  <c r="AD203" i="11" s="1"/>
  <c r="AD375" i="11" a="1"/>
  <c r="AD375" i="11" s="1"/>
  <c r="AD189" i="11" a="1"/>
  <c r="AD189" i="11" s="1"/>
  <c r="AD264" i="11" a="1"/>
  <c r="AD264" i="11" s="1"/>
  <c r="AD381" i="11" a="1"/>
  <c r="AD381" i="11" s="1"/>
  <c r="AD442" i="11" a="1"/>
  <c r="AD442" i="11" s="1"/>
  <c r="AC22" i="7"/>
  <c r="H77" i="9" a="1"/>
  <c r="H77" i="9" s="1"/>
  <c r="H86" i="9" a="1"/>
  <c r="H86" i="9" s="1"/>
  <c r="H71" i="9" a="1"/>
  <c r="H71" i="9" s="1"/>
  <c r="H78" i="9" a="1"/>
  <c r="H78" i="9" s="1"/>
  <c r="H75" i="9" a="1"/>
  <c r="H75" i="9" s="1"/>
  <c r="H76" i="9" a="1"/>
  <c r="H76" i="9" s="1"/>
  <c r="H82" i="9" a="1"/>
  <c r="H82" i="9" s="1"/>
  <c r="H81" i="9" a="1"/>
  <c r="H81" i="9" s="1"/>
  <c r="H80" i="9" a="1"/>
  <c r="H80" i="9" s="1"/>
  <c r="H88" i="9" a="1"/>
  <c r="H88" i="9" s="1"/>
  <c r="H85" i="9" a="1"/>
  <c r="H85" i="9" s="1"/>
  <c r="H84" i="9" a="1"/>
  <c r="H84" i="9" s="1"/>
  <c r="H83" i="9" a="1"/>
  <c r="H83" i="9" s="1"/>
  <c r="H72" i="9" a="1"/>
  <c r="H72" i="9" s="1"/>
  <c r="H87" i="9" a="1"/>
  <c r="H87" i="9" s="1"/>
  <c r="H73" i="9" a="1"/>
  <c r="H73" i="9" s="1"/>
  <c r="H79" i="9" a="1"/>
  <c r="H79" i="9" s="1"/>
  <c r="H74" i="9" a="1"/>
  <c r="H74" i="9" s="1"/>
  <c r="B76" i="7"/>
  <c r="B75" i="7"/>
  <c r="B74" i="7"/>
  <c r="H43" i="9" a="1"/>
  <c r="H43" i="9" s="1"/>
  <c r="AD119" i="11" a="1"/>
  <c r="AD119" i="11" s="1"/>
  <c r="AD45" i="11" a="1"/>
  <c r="AD45" i="11" s="1"/>
  <c r="AD153" i="11" a="1"/>
  <c r="AD153" i="11" s="1"/>
  <c r="AD487" i="11" a="1"/>
  <c r="AD487" i="11" s="1"/>
  <c r="AD135" i="11" a="1"/>
  <c r="AD135" i="11" s="1"/>
  <c r="AD210" i="11" a="1"/>
  <c r="AD210" i="11" s="1"/>
  <c r="AD389" i="11" a="1"/>
  <c r="AD389" i="11" s="1"/>
  <c r="AD191" i="11" a="1"/>
  <c r="AD191" i="11" s="1"/>
  <c r="AD269" i="11" a="1"/>
  <c r="AD269" i="11" s="1"/>
  <c r="AD401" i="11" a="1"/>
  <c r="AD401" i="11" s="1"/>
  <c r="AD464" i="11" a="1"/>
  <c r="AD464" i="11" s="1"/>
  <c r="J59" i="9"/>
  <c r="J49" i="9"/>
  <c r="J20" i="9"/>
  <c r="J15" i="9"/>
  <c r="J46" i="9"/>
  <c r="I20" i="9"/>
  <c r="R14" i="1" s="1"/>
  <c r="J6" i="9"/>
  <c r="J5" i="9"/>
  <c r="I58" i="9"/>
  <c r="R17" i="1" s="1"/>
  <c r="J55" i="9"/>
  <c r="J39" i="9"/>
  <c r="J23" i="9"/>
  <c r="J21" i="9"/>
  <c r="J53" i="9"/>
  <c r="J19" i="9"/>
  <c r="J63" i="9"/>
  <c r="J47" i="9"/>
  <c r="J45" i="9"/>
  <c r="J42" i="9"/>
  <c r="J50" i="9"/>
  <c r="J35" i="9"/>
  <c r="J61" i="9"/>
  <c r="J54" i="9"/>
  <c r="J34" i="9"/>
  <c r="J18" i="9"/>
  <c r="J17" i="9"/>
  <c r="J11" i="9"/>
  <c r="J10" i="9"/>
  <c r="J60" i="9"/>
  <c r="J66" i="9"/>
  <c r="J56" i="9"/>
  <c r="J29" i="9"/>
  <c r="J64" i="9"/>
  <c r="J31" i="9"/>
  <c r="I14" i="9"/>
  <c r="R13" i="1" s="1"/>
  <c r="J8" i="9"/>
  <c r="J33" i="9"/>
  <c r="J27" i="9"/>
  <c r="J12" i="9"/>
  <c r="J24" i="9"/>
  <c r="J9" i="9"/>
  <c r="J58" i="9"/>
  <c r="J52" i="9"/>
  <c r="J26" i="9"/>
  <c r="J65" i="9"/>
  <c r="J62" i="9"/>
  <c r="J22" i="9"/>
  <c r="J3" i="9"/>
  <c r="J44" i="9"/>
  <c r="J14" i="9"/>
  <c r="J2" i="9"/>
  <c r="J43" i="9"/>
  <c r="J51" i="9"/>
  <c r="J41" i="9"/>
  <c r="J36" i="9"/>
  <c r="J67" i="9"/>
  <c r="J7" i="9"/>
  <c r="J13" i="9"/>
  <c r="J28" i="9"/>
  <c r="J25" i="9"/>
  <c r="J40" i="9"/>
  <c r="I26" i="9"/>
  <c r="R15" i="1" s="1"/>
  <c r="J38" i="9"/>
  <c r="J37" i="9"/>
  <c r="J57" i="9"/>
  <c r="J48" i="9"/>
  <c r="J32" i="9"/>
  <c r="J16" i="9"/>
  <c r="J4" i="9"/>
  <c r="I46" i="9"/>
  <c r="R16" i="1" s="1"/>
  <c r="I8" i="9"/>
  <c r="R12" i="1" s="1"/>
  <c r="J30" i="9"/>
  <c r="AD108" i="11" a="1"/>
  <c r="AD108" i="11" s="1"/>
  <c r="H78" i="8"/>
  <c r="H20" i="8"/>
  <c r="Q2" i="5"/>
  <c r="H57" i="8"/>
  <c r="H58" i="8" s="1"/>
  <c r="H16" i="8"/>
  <c r="AZ12" i="7"/>
  <c r="AY13" i="7"/>
  <c r="BB13" i="7"/>
  <c r="BA12" i="7"/>
  <c r="AG24" i="7" a="1"/>
  <c r="AG24" i="7" s="1"/>
  <c r="AG20" i="7" a="1"/>
  <c r="AG20" i="7" s="1"/>
  <c r="AG17" i="7" a="1"/>
  <c r="AG17" i="7" s="1"/>
  <c r="AG23" i="7" a="1"/>
  <c r="AG23" i="7" s="1"/>
  <c r="AG18" i="7" a="1"/>
  <c r="AG18" i="7" s="1"/>
  <c r="AG26" i="7" a="1"/>
  <c r="AG26" i="7" s="1"/>
  <c r="AG21" i="7" a="1"/>
  <c r="AG21" i="7" s="1"/>
  <c r="AG27" i="7" a="1"/>
  <c r="AG27" i="7" s="1"/>
  <c r="AG22" i="7" a="1"/>
  <c r="AG22" i="7" s="1"/>
  <c r="AG19" i="7" a="1"/>
  <c r="AG19" i="7" s="1"/>
  <c r="AG25" i="7" a="1"/>
  <c r="AG25" i="7" s="1"/>
  <c r="AG28" i="7" a="1"/>
  <c r="AG28" i="7" s="1"/>
  <c r="AJ2" i="7"/>
  <c r="AM3" i="3"/>
  <c r="R58" i="2"/>
  <c r="D4" i="8"/>
  <c r="M33" i="8"/>
  <c r="M32" i="8"/>
  <c r="H50" i="9" a="1"/>
  <c r="H50" i="9" s="1"/>
  <c r="AD124" i="11" a="1"/>
  <c r="AD124" i="11" s="1"/>
  <c r="AD59" i="11" a="1"/>
  <c r="AD59" i="11" s="1"/>
  <c r="AD239" i="11" a="1"/>
  <c r="AD239" i="11" s="1"/>
  <c r="AD40" i="11" a="1"/>
  <c r="AD40" i="11" s="1"/>
  <c r="AD151" i="11" a="1"/>
  <c r="AD151" i="11" s="1"/>
  <c r="AD220" i="11" a="1"/>
  <c r="AD220" i="11" s="1"/>
  <c r="AD416" i="11" a="1"/>
  <c r="AD416" i="11" s="1"/>
  <c r="AD253" i="11" a="1"/>
  <c r="AD253" i="11" s="1"/>
  <c r="AD113" i="11" a="1"/>
  <c r="AD113" i="11" s="1"/>
  <c r="AD409" i="11" a="1"/>
  <c r="AD409" i="11" s="1"/>
  <c r="AD474" i="11" a="1"/>
  <c r="AD474" i="11" s="1"/>
  <c r="AD402" i="11" a="1"/>
  <c r="AD402" i="11" s="1"/>
  <c r="AT4" i="11" a="1"/>
  <c r="AT4" i="11" s="1"/>
  <c r="AT3" i="11" a="1"/>
  <c r="AT3" i="11" s="1"/>
  <c r="AT34" i="11" a="1"/>
  <c r="AT34" i="11" s="1"/>
  <c r="AT35" i="11" a="1"/>
  <c r="AT35" i="11" s="1"/>
  <c r="AT44" i="11" a="1"/>
  <c r="AT44" i="11" s="1"/>
  <c r="AT38" i="11" a="1"/>
  <c r="AT38" i="11" s="1"/>
  <c r="AT20" i="11" a="1"/>
  <c r="AT20" i="11" s="1"/>
  <c r="AT21" i="11" a="1"/>
  <c r="AT21" i="11" s="1"/>
  <c r="AT22" i="11" a="1"/>
  <c r="AT22" i="11" s="1"/>
  <c r="AT6" i="11" a="1"/>
  <c r="AT6" i="11" s="1"/>
  <c r="AT8" i="11" a="1"/>
  <c r="AT8" i="11" s="1"/>
  <c r="AT41" i="11" a="1"/>
  <c r="AT41" i="11" s="1"/>
  <c r="AT9" i="11" a="1"/>
  <c r="AT9" i="11" s="1"/>
  <c r="AT17" i="11" a="1"/>
  <c r="AT17" i="11" s="1"/>
  <c r="AT32" i="11" a="1"/>
  <c r="AT32" i="11" s="1"/>
  <c r="AT29" i="11" a="1"/>
  <c r="AT29" i="11" s="1"/>
  <c r="AT7" i="11" a="1"/>
  <c r="AT7" i="11" s="1"/>
  <c r="AT40" i="11" a="1"/>
  <c r="AT40" i="11" s="1"/>
  <c r="AT18" i="11" a="1"/>
  <c r="AT18" i="11" s="1"/>
  <c r="AT10" i="11" a="1"/>
  <c r="AT10" i="11" s="1"/>
  <c r="AT25" i="11" a="1"/>
  <c r="AT25" i="11" s="1"/>
  <c r="AT14" i="11" a="1"/>
  <c r="AT14" i="11" s="1"/>
  <c r="AT5" i="11" a="1"/>
  <c r="AT5" i="11" s="1"/>
  <c r="AT23" i="11" a="1"/>
  <c r="AT23" i="11" s="1"/>
  <c r="AT11" i="11" a="1"/>
  <c r="AT11" i="11" s="1"/>
  <c r="AT33" i="11" a="1"/>
  <c r="AT33" i="11" s="1"/>
  <c r="AT31" i="11" a="1"/>
  <c r="AT31" i="11" s="1"/>
  <c r="AT15" i="11" a="1"/>
  <c r="AT15" i="11" s="1"/>
  <c r="AT2" i="11" a="1"/>
  <c r="AT2" i="11" s="1"/>
  <c r="AT12" i="11" a="1"/>
  <c r="AT12" i="11" s="1"/>
  <c r="AT36" i="11" a="1"/>
  <c r="AT36" i="11" s="1"/>
  <c r="AT27" i="11" a="1"/>
  <c r="AT27" i="11" s="1"/>
  <c r="AT39" i="11" a="1"/>
  <c r="AT39" i="11" s="1"/>
  <c r="AT26" i="11" a="1"/>
  <c r="AT26" i="11" s="1"/>
  <c r="AT13" i="11" a="1"/>
  <c r="AT13" i="11" s="1"/>
  <c r="AT30" i="11" a="1"/>
  <c r="AT30" i="11" s="1"/>
  <c r="AT28" i="11" a="1"/>
  <c r="AT28" i="11" s="1"/>
  <c r="AT24" i="11" a="1"/>
  <c r="AT24" i="11" s="1"/>
  <c r="AT45" i="11" a="1"/>
  <c r="AT45" i="11" s="1"/>
  <c r="AT16" i="11" a="1"/>
  <c r="AT16" i="11" s="1"/>
  <c r="AT42" i="11" a="1"/>
  <c r="AT42" i="11" s="1"/>
  <c r="AT46" i="11" a="1"/>
  <c r="AT46" i="11" s="1"/>
  <c r="AT37" i="11" a="1"/>
  <c r="AT37" i="11" s="1"/>
  <c r="AT43" i="11" a="1"/>
  <c r="AT43" i="11" s="1"/>
  <c r="AT19" i="11" a="1"/>
  <c r="AT19" i="11" s="1"/>
  <c r="H44" i="9" a="1"/>
  <c r="H44" i="9" s="1"/>
  <c r="AD307" i="11" a="1"/>
  <c r="AD307" i="11" s="1"/>
  <c r="AD84" i="11" a="1"/>
  <c r="AD84" i="11" s="1"/>
  <c r="AD9" i="11" a="1"/>
  <c r="AD9" i="11" s="1"/>
  <c r="AD201" i="11" a="1"/>
  <c r="AD201" i="11" s="1"/>
  <c r="AD301" i="11" a="1"/>
  <c r="AD301" i="11" s="1"/>
  <c r="AD302" i="11" a="1"/>
  <c r="AD302" i="11" s="1"/>
  <c r="AD58" i="11" a="1"/>
  <c r="AD58" i="11" s="1"/>
  <c r="AD255" i="11" a="1"/>
  <c r="AD255" i="11" s="1"/>
  <c r="AD118" i="11" a="1"/>
  <c r="AD118" i="11" s="1"/>
  <c r="AD417" i="11" a="1"/>
  <c r="AD417" i="11" s="1"/>
  <c r="AD506" i="11" a="1"/>
  <c r="AD506" i="11" s="1"/>
  <c r="AP94" i="7"/>
  <c r="AP97" i="7"/>
  <c r="AP89" i="7"/>
  <c r="AP96" i="7"/>
  <c r="AP91" i="7"/>
  <c r="AH10" i="7"/>
  <c r="AP95" i="7"/>
  <c r="AP88" i="7"/>
  <c r="AK10" i="7"/>
  <c r="AP92" i="7"/>
  <c r="AP93" i="7"/>
  <c r="AP90" i="7"/>
  <c r="AD21" i="11" a="1"/>
  <c r="AD21" i="11" s="1"/>
  <c r="P35" i="7"/>
  <c r="P36" i="7"/>
  <c r="AP11" i="7"/>
  <c r="AP16" i="7"/>
  <c r="AP19" i="7"/>
  <c r="AP14" i="7"/>
  <c r="AP13" i="7"/>
  <c r="AP18" i="7"/>
  <c r="AP12" i="7"/>
  <c r="AK3" i="7"/>
  <c r="AP15" i="7"/>
  <c r="AH3" i="7"/>
  <c r="AP17" i="7"/>
  <c r="H152" i="8"/>
  <c r="AP55" i="7"/>
  <c r="AP54" i="7"/>
  <c r="AP49" i="7"/>
  <c r="AP53" i="7"/>
  <c r="AP52" i="7"/>
  <c r="AP47" i="7"/>
  <c r="AP57" i="7"/>
  <c r="AP56" i="7"/>
  <c r="AP51" i="7"/>
  <c r="AP50" i="7"/>
  <c r="BB89" i="7"/>
  <c r="AP48" i="7"/>
  <c r="AK6" i="7"/>
  <c r="AH6" i="7"/>
  <c r="F12" i="10"/>
  <c r="H77" i="8"/>
  <c r="A67" i="10"/>
  <c r="H46" i="9" a="1"/>
  <c r="H46" i="9" s="1"/>
  <c r="AD7" i="11" a="1"/>
  <c r="AD7" i="11" s="1"/>
  <c r="AD138" i="11" a="1"/>
  <c r="AD138" i="11" s="1"/>
  <c r="AD28" i="11" a="1"/>
  <c r="AD28" i="11" s="1"/>
  <c r="AD208" i="11" a="1"/>
  <c r="AD208" i="11" s="1"/>
  <c r="AD504" i="11" a="1"/>
  <c r="AD504" i="11" s="1"/>
  <c r="AD319" i="11" a="1"/>
  <c r="AD319" i="11" s="1"/>
  <c r="AD68" i="11" a="1"/>
  <c r="AD68" i="11" s="1"/>
  <c r="AD109" i="11" a="1"/>
  <c r="AD109" i="11" s="1"/>
  <c r="AD123" i="11" a="1"/>
  <c r="AD123" i="11" s="1"/>
  <c r="AD451" i="11" a="1"/>
  <c r="AD451" i="11" s="1"/>
  <c r="AD450" i="11" a="1"/>
  <c r="AD450" i="11" s="1"/>
  <c r="P57" i="7"/>
  <c r="P59" i="7"/>
  <c r="P58" i="7"/>
  <c r="AD55" i="11" a="1"/>
  <c r="AD55" i="11" s="1"/>
  <c r="AP119" i="7"/>
  <c r="AP122" i="7"/>
  <c r="AP117" i="7"/>
  <c r="AP126" i="7"/>
  <c r="AP124" i="7"/>
  <c r="AP120" i="7"/>
  <c r="AP116" i="7"/>
  <c r="AP127" i="7"/>
  <c r="AP118" i="7"/>
  <c r="AP123" i="7"/>
  <c r="AP128" i="7"/>
  <c r="AP121" i="7"/>
  <c r="AK13" i="7"/>
  <c r="AH13" i="7"/>
  <c r="AP129" i="7"/>
  <c r="AP125" i="7"/>
  <c r="AV5" i="11"/>
  <c r="AV3" i="11"/>
  <c r="AI52" i="2" s="1"/>
  <c r="AE52" i="2" s="1"/>
  <c r="AV2" i="11"/>
  <c r="Q13" i="5"/>
  <c r="AD142" i="11" a="1"/>
  <c r="AD142" i="11" s="1"/>
  <c r="AD136" i="11" a="1"/>
  <c r="AD136" i="11" s="1"/>
  <c r="AD225" i="11" a="1"/>
  <c r="AD225" i="11" s="1"/>
  <c r="AD13" i="11" a="1"/>
  <c r="AD13" i="11" s="1"/>
  <c r="AD94" i="11" a="1"/>
  <c r="AD94" i="11" s="1"/>
  <c r="AD79" i="11" a="1"/>
  <c r="AD79" i="11" s="1"/>
  <c r="AD90" i="11" a="1"/>
  <c r="AD90" i="11" s="1"/>
  <c r="AD217" i="11" a="1"/>
  <c r="AD217" i="11" s="1"/>
  <c r="AD281" i="11" a="1"/>
  <c r="AD281" i="11" s="1"/>
  <c r="AD160" i="11" a="1"/>
  <c r="AD160" i="11" s="1"/>
  <c r="AD483" i="11" a="1"/>
  <c r="AD483" i="11" s="1"/>
  <c r="AD89" i="11" a="1"/>
  <c r="AD89" i="11" s="1"/>
  <c r="AD383" i="11" a="1"/>
  <c r="AD383" i="11" s="1"/>
  <c r="AD134" i="11" a="1"/>
  <c r="AD134" i="11" s="1"/>
  <c r="AD300" i="11" a="1"/>
  <c r="AD300" i="11" s="1"/>
  <c r="AD267" i="11" a="1"/>
  <c r="AD267" i="11" s="1"/>
  <c r="AD195" i="11" a="1"/>
  <c r="AD195" i="11" s="1"/>
  <c r="AD279" i="11" a="1"/>
  <c r="AD279" i="11" s="1"/>
  <c r="AD283" i="11" a="1"/>
  <c r="AD283" i="11" s="1"/>
  <c r="AD338" i="11" a="1"/>
  <c r="AD338" i="11" s="1"/>
  <c r="AD367" i="11" a="1"/>
  <c r="AD367" i="11" s="1"/>
  <c r="AD365" i="11" a="1"/>
  <c r="AD365" i="11" s="1"/>
  <c r="AD500" i="11" a="1"/>
  <c r="AD500" i="11" s="1"/>
  <c r="P50" i="7"/>
  <c r="P52" i="7"/>
  <c r="P51" i="7"/>
  <c r="BI48" i="7"/>
  <c r="B65" i="7"/>
  <c r="B66" i="7"/>
  <c r="B67" i="7"/>
  <c r="AD83" i="11" a="1"/>
  <c r="AD83" i="11" s="1"/>
  <c r="AD406" i="11" a="1"/>
  <c r="AD406" i="11" s="1"/>
  <c r="AD6" i="11" a="1"/>
  <c r="AD6" i="11" s="1"/>
  <c r="AD413" i="11" a="1"/>
  <c r="AD413" i="11" s="1"/>
  <c r="AD304" i="11" a="1"/>
  <c r="AD304" i="11" s="1"/>
  <c r="AD419" i="11" a="1"/>
  <c r="AD419" i="11" s="1"/>
  <c r="AD284" i="11" a="1"/>
  <c r="AD284" i="11" s="1"/>
  <c r="AD424" i="11" a="1"/>
  <c r="AD424" i="11" s="1"/>
  <c r="AD211" i="11" a="1"/>
  <c r="AD211" i="11" s="1"/>
  <c r="M30" i="8"/>
  <c r="M29" i="8"/>
  <c r="AD29" i="11" a="1"/>
  <c r="AD29" i="11" s="1"/>
  <c r="AD186" i="11" a="1"/>
  <c r="AD186" i="11" s="1"/>
  <c r="AD226" i="11" a="1"/>
  <c r="AD226" i="11" s="1"/>
  <c r="AD271" i="11" a="1"/>
  <c r="AD271" i="11" s="1"/>
  <c r="AD392" i="11" a="1"/>
  <c r="AD392" i="11" s="1"/>
  <c r="AD252" i="11" a="1"/>
  <c r="AD252" i="11" s="1"/>
  <c r="A18" i="9"/>
  <c r="A17" i="9"/>
  <c r="A20" i="9"/>
  <c r="A16" i="9"/>
  <c r="A19" i="9"/>
  <c r="A21" i="9"/>
  <c r="AQ47" i="11"/>
  <c r="P64" i="2" s="1"/>
  <c r="AD213" i="11" a="1"/>
  <c r="AD213" i="11" s="1"/>
  <c r="AD309" i="11" a="1"/>
  <c r="AD309" i="11" s="1"/>
  <c r="AD314" i="11" a="1"/>
  <c r="AD314" i="11" s="1"/>
  <c r="AD355" i="11" a="1"/>
  <c r="AD355" i="11" s="1"/>
  <c r="AP86" i="7"/>
  <c r="AP87" i="7"/>
  <c r="AP84" i="7"/>
  <c r="AP82" i="7"/>
  <c r="AP83" i="7"/>
  <c r="AP81" i="7"/>
  <c r="AP79" i="7"/>
  <c r="AK9" i="7"/>
  <c r="AH9" i="7"/>
  <c r="AP85" i="7"/>
  <c r="AP80" i="7"/>
  <c r="P46" i="7"/>
  <c r="P47" i="7"/>
  <c r="P48" i="7"/>
  <c r="AD181" i="11" a="1"/>
  <c r="AD181" i="11" s="1"/>
  <c r="AD44" i="11" a="1"/>
  <c r="AD44" i="11" s="1"/>
  <c r="AD286" i="11" a="1"/>
  <c r="AD286" i="11" s="1"/>
  <c r="AD245" i="11" a="1"/>
  <c r="AD245" i="11" s="1"/>
  <c r="AD322" i="11" a="1"/>
  <c r="AD322" i="11" s="1"/>
  <c r="AD394" i="11" a="1"/>
  <c r="AD394" i="11" s="1"/>
  <c r="AD17" i="11" a="1"/>
  <c r="AD17" i="11" s="1"/>
  <c r="AD299" i="11" a="1"/>
  <c r="AD299" i="11" s="1"/>
  <c r="AD254" i="11" a="1"/>
  <c r="AD254" i="11" s="1"/>
  <c r="AD371" i="11" a="1"/>
  <c r="AD371" i="11" s="1"/>
  <c r="AD425" i="11" a="1"/>
  <c r="AD425" i="11" s="1"/>
  <c r="AD24" i="11" a="1"/>
  <c r="AD24" i="11" s="1"/>
  <c r="AD232" i="11" a="1"/>
  <c r="AD232" i="11" s="1"/>
  <c r="AD330" i="11" a="1"/>
  <c r="AD330" i="11" s="1"/>
  <c r="AD428" i="11" a="1"/>
  <c r="AD428" i="11" s="1"/>
  <c r="AL27" i="7" a="1"/>
  <c r="AL27" i="7" s="1"/>
  <c r="AL36" i="7" a="1"/>
  <c r="AL36" i="7" s="1"/>
  <c r="AL39" i="7" a="1"/>
  <c r="AL39" i="7" s="1"/>
  <c r="AL30" i="7" a="1"/>
  <c r="AL30" i="7" s="1"/>
  <c r="AL26" i="7" a="1"/>
  <c r="AL26" i="7" s="1"/>
  <c r="AL37" i="7" a="1"/>
  <c r="AL37" i="7" s="1"/>
  <c r="AL23" i="7" a="1"/>
  <c r="AL23" i="7" s="1"/>
  <c r="AL31" i="7" a="1"/>
  <c r="AL31" i="7" s="1"/>
  <c r="AL33" i="7" a="1"/>
  <c r="AL33" i="7" s="1"/>
  <c r="AL24" i="7" a="1"/>
  <c r="AL24" i="7" s="1"/>
  <c r="AL22" i="7" a="1"/>
  <c r="AL22" i="7" s="1"/>
  <c r="AL35" i="7" a="1"/>
  <c r="AL35" i="7" s="1"/>
  <c r="AL32" i="7" a="1"/>
  <c r="AL32" i="7" s="1"/>
  <c r="AL25" i="7" a="1"/>
  <c r="AL25" i="7" s="1"/>
  <c r="AL29" i="7" a="1"/>
  <c r="AL29" i="7" s="1"/>
  <c r="AL34" i="7" a="1"/>
  <c r="AL34" i="7" s="1"/>
  <c r="AL28" i="7" a="1"/>
  <c r="AL28" i="7" s="1"/>
  <c r="AL38" i="7" a="1"/>
  <c r="AL38" i="7" s="1"/>
  <c r="AD270" i="11" a="1"/>
  <c r="AD270" i="11" s="1"/>
  <c r="H21" i="9" a="1"/>
  <c r="H21" i="9" s="1"/>
  <c r="AD306" i="11" a="1"/>
  <c r="AD306" i="11" s="1"/>
  <c r="AD115" i="11" a="1"/>
  <c r="AD115" i="11" s="1"/>
  <c r="AD127" i="11" a="1"/>
  <c r="AD127" i="11" s="1"/>
  <c r="AD403" i="11" a="1"/>
  <c r="AD403" i="11" s="1"/>
  <c r="AD61" i="11" a="1"/>
  <c r="AD61" i="11" s="1"/>
  <c r="AD27" i="11" a="1"/>
  <c r="AD27" i="11" s="1"/>
  <c r="AD369" i="11" a="1"/>
  <c r="AD369" i="11" s="1"/>
  <c r="AD341" i="11" a="1"/>
  <c r="AD341" i="11" s="1"/>
  <c r="AD277" i="11" a="1"/>
  <c r="AD277" i="11" s="1"/>
  <c r="AD296" i="11" a="1"/>
  <c r="AD296" i="11" s="1"/>
  <c r="AD346" i="11" a="1"/>
  <c r="AD346" i="11" s="1"/>
  <c r="AD363" i="11" a="1"/>
  <c r="AD363" i="11" s="1"/>
  <c r="AD282" i="11" a="1"/>
  <c r="AD282" i="11" s="1"/>
  <c r="AD72" i="11" a="1"/>
  <c r="AD72" i="11" s="1"/>
  <c r="AD349" i="11" a="1"/>
  <c r="AD349" i="11" s="1"/>
  <c r="AD505" i="11" a="1"/>
  <c r="AD505" i="11" s="1"/>
  <c r="AD407" i="11" a="1"/>
  <c r="AD407" i="11" s="1"/>
  <c r="AD335" i="11" a="1"/>
  <c r="AD335" i="11" s="1"/>
  <c r="AD344" i="11" a="1"/>
  <c r="AD344" i="11" s="1"/>
  <c r="AD503" i="11" a="1"/>
  <c r="AD503" i="11" s="1"/>
  <c r="AD490" i="11" a="1"/>
  <c r="AD490" i="11" s="1"/>
  <c r="AD443" i="11" a="1"/>
  <c r="AD443" i="11" s="1"/>
  <c r="AD467" i="11" a="1"/>
  <c r="AD467" i="11" s="1"/>
  <c r="AD486" i="11" a="1"/>
  <c r="AD486" i="11" s="1"/>
  <c r="Y10" i="6"/>
  <c r="V10" i="6"/>
  <c r="V46" i="7"/>
  <c r="V45" i="7"/>
  <c r="V43" i="7"/>
  <c r="V44" i="7"/>
  <c r="V122" i="7"/>
  <c r="V120" i="7"/>
  <c r="V123" i="7"/>
  <c r="V121" i="7"/>
  <c r="AD11" i="11" a="1"/>
  <c r="AD11" i="11" s="1"/>
  <c r="B175" i="8"/>
  <c r="B17" i="8"/>
  <c r="B109" i="8"/>
  <c r="B164" i="8"/>
  <c r="B151" i="8"/>
  <c r="B132" i="8"/>
  <c r="B120" i="8"/>
  <c r="B79" i="8"/>
  <c r="B64" i="8"/>
  <c r="B147" i="8"/>
  <c r="B50" i="8"/>
  <c r="B102" i="8"/>
  <c r="B68" i="8"/>
  <c r="B25" i="8"/>
  <c r="B128" i="8"/>
  <c r="B83" i="8"/>
  <c r="B37" i="8"/>
  <c r="B72" i="8"/>
  <c r="B124" i="8"/>
  <c r="B33" i="8"/>
  <c r="B46" i="8"/>
  <c r="B41" i="8"/>
  <c r="B60" i="8"/>
  <c r="B140" i="8"/>
  <c r="B12" i="8"/>
  <c r="B21" i="8"/>
  <c r="B168" i="8"/>
  <c r="B136" i="8"/>
  <c r="B116" i="8"/>
  <c r="B29" i="8"/>
  <c r="M17" i="8"/>
  <c r="M18" i="8"/>
  <c r="AD25" i="11" a="1"/>
  <c r="AD25" i="11" s="1"/>
  <c r="AD372" i="11" a="1"/>
  <c r="AD372" i="11" s="1"/>
  <c r="AD139" i="11" a="1"/>
  <c r="AD139" i="11" s="1"/>
  <c r="J122" i="7"/>
  <c r="J119" i="7"/>
  <c r="J116" i="7"/>
  <c r="J123" i="7"/>
  <c r="J118" i="7"/>
  <c r="J117" i="7"/>
  <c r="K5" i="8"/>
  <c r="H156" i="8"/>
  <c r="H149" i="8"/>
  <c r="H74" i="8"/>
  <c r="H170" i="8"/>
  <c r="H159" i="8"/>
  <c r="M26" i="8"/>
  <c r="M27" i="8"/>
  <c r="AD132" i="11" a="1"/>
  <c r="AD132" i="11" s="1"/>
  <c r="AD510" i="11" a="1"/>
  <c r="AD510" i="11" s="1"/>
  <c r="AD320" i="11" a="1"/>
  <c r="AD320" i="11" s="1"/>
  <c r="AD374" i="11" a="1"/>
  <c r="AD374" i="11" s="1"/>
  <c r="AM295" i="11" a="1"/>
  <c r="AM295" i="11" s="1"/>
  <c r="AM286" i="11" a="1"/>
  <c r="AM286" i="11" s="1"/>
  <c r="AM252" i="11" a="1"/>
  <c r="AM252" i="11" s="1"/>
  <c r="AM245" i="11" a="1"/>
  <c r="AM245" i="11" s="1"/>
  <c r="AM227" i="11" a="1"/>
  <c r="AM227" i="11" s="1"/>
  <c r="AM211" i="11" a="1"/>
  <c r="AM211" i="11" s="1"/>
  <c r="AM206" i="11" a="1"/>
  <c r="AM206" i="11" s="1"/>
  <c r="AM201" i="11" a="1"/>
  <c r="AM201" i="11" s="1"/>
  <c r="AM196" i="11" a="1"/>
  <c r="AM196" i="11" s="1"/>
  <c r="AM191" i="11" a="1"/>
  <c r="AM191" i="11" s="1"/>
  <c r="AM186" i="11" a="1"/>
  <c r="AM186" i="11" s="1"/>
  <c r="AM140" i="11" a="1"/>
  <c r="AM140" i="11" s="1"/>
  <c r="AM131" i="11" a="1"/>
  <c r="AM131" i="11" s="1"/>
  <c r="AM259" i="11" a="1"/>
  <c r="AM259" i="11" s="1"/>
  <c r="AM236" i="11" a="1"/>
  <c r="AM236" i="11" s="1"/>
  <c r="AM218" i="11" a="1"/>
  <c r="AM218" i="11" s="1"/>
  <c r="AM177" i="11" a="1"/>
  <c r="AM177" i="11" s="1"/>
  <c r="AM168" i="11" a="1"/>
  <c r="AM168" i="11" s="1"/>
  <c r="AM161" i="11" a="1"/>
  <c r="AM161" i="11" s="1"/>
  <c r="AM152" i="11" a="1"/>
  <c r="AM152" i="11" s="1"/>
  <c r="AM296" i="11" a="1"/>
  <c r="AM296" i="11" s="1"/>
  <c r="AM246" i="11" a="1"/>
  <c r="AM246" i="11" s="1"/>
  <c r="AM228" i="11" a="1"/>
  <c r="AM228" i="11" s="1"/>
  <c r="AM212" i="11" a="1"/>
  <c r="AM212" i="11" s="1"/>
  <c r="AM232" i="11" a="1"/>
  <c r="AM232" i="11" s="1"/>
  <c r="AM226" i="11" a="1"/>
  <c r="AM226" i="11" s="1"/>
  <c r="AM224" i="11" a="1"/>
  <c r="AM224" i="11" s="1"/>
  <c r="AM204" i="11" a="1"/>
  <c r="AM204" i="11" s="1"/>
  <c r="AM142" i="11" a="1"/>
  <c r="AM142" i="11" s="1"/>
  <c r="AM134" i="11" a="1"/>
  <c r="AM134" i="11" s="1"/>
  <c r="AM132" i="11" a="1"/>
  <c r="AM132" i="11" s="1"/>
  <c r="AM103" i="11" a="1"/>
  <c r="AM103" i="11" s="1"/>
  <c r="AM94" i="11" a="1"/>
  <c r="AM94" i="11" s="1"/>
  <c r="AM85" i="11" a="1"/>
  <c r="AM85" i="11" s="1"/>
  <c r="AM76" i="11" a="1"/>
  <c r="AM76" i="11" s="1"/>
  <c r="AM67" i="11" a="1"/>
  <c r="AM67" i="11" s="1"/>
  <c r="AM58" i="11" a="1"/>
  <c r="AM58" i="11" s="1"/>
  <c r="AM234" i="11" a="1"/>
  <c r="AM234" i="11" s="1"/>
  <c r="AM230" i="11" a="1"/>
  <c r="AM230" i="11" s="1"/>
  <c r="AM151" i="11" a="1"/>
  <c r="AM151" i="11" s="1"/>
  <c r="AM37" i="11" a="1"/>
  <c r="AM37" i="11" s="1"/>
  <c r="AM223" i="11" a="1"/>
  <c r="AM223" i="11" s="1"/>
  <c r="AM221" i="11" a="1"/>
  <c r="AM221" i="11" s="1"/>
  <c r="AM154" i="11" a="1"/>
  <c r="AM154" i="11" s="1"/>
  <c r="AM143" i="11" a="1"/>
  <c r="AM143" i="11" s="1"/>
  <c r="AM141" i="11" a="1"/>
  <c r="AM141" i="11" s="1"/>
  <c r="AM139" i="11" a="1"/>
  <c r="AM139" i="11" s="1"/>
  <c r="AM120" i="11" a="1"/>
  <c r="AM120" i="11" s="1"/>
  <c r="AM104" i="11" a="1"/>
  <c r="AM104" i="11" s="1"/>
  <c r="AM95" i="11" a="1"/>
  <c r="AM95" i="11" s="1"/>
  <c r="AM86" i="11" a="1"/>
  <c r="AM86" i="11" s="1"/>
  <c r="AM77" i="11" a="1"/>
  <c r="AM77" i="11" s="1"/>
  <c r="AM68" i="11" a="1"/>
  <c r="AM68" i="11" s="1"/>
  <c r="AM273" i="11" a="1"/>
  <c r="AM273" i="11" s="1"/>
  <c r="AM264" i="11" a="1"/>
  <c r="AM264" i="11" s="1"/>
  <c r="AM255" i="11" a="1"/>
  <c r="AM255" i="11" s="1"/>
  <c r="AM198" i="11" a="1"/>
  <c r="AM198" i="11" s="1"/>
  <c r="AM164" i="11" a="1"/>
  <c r="AM164" i="11" s="1"/>
  <c r="AM162" i="11" a="1"/>
  <c r="AM162" i="11" s="1"/>
  <c r="AM147" i="11" a="1"/>
  <c r="AM147" i="11" s="1"/>
  <c r="AM119" i="11" a="1"/>
  <c r="AM119" i="11" s="1"/>
  <c r="AM111" i="11" a="1"/>
  <c r="AM111" i="11" s="1"/>
  <c r="AM109" i="11" a="1"/>
  <c r="AM109" i="11" s="1"/>
  <c r="AM107" i="11" a="1"/>
  <c r="AM107" i="11" s="1"/>
  <c r="AM105" i="11" a="1"/>
  <c r="AM105" i="11" s="1"/>
  <c r="AM82" i="11" a="1"/>
  <c r="AM82" i="11" s="1"/>
  <c r="AM80" i="11" a="1"/>
  <c r="AM80" i="11" s="1"/>
  <c r="AM78" i="11" a="1"/>
  <c r="AM78" i="11" s="1"/>
  <c r="AM31" i="11" a="1"/>
  <c r="AM31" i="11" s="1"/>
  <c r="AM293" i="11" a="1"/>
  <c r="AM293" i="11" s="1"/>
  <c r="AM282" i="11" a="1"/>
  <c r="AM282" i="11" s="1"/>
  <c r="AM239" i="11" a="1"/>
  <c r="AM239" i="11" s="1"/>
  <c r="AM189" i="11" a="1"/>
  <c r="AM189" i="11" s="1"/>
  <c r="AM187" i="11" a="1"/>
  <c r="AM187" i="11" s="1"/>
  <c r="AM171" i="11" a="1"/>
  <c r="AM171" i="11" s="1"/>
  <c r="AM153" i="11" a="1"/>
  <c r="AM153" i="11" s="1"/>
  <c r="AM138" i="11" a="1"/>
  <c r="AM138" i="11" s="1"/>
  <c r="AM127" i="11" a="1"/>
  <c r="AM127" i="11" s="1"/>
  <c r="AM113" i="11" a="1"/>
  <c r="AM113" i="11" s="1"/>
  <c r="AM84" i="11" a="1"/>
  <c r="AM84" i="11" s="1"/>
  <c r="AM261" i="11" a="1"/>
  <c r="AM261" i="11" s="1"/>
  <c r="AM231" i="11" a="1"/>
  <c r="AM231" i="11" s="1"/>
  <c r="AM219" i="11" a="1"/>
  <c r="AM219" i="11" s="1"/>
  <c r="AM289" i="11" a="1"/>
  <c r="AM289" i="11" s="1"/>
  <c r="AM244" i="11" a="1"/>
  <c r="AM244" i="11" s="1"/>
  <c r="AM263" i="11" a="1"/>
  <c r="AM263" i="11" s="1"/>
  <c r="AM205" i="11" a="1"/>
  <c r="AM205" i="11" s="1"/>
  <c r="AM200" i="11" a="1"/>
  <c r="AM200" i="11" s="1"/>
  <c r="AM181" i="11" a="1"/>
  <c r="AM181" i="11" s="1"/>
  <c r="AM276" i="11" a="1"/>
  <c r="AM276" i="11" s="1"/>
  <c r="AM268" i="11" a="1"/>
  <c r="AM268" i="11" s="1"/>
  <c r="AM217" i="11" a="1"/>
  <c r="AM217" i="11" s="1"/>
  <c r="AM188" i="11" a="1"/>
  <c r="AM188" i="11" s="1"/>
  <c r="AM299" i="11" a="1"/>
  <c r="AM299" i="11" s="1"/>
  <c r="AM294" i="11" a="1"/>
  <c r="AM294" i="11" s="1"/>
  <c r="AM207" i="11" a="1"/>
  <c r="AM207" i="11" s="1"/>
  <c r="AM195" i="11" a="1"/>
  <c r="AM195" i="11" s="1"/>
  <c r="AM178" i="11" a="1"/>
  <c r="AM178" i="11" s="1"/>
  <c r="AM173" i="11" a="1"/>
  <c r="AM173" i="11" s="1"/>
  <c r="AM285" i="11" a="1"/>
  <c r="AM285" i="11" s="1"/>
  <c r="AM267" i="11" a="1"/>
  <c r="AM267" i="11" s="1"/>
  <c r="AM235" i="11" a="1"/>
  <c r="AM235" i="11" s="1"/>
  <c r="AM216" i="11" a="1"/>
  <c r="AM216" i="11" s="1"/>
  <c r="AM199" i="11" a="1"/>
  <c r="AM199" i="11" s="1"/>
  <c r="AM123" i="11" a="1"/>
  <c r="AM123" i="11" s="1"/>
  <c r="AM287" i="11" a="1"/>
  <c r="AM287" i="11" s="1"/>
  <c r="AM278" i="11" a="1"/>
  <c r="AM278" i="11" s="1"/>
  <c r="AM251" i="11" a="1"/>
  <c r="AM251" i="11" s="1"/>
  <c r="AM185" i="11" a="1"/>
  <c r="AM185" i="11" s="1"/>
  <c r="AM281" i="11" a="1"/>
  <c r="AM281" i="11" s="1"/>
  <c r="AM266" i="11" a="1"/>
  <c r="AM266" i="11" s="1"/>
  <c r="AM238" i="11" a="1"/>
  <c r="AM238" i="11" s="1"/>
  <c r="AM193" i="11" a="1"/>
  <c r="AM193" i="11" s="1"/>
  <c r="AM190" i="11" a="1"/>
  <c r="AM190" i="11" s="1"/>
  <c r="AM149" i="11" a="1"/>
  <c r="AM149" i="11" s="1"/>
  <c r="AM114" i="11" a="1"/>
  <c r="AM114" i="11" s="1"/>
  <c r="AM112" i="11" a="1"/>
  <c r="AM112" i="11" s="1"/>
  <c r="AM274" i="11" a="1"/>
  <c r="AM274" i="11" s="1"/>
  <c r="AM250" i="11" a="1"/>
  <c r="AM250" i="11" s="1"/>
  <c r="AM247" i="11" a="1"/>
  <c r="AM247" i="11" s="1"/>
  <c r="AM215" i="11" a="1"/>
  <c r="AM215" i="11" s="1"/>
  <c r="AM184" i="11" a="1"/>
  <c r="AM184" i="11" s="1"/>
  <c r="AM118" i="11" a="1"/>
  <c r="AM118" i="11" s="1"/>
  <c r="AM240" i="11" a="1"/>
  <c r="AM240" i="11" s="1"/>
  <c r="AM175" i="11" a="1"/>
  <c r="AM175" i="11" s="1"/>
  <c r="AM172" i="11" a="1"/>
  <c r="AM172" i="11" s="1"/>
  <c r="AM148" i="11" a="1"/>
  <c r="AM148" i="11" s="1"/>
  <c r="AM292" i="11" a="1"/>
  <c r="AM292" i="11" s="1"/>
  <c r="AM271" i="11" a="1"/>
  <c r="AM271" i="11" s="1"/>
  <c r="AM136" i="11" a="1"/>
  <c r="AM136" i="11" s="1"/>
  <c r="AM69" i="11" a="1"/>
  <c r="AM69" i="11" s="1"/>
  <c r="AM49" i="11" a="1"/>
  <c r="AM49" i="11" s="1"/>
  <c r="AM277" i="11" a="1"/>
  <c r="AM277" i="11" s="1"/>
  <c r="AM256" i="11" a="1"/>
  <c r="AM256" i="11" s="1"/>
  <c r="AM183" i="11" a="1"/>
  <c r="AM183" i="11" s="1"/>
  <c r="AM301" i="11" a="1"/>
  <c r="AM301" i="11" s="1"/>
  <c r="AM241" i="11" a="1"/>
  <c r="AM241" i="11" s="1"/>
  <c r="AM158" i="11" a="1"/>
  <c r="AM158" i="11" s="1"/>
  <c r="AM242" i="11" a="1"/>
  <c r="AM242" i="11" s="1"/>
  <c r="AM194" i="11" a="1"/>
  <c r="AM194" i="11" s="1"/>
  <c r="AM155" i="11" a="1"/>
  <c r="AM155" i="11" s="1"/>
  <c r="AM145" i="11" a="1"/>
  <c r="AM145" i="11" s="1"/>
  <c r="AM106" i="11" a="1"/>
  <c r="AM106" i="11" s="1"/>
  <c r="AM98" i="11" a="1"/>
  <c r="AM98" i="11" s="1"/>
  <c r="AM93" i="11" a="1"/>
  <c r="AM93" i="11" s="1"/>
  <c r="AM220" i="11" a="1"/>
  <c r="AM220" i="11" s="1"/>
  <c r="AM137" i="11" a="1"/>
  <c r="AM137" i="11" s="1"/>
  <c r="AM92" i="11" a="1"/>
  <c r="AM92" i="11" s="1"/>
  <c r="AM50" i="11" a="1"/>
  <c r="AM50" i="11" s="1"/>
  <c r="AM44" i="11" a="1"/>
  <c r="AM44" i="11" s="1"/>
  <c r="AM297" i="11" a="1"/>
  <c r="AM297" i="11" s="1"/>
  <c r="AM269" i="11" a="1"/>
  <c r="AM269" i="11" s="1"/>
  <c r="AM265" i="11" a="1"/>
  <c r="AM265" i="11" s="1"/>
  <c r="AM257" i="11" a="1"/>
  <c r="AM257" i="11" s="1"/>
  <c r="AM253" i="11" a="1"/>
  <c r="AM253" i="11" s="1"/>
  <c r="AM182" i="11" a="1"/>
  <c r="AM182" i="11" s="1"/>
  <c r="AM87" i="11" a="1"/>
  <c r="AM87" i="11" s="1"/>
  <c r="AM79" i="11" a="1"/>
  <c r="AM79" i="11" s="1"/>
  <c r="AM72" i="11" a="1"/>
  <c r="AM72" i="11" s="1"/>
  <c r="AM53" i="11" a="1"/>
  <c r="AM53" i="11" s="1"/>
  <c r="AM45" i="11" a="1"/>
  <c r="AM45" i="11" s="1"/>
  <c r="AM7" i="11" a="1"/>
  <c r="AM7" i="11" s="1"/>
  <c r="AM157" i="11" a="1"/>
  <c r="AM157" i="11" s="1"/>
  <c r="AM144" i="11" a="1"/>
  <c r="AM144" i="11" s="1"/>
  <c r="AM97" i="11" a="1"/>
  <c r="AM97" i="11" s="1"/>
  <c r="AM62" i="11" a="1"/>
  <c r="AM62" i="11" s="1"/>
  <c r="AM28" i="11" a="1"/>
  <c r="AM28" i="11" s="1"/>
  <c r="AM27" i="11" a="1"/>
  <c r="AM27" i="11" s="1"/>
  <c r="AM26" i="11" a="1"/>
  <c r="AM26" i="11" s="1"/>
  <c r="AM25" i="11" a="1"/>
  <c r="AM25" i="11" s="1"/>
  <c r="AM24" i="11" a="1"/>
  <c r="AM24" i="11" s="1"/>
  <c r="AM23" i="11" a="1"/>
  <c r="AM23" i="11" s="1"/>
  <c r="AM22" i="11" a="1"/>
  <c r="AM22" i="11" s="1"/>
  <c r="AM21" i="11" a="1"/>
  <c r="AM21" i="11" s="1"/>
  <c r="AM20" i="11" a="1"/>
  <c r="AM20" i="11" s="1"/>
  <c r="AM19" i="11" a="1"/>
  <c r="AM19" i="11" s="1"/>
  <c r="AM18" i="11" a="1"/>
  <c r="AM18" i="11" s="1"/>
  <c r="AM17" i="11" a="1"/>
  <c r="AM17" i="11" s="1"/>
  <c r="AM16" i="11" a="1"/>
  <c r="AM16" i="11" s="1"/>
  <c r="AM15" i="11" a="1"/>
  <c r="AM15" i="11" s="1"/>
  <c r="AM14" i="11" a="1"/>
  <c r="AM14" i="11" s="1"/>
  <c r="AM13" i="11" a="1"/>
  <c r="AM13" i="11" s="1"/>
  <c r="AM12" i="11" a="1"/>
  <c r="AM12" i="11" s="1"/>
  <c r="AM11" i="11" a="1"/>
  <c r="AM11" i="11" s="1"/>
  <c r="AM10" i="11" a="1"/>
  <c r="AM10" i="11" s="1"/>
  <c r="AM9" i="11" a="1"/>
  <c r="AM9" i="11" s="1"/>
  <c r="AM8" i="11" a="1"/>
  <c r="AM8" i="11" s="1"/>
  <c r="AM222" i="11" a="1"/>
  <c r="AM222" i="11" s="1"/>
  <c r="AM208" i="11" a="1"/>
  <c r="AM208" i="11" s="1"/>
  <c r="AM159" i="11" a="1"/>
  <c r="AM159" i="11" s="1"/>
  <c r="AM73" i="11" a="1"/>
  <c r="AM73" i="11" s="1"/>
  <c r="AM30" i="11" a="1"/>
  <c r="AM30" i="11" s="1"/>
  <c r="AM88" i="11" a="1"/>
  <c r="AM88" i="11" s="1"/>
  <c r="AM3" i="11" a="1"/>
  <c r="AM3" i="11" s="1"/>
  <c r="AM272" i="11" a="1"/>
  <c r="AM272" i="11" s="1"/>
  <c r="AM48" i="11" a="1"/>
  <c r="AM48" i="11" s="1"/>
  <c r="AM42" i="11" a="1"/>
  <c r="AM42" i="11" s="1"/>
  <c r="AM36" i="11" a="1"/>
  <c r="AM36" i="11" s="1"/>
  <c r="AM275" i="11" a="1"/>
  <c r="AM275" i="11" s="1"/>
  <c r="AM248" i="11" a="1"/>
  <c r="AM248" i="11" s="1"/>
  <c r="AM214" i="11" a="1"/>
  <c r="AM214" i="11" s="1"/>
  <c r="AM202" i="11" a="1"/>
  <c r="AM202" i="11" s="1"/>
  <c r="AM165" i="11" a="1"/>
  <c r="AM165" i="11" s="1"/>
  <c r="AM121" i="11" a="1"/>
  <c r="AM121" i="11" s="1"/>
  <c r="AM108" i="11" a="1"/>
  <c r="AM108" i="11" s="1"/>
  <c r="AM61" i="11" a="1"/>
  <c r="AM61" i="11" s="1"/>
  <c r="AM38" i="11" a="1"/>
  <c r="AM38" i="11" s="1"/>
  <c r="AM6" i="11" a="1"/>
  <c r="AM6" i="11" s="1"/>
  <c r="AM129" i="11" a="1"/>
  <c r="AM129" i="11" s="1"/>
  <c r="AM291" i="11" a="1"/>
  <c r="AM291" i="11" s="1"/>
  <c r="AM262" i="11" a="1"/>
  <c r="AM262" i="11" s="1"/>
  <c r="AM225" i="11" a="1"/>
  <c r="AM225" i="11" s="1"/>
  <c r="AM122" i="11" a="1"/>
  <c r="AM122" i="11" s="1"/>
  <c r="AM83" i="11" a="1"/>
  <c r="AM83" i="11" s="1"/>
  <c r="AM47" i="11" a="1"/>
  <c r="AM47" i="11" s="1"/>
  <c r="AM229" i="11" a="1"/>
  <c r="AM229" i="11" s="1"/>
  <c r="AM176" i="11" a="1"/>
  <c r="AM176" i="11" s="1"/>
  <c r="AM117" i="11" a="1"/>
  <c r="AM117" i="11" s="1"/>
  <c r="AM102" i="11" a="1"/>
  <c r="AM102" i="11" s="1"/>
  <c r="AM89" i="11" a="1"/>
  <c r="AM89" i="11" s="1"/>
  <c r="AM166" i="11" a="1"/>
  <c r="AM166" i="11" s="1"/>
  <c r="AM124" i="11" a="1"/>
  <c r="AM124" i="11" s="1"/>
  <c r="AM41" i="11" a="1"/>
  <c r="AM41" i="11" s="1"/>
  <c r="AM130" i="11" a="1"/>
  <c r="AM130" i="11" s="1"/>
  <c r="AM66" i="11" a="1"/>
  <c r="AM66" i="11" s="1"/>
  <c r="AM209" i="11" a="1"/>
  <c r="AM209" i="11" s="1"/>
  <c r="AM100" i="11" a="1"/>
  <c r="AM100" i="11" s="1"/>
  <c r="AM54" i="11" a="1"/>
  <c r="AM54" i="11" s="1"/>
  <c r="AM35" i="11" a="1"/>
  <c r="AM35" i="11" s="1"/>
  <c r="AM237" i="11" a="1"/>
  <c r="AM237" i="11" s="1"/>
  <c r="AM167" i="11" a="1"/>
  <c r="AM167" i="11" s="1"/>
  <c r="AM40" i="11" a="1"/>
  <c r="AM40" i="11" s="1"/>
  <c r="AM290" i="11" a="1"/>
  <c r="AM290" i="11" s="1"/>
  <c r="AM146" i="11" a="1"/>
  <c r="AM146" i="11" s="1"/>
  <c r="AM115" i="11" a="1"/>
  <c r="AM115" i="11" s="1"/>
  <c r="AM243" i="11" a="1"/>
  <c r="AM243" i="11" s="1"/>
  <c r="AM174" i="11" a="1"/>
  <c r="AM174" i="11" s="1"/>
  <c r="AM249" i="11" a="1"/>
  <c r="AM249" i="11" s="1"/>
  <c r="AM169" i="11" a="1"/>
  <c r="AM169" i="11" s="1"/>
  <c r="AM110" i="11" a="1"/>
  <c r="AM110" i="11" s="1"/>
  <c r="AM70" i="11" a="1"/>
  <c r="AM70" i="11" s="1"/>
  <c r="AM34" i="11" a="1"/>
  <c r="AM34" i="11" s="1"/>
  <c r="AM298" i="11" a="1"/>
  <c r="AM298" i="11" s="1"/>
  <c r="AM90" i="11" a="1"/>
  <c r="AM90" i="11" s="1"/>
  <c r="AM210" i="11" a="1"/>
  <c r="AM210" i="11" s="1"/>
  <c r="AM156" i="11" a="1"/>
  <c r="AM156" i="11" s="1"/>
  <c r="AM135" i="11" a="1"/>
  <c r="AM135" i="11" s="1"/>
  <c r="AM116" i="11" a="1"/>
  <c r="AM116" i="11" s="1"/>
  <c r="AM270" i="11" a="1"/>
  <c r="AM270" i="11" s="1"/>
  <c r="AM258" i="11" a="1"/>
  <c r="AM258" i="11" s="1"/>
  <c r="AM150" i="11" a="1"/>
  <c r="AM150" i="11" s="1"/>
  <c r="AM81" i="11" a="1"/>
  <c r="AM81" i="11" s="1"/>
  <c r="AM64" i="11" a="1"/>
  <c r="AM64" i="11" s="1"/>
  <c r="AM300" i="11" a="1"/>
  <c r="AM300" i="11" s="1"/>
  <c r="AM125" i="11" a="1"/>
  <c r="AM125" i="11" s="1"/>
  <c r="AM75" i="11" a="1"/>
  <c r="AM75" i="11" s="1"/>
  <c r="AM32" i="11" a="1"/>
  <c r="AM32" i="11" s="1"/>
  <c r="AM170" i="11" a="1"/>
  <c r="AM170" i="11" s="1"/>
  <c r="AM51" i="11" a="1"/>
  <c r="AM51" i="11" s="1"/>
  <c r="AM57" i="11" a="1"/>
  <c r="AM57" i="11" s="1"/>
  <c r="AM39" i="11" a="1"/>
  <c r="AM39" i="11" s="1"/>
  <c r="AM163" i="11" a="1"/>
  <c r="AM163" i="11" s="1"/>
  <c r="AM60" i="11" a="1"/>
  <c r="AM60" i="11" s="1"/>
  <c r="AM43" i="11" a="1"/>
  <c r="AM43" i="11" s="1"/>
  <c r="AM280" i="11" a="1"/>
  <c r="AM280" i="11" s="1"/>
  <c r="AM192" i="11" a="1"/>
  <c r="AM192" i="11" s="1"/>
  <c r="AM4" i="11" a="1"/>
  <c r="AM4" i="11" s="1"/>
  <c r="AM2" i="11" a="1"/>
  <c r="AM2" i="11" s="1"/>
  <c r="AM197" i="11" a="1"/>
  <c r="AM197" i="11" s="1"/>
  <c r="AM180" i="11" a="1"/>
  <c r="AM180" i="11" s="1"/>
  <c r="AM128" i="11" a="1"/>
  <c r="AM128" i="11" s="1"/>
  <c r="AM56" i="11" a="1"/>
  <c r="AM56" i="11" s="1"/>
  <c r="AM203" i="11" a="1"/>
  <c r="AM203" i="11" s="1"/>
  <c r="AM133" i="11" a="1"/>
  <c r="AM133" i="11" s="1"/>
  <c r="AM254" i="11" a="1"/>
  <c r="AM254" i="11" s="1"/>
  <c r="AM55" i="11" a="1"/>
  <c r="AM55" i="11" s="1"/>
  <c r="AM74" i="11" a="1"/>
  <c r="AM74" i="11" s="1"/>
  <c r="AM126" i="11" a="1"/>
  <c r="AM126" i="11" s="1"/>
  <c r="AM63" i="11" a="1"/>
  <c r="AM63" i="11" s="1"/>
  <c r="AM284" i="11" a="1"/>
  <c r="AM284" i="11" s="1"/>
  <c r="AM33" i="11" a="1"/>
  <c r="AM33" i="11" s="1"/>
  <c r="AM213" i="11" a="1"/>
  <c r="AM213" i="11" s="1"/>
  <c r="AM101" i="11" a="1"/>
  <c r="AM101" i="11" s="1"/>
  <c r="AM283" i="11" a="1"/>
  <c r="AM283" i="11" s="1"/>
  <c r="AM71" i="11" a="1"/>
  <c r="AM71" i="11" s="1"/>
  <c r="AM46" i="11" a="1"/>
  <c r="AM46" i="11" s="1"/>
  <c r="AM96" i="11" a="1"/>
  <c r="AM96" i="11" s="1"/>
  <c r="AM5" i="11" a="1"/>
  <c r="AM5" i="11" s="1"/>
  <c r="AM279" i="11" a="1"/>
  <c r="AM279" i="11" s="1"/>
  <c r="AM29" i="11" a="1"/>
  <c r="AM29" i="11" s="1"/>
  <c r="AM233" i="11" a="1"/>
  <c r="AM233" i="11" s="1"/>
  <c r="AM59" i="11" a="1"/>
  <c r="AM59" i="11" s="1"/>
  <c r="AM65" i="11" a="1"/>
  <c r="AM65" i="11" s="1"/>
  <c r="AM179" i="11" a="1"/>
  <c r="AM179" i="11" s="1"/>
  <c r="AM160" i="11" a="1"/>
  <c r="AM160" i="11" s="1"/>
  <c r="AM91" i="11" a="1"/>
  <c r="AM91" i="11" s="1"/>
  <c r="AM288" i="11" a="1"/>
  <c r="AM288" i="11" s="1"/>
  <c r="AM260" i="11" a="1"/>
  <c r="AM260" i="11" s="1"/>
  <c r="AM52" i="11" a="1"/>
  <c r="AM52" i="11" s="1"/>
  <c r="AM99" i="11" a="1"/>
  <c r="AM99" i="11" s="1"/>
  <c r="AD396" i="11" a="1"/>
  <c r="AD396" i="11" s="1"/>
  <c r="AD133" i="11" a="1"/>
  <c r="AD133" i="11" s="1"/>
  <c r="AD223" i="11" a="1"/>
  <c r="AD223" i="11" s="1"/>
  <c r="AD334" i="11" a="1"/>
  <c r="AD334" i="11" s="1"/>
  <c r="J5" i="8"/>
  <c r="AD63" i="11" a="1"/>
  <c r="AD63" i="11" s="1"/>
  <c r="AD197" i="11" a="1"/>
  <c r="AD197" i="11" s="1"/>
  <c r="AD297" i="11" a="1"/>
  <c r="AD297" i="11" s="1"/>
  <c r="AD430" i="11" a="1"/>
  <c r="AD430" i="11" s="1"/>
  <c r="AD386" i="11" a="1"/>
  <c r="AD386" i="11" s="1"/>
  <c r="B45" i="7"/>
  <c r="B46" i="7"/>
  <c r="B47" i="7"/>
  <c r="B48" i="7"/>
  <c r="B44" i="7"/>
  <c r="L60" i="2" s="1"/>
  <c r="Q60" i="2" s="1"/>
  <c r="H38" i="9" a="1"/>
  <c r="H38" i="9" s="1"/>
  <c r="H34" i="9" a="1"/>
  <c r="H34" i="9" s="1"/>
  <c r="AD87" i="11" a="1"/>
  <c r="AD87" i="11" s="1"/>
  <c r="AD237" i="11" a="1"/>
  <c r="AD237" i="11" s="1"/>
  <c r="AD351" i="11" a="1"/>
  <c r="AD351" i="11" s="1"/>
  <c r="AD397" i="11" a="1"/>
  <c r="AD397" i="11" s="1"/>
  <c r="AD429" i="11" a="1"/>
  <c r="AD429" i="11" s="1"/>
  <c r="M23" i="8"/>
  <c r="M24" i="8"/>
  <c r="H31" i="9" a="1"/>
  <c r="H31" i="9" s="1"/>
  <c r="AD459" i="11" a="1"/>
  <c r="AD459" i="11" s="1"/>
  <c r="AD182" i="11" a="1"/>
  <c r="AD182" i="11" s="1"/>
  <c r="AD152" i="11" a="1"/>
  <c r="AD152" i="11" s="1"/>
  <c r="AD74" i="11" a="1"/>
  <c r="AD74" i="11" s="1"/>
  <c r="AD482" i="11" a="1"/>
  <c r="AD482" i="11" s="1"/>
  <c r="AD35" i="11" a="1"/>
  <c r="AD35" i="11" s="1"/>
  <c r="AD414" i="11" a="1"/>
  <c r="AD414" i="11" s="1"/>
  <c r="AD366" i="11" a="1"/>
  <c r="AD366" i="11" s="1"/>
  <c r="AD382" i="11" a="1"/>
  <c r="AD382" i="11" s="1"/>
  <c r="AD311" i="11" a="1"/>
  <c r="AD311" i="11" s="1"/>
  <c r="AD491" i="11" a="1"/>
  <c r="AD491" i="11" s="1"/>
  <c r="AD422" i="11" a="1"/>
  <c r="AD422" i="11" s="1"/>
  <c r="AD308" i="11" a="1"/>
  <c r="AD308" i="11" s="1"/>
  <c r="AD97" i="11" a="1"/>
  <c r="AD97" i="11" s="1"/>
  <c r="AD385" i="11" a="1"/>
  <c r="AD385" i="11" s="1"/>
  <c r="AD43" i="11" a="1"/>
  <c r="AD43" i="11" s="1"/>
  <c r="AD427" i="11" a="1"/>
  <c r="AD427" i="11" s="1"/>
  <c r="AD348" i="11" a="1"/>
  <c r="AD348" i="11" s="1"/>
  <c r="AD380" i="11" a="1"/>
  <c r="AD380" i="11" s="1"/>
  <c r="AD137" i="11" a="1"/>
  <c r="AD137" i="11" s="1"/>
  <c r="AD494" i="11" a="1"/>
  <c r="AD494" i="11" s="1"/>
  <c r="AD480" i="11" a="1"/>
  <c r="AD480" i="11" s="1"/>
  <c r="AD481" i="11" a="1"/>
  <c r="AD481" i="11" s="1"/>
  <c r="AD492" i="11" a="1"/>
  <c r="AD492" i="11" s="1"/>
  <c r="AP73" i="7"/>
  <c r="AP77" i="7"/>
  <c r="AP78" i="7"/>
  <c r="AP74" i="7"/>
  <c r="AP71" i="7"/>
  <c r="AP76" i="7"/>
  <c r="AP72" i="7"/>
  <c r="AP70" i="7"/>
  <c r="AK8" i="7"/>
  <c r="AH8" i="7"/>
  <c r="AP69" i="7"/>
  <c r="AP75" i="7"/>
  <c r="H64" i="6"/>
  <c r="G64" i="6"/>
  <c r="E64" i="6"/>
  <c r="D64" i="6"/>
  <c r="AC17" i="6"/>
  <c r="F64" i="6"/>
  <c r="AD120" i="11" a="1"/>
  <c r="AD120" i="11" s="1"/>
  <c r="AD200" i="11" a="1"/>
  <c r="AD200" i="11" s="1"/>
  <c r="AD140" i="11" a="1"/>
  <c r="AD140" i="11" s="1"/>
  <c r="AD199" i="11" a="1"/>
  <c r="AD199" i="11" s="1"/>
  <c r="AD141" i="11" a="1"/>
  <c r="AD141" i="11" s="1"/>
  <c r="AD290" i="11" a="1"/>
  <c r="AD290" i="11" s="1"/>
  <c r="AD33" i="11" a="1"/>
  <c r="AD33" i="11" s="1"/>
  <c r="AD465" i="11" a="1"/>
  <c r="AD465" i="11" s="1"/>
  <c r="AD473" i="11" a="1"/>
  <c r="AD473" i="11" s="1"/>
  <c r="AD312" i="11" a="1"/>
  <c r="AD312" i="11" s="1"/>
  <c r="AD436" i="11" a="1"/>
  <c r="AD436" i="11" s="1"/>
  <c r="H35" i="7"/>
  <c r="H40" i="7"/>
  <c r="H38" i="7"/>
  <c r="H36" i="7"/>
  <c r="H41" i="7"/>
  <c r="H34" i="7"/>
  <c r="H37" i="7"/>
  <c r="H39" i="7"/>
  <c r="AD262" i="11" a="1"/>
  <c r="AD262" i="11" s="1"/>
  <c r="AD48" i="11" a="1"/>
  <c r="AD48" i="11" s="1"/>
  <c r="AD291" i="11" a="1"/>
  <c r="AD291" i="11" s="1"/>
  <c r="AD258" i="11" a="1"/>
  <c r="AD258" i="11" s="1"/>
  <c r="AD275" i="11" a="1"/>
  <c r="AD275" i="11" s="1"/>
  <c r="AD398" i="11" a="1"/>
  <c r="AD398" i="11" s="1"/>
  <c r="J60" i="7"/>
  <c r="J56" i="7"/>
  <c r="J47" i="7"/>
  <c r="J50" i="7"/>
  <c r="J42" i="7"/>
  <c r="J63" i="7"/>
  <c r="J55" i="7"/>
  <c r="J49" i="7"/>
  <c r="J61" i="7"/>
  <c r="J52" i="7"/>
  <c r="J45" i="7"/>
  <c r="J62" i="7"/>
  <c r="J53" i="7"/>
  <c r="J41" i="7"/>
  <c r="J58" i="7"/>
  <c r="J48" i="7"/>
  <c r="J57" i="7"/>
  <c r="J54" i="7"/>
  <c r="J43" i="7"/>
  <c r="J46" i="7"/>
  <c r="J59" i="7"/>
  <c r="J44" i="7"/>
  <c r="J51" i="7"/>
  <c r="L67" i="7"/>
  <c r="L61" i="7"/>
  <c r="L58" i="7"/>
  <c r="L52" i="7"/>
  <c r="L55" i="7"/>
  <c r="L63" i="7"/>
  <c r="L66" i="7"/>
  <c r="L54" i="7"/>
  <c r="L65" i="7"/>
  <c r="L60" i="7"/>
  <c r="L57" i="7"/>
  <c r="L62" i="7"/>
  <c r="L53" i="7"/>
  <c r="B7" i="8" s="1"/>
  <c r="L64" i="7"/>
  <c r="L59" i="7"/>
  <c r="L56" i="7"/>
  <c r="L68" i="7"/>
  <c r="AD243" i="11" a="1"/>
  <c r="AD243" i="11" s="1"/>
  <c r="AD227" i="11" a="1"/>
  <c r="AD227" i="11" s="1"/>
  <c r="AD70" i="11" a="1"/>
  <c r="AD70" i="11" s="1"/>
  <c r="AD340" i="11" a="1"/>
  <c r="AD340" i="11" s="1"/>
  <c r="AD470" i="11" a="1"/>
  <c r="AD470" i="11" s="1"/>
  <c r="AD170" i="11" a="1"/>
  <c r="AD170" i="11" s="1"/>
  <c r="AO47" i="11"/>
  <c r="C64" i="2" s="1"/>
  <c r="H28" i="9" a="1"/>
  <c r="H28" i="9" s="1"/>
  <c r="AD294" i="11" a="1"/>
  <c r="AD294" i="11" s="1"/>
  <c r="AD54" i="11" a="1"/>
  <c r="AD54" i="11" s="1"/>
  <c r="AD354" i="11" a="1"/>
  <c r="AD354" i="11" s="1"/>
  <c r="AD185" i="11" a="1"/>
  <c r="AD185" i="11" s="1"/>
  <c r="AD117" i="11" a="1"/>
  <c r="AD117" i="11" s="1"/>
  <c r="AD19" i="11" a="1"/>
  <c r="AD19" i="11" s="1"/>
  <c r="AD47" i="11" a="1"/>
  <c r="AD47" i="11" s="1"/>
  <c r="AD489" i="11" a="1"/>
  <c r="AD489" i="11" s="1"/>
  <c r="AD478" i="11" a="1"/>
  <c r="AD478" i="11" s="1"/>
  <c r="AD411" i="11" a="1"/>
  <c r="AD411" i="11" s="1"/>
  <c r="AD325" i="11" a="1"/>
  <c r="AD325" i="11" s="1"/>
  <c r="AD188" i="11" a="1"/>
  <c r="AD188" i="11" s="1"/>
  <c r="AD460" i="11" a="1"/>
  <c r="AD460" i="11" s="1"/>
  <c r="AD404" i="11" a="1"/>
  <c r="AD404" i="11" s="1"/>
  <c r="AD99" i="11" a="1"/>
  <c r="AD99" i="11" s="1"/>
  <c r="AD453" i="11" a="1"/>
  <c r="AD453" i="11" s="1"/>
  <c r="AD52" i="11" a="1"/>
  <c r="AD52" i="11" s="1"/>
  <c r="AD456" i="11" a="1"/>
  <c r="AD456" i="11" s="1"/>
  <c r="AD357" i="11" a="1"/>
  <c r="AD357" i="11" s="1"/>
  <c r="AD391" i="11" a="1"/>
  <c r="AD391" i="11" s="1"/>
  <c r="AD158" i="11" a="1"/>
  <c r="AD158" i="11" s="1"/>
  <c r="AD502" i="11" a="1"/>
  <c r="AD502" i="11" s="1"/>
  <c r="AD484" i="11" a="1"/>
  <c r="AD484" i="11" s="1"/>
  <c r="AD513" i="11" a="1"/>
  <c r="AD513" i="11" s="1"/>
  <c r="AD498" i="11" a="1"/>
  <c r="AD498" i="11" s="1"/>
  <c r="P41" i="7"/>
  <c r="P40" i="7"/>
  <c r="AD20" i="11" a="1"/>
  <c r="AD20" i="11" s="1"/>
  <c r="AD206" i="11" a="1"/>
  <c r="AD206" i="11" s="1"/>
  <c r="AD100" i="11" a="1"/>
  <c r="AD100" i="11" s="1"/>
  <c r="AD157" i="11" a="1"/>
  <c r="AD157" i="11" s="1"/>
  <c r="AD247" i="11" a="1"/>
  <c r="AD247" i="11" s="1"/>
  <c r="AD368" i="11" a="1"/>
  <c r="AD368" i="11" s="1"/>
  <c r="AD2" i="11" a="1"/>
  <c r="AD2" i="11" s="1"/>
  <c r="AD159" i="11" a="1"/>
  <c r="AD159" i="11" s="1"/>
  <c r="AD231" i="11" a="1"/>
  <c r="AD231" i="11" s="1"/>
  <c r="AD362" i="11" a="1"/>
  <c r="AD362" i="11" s="1"/>
  <c r="AD376" i="11" a="1"/>
  <c r="AD376" i="11" s="1"/>
  <c r="AD73" i="11" a="1"/>
  <c r="AD73" i="11" s="1"/>
  <c r="AD180" i="11" a="1"/>
  <c r="AD180" i="11" s="1"/>
  <c r="AD501" i="11" a="1"/>
  <c r="AD501" i="11" s="1"/>
  <c r="AD326" i="11" a="1"/>
  <c r="AD326" i="11" s="1"/>
  <c r="AD448" i="11" a="1"/>
  <c r="AD448" i="11" s="1"/>
  <c r="AP39" i="7"/>
  <c r="AP42" i="7"/>
  <c r="AP40" i="7"/>
  <c r="AP41" i="7"/>
  <c r="AK5" i="7"/>
  <c r="AP46" i="7"/>
  <c r="AP45" i="7"/>
  <c r="AP44" i="7"/>
  <c r="AH5" i="7"/>
  <c r="AP43" i="7"/>
  <c r="J4" i="8"/>
  <c r="AP8" i="7"/>
  <c r="AP6" i="7"/>
  <c r="AP9" i="7"/>
  <c r="K4" i="8"/>
  <c r="AP4" i="7"/>
  <c r="AP10" i="7"/>
  <c r="AP5" i="7"/>
  <c r="AP3" i="7"/>
  <c r="AP7" i="7"/>
  <c r="AK2" i="7"/>
  <c r="AP2" i="7"/>
  <c r="AD457" i="11" a="1"/>
  <c r="AD457" i="11" s="1"/>
  <c r="AD64" i="11" a="1"/>
  <c r="AD64" i="11" s="1"/>
  <c r="AD377" i="11" a="1"/>
  <c r="AD377" i="11" s="1"/>
  <c r="AD266" i="11" a="1"/>
  <c r="AD266" i="11" s="1"/>
  <c r="AD295" i="11" a="1"/>
  <c r="AD295" i="11" s="1"/>
  <c r="AD445" i="11" a="1"/>
  <c r="AD445" i="11" s="1"/>
  <c r="AD53" i="11" a="1"/>
  <c r="AD53" i="11" s="1"/>
  <c r="H29" i="9" a="1"/>
  <c r="H29" i="9" s="1"/>
  <c r="H24" i="9" a="1"/>
  <c r="H24" i="9" s="1"/>
  <c r="H16" i="9" a="1"/>
  <c r="H16" i="9" s="1"/>
  <c r="E13" i="12"/>
  <c r="E9" i="12"/>
  <c r="E5" i="12"/>
  <c r="E3" i="12"/>
  <c r="E11" i="12"/>
  <c r="E4" i="12"/>
  <c r="E12" i="12"/>
  <c r="D10" i="12"/>
  <c r="R21" i="1" s="1"/>
  <c r="E7" i="12"/>
  <c r="D2" i="12"/>
  <c r="R20" i="1" s="1"/>
  <c r="E15" i="12"/>
  <c r="E14" i="12"/>
  <c r="E6" i="12"/>
  <c r="E10" i="12"/>
  <c r="E2" i="12"/>
  <c r="E8" i="12"/>
  <c r="H23" i="9" a="1"/>
  <c r="H23" i="9" s="1"/>
  <c r="AD145" i="11" a="1"/>
  <c r="AD145" i="11" s="1"/>
  <c r="AD34" i="11" a="1"/>
  <c r="AD34" i="11" s="1"/>
  <c r="AD438" i="11" a="1"/>
  <c r="AD438" i="11" s="1"/>
  <c r="AD212" i="11" a="1"/>
  <c r="AD212" i="11" s="1"/>
  <c r="AD221" i="11" a="1"/>
  <c r="AD221" i="11" s="1"/>
  <c r="AD36" i="11" a="1"/>
  <c r="AD36" i="11" s="1"/>
  <c r="AD56" i="11" a="1"/>
  <c r="AD56" i="11" s="1"/>
  <c r="AD3" i="11" a="1"/>
  <c r="AD3" i="11" s="1"/>
  <c r="AD496" i="11" a="1"/>
  <c r="AD496" i="11" s="1"/>
  <c r="AD452" i="11" a="1"/>
  <c r="AD452" i="11" s="1"/>
  <c r="AD390" i="11" a="1"/>
  <c r="AD390" i="11" s="1"/>
  <c r="AD205" i="11" a="1"/>
  <c r="AD205" i="11" s="1"/>
  <c r="AD479" i="11" a="1"/>
  <c r="AD479" i="11" s="1"/>
  <c r="AD493" i="11" a="1"/>
  <c r="AD493" i="11" s="1"/>
  <c r="AD176" i="11" a="1"/>
  <c r="AD176" i="11" s="1"/>
  <c r="AD92" i="11" a="1"/>
  <c r="AD92" i="11" s="1"/>
  <c r="AD57" i="11" a="1"/>
  <c r="AD57" i="11" s="1"/>
  <c r="AD471" i="11" a="1"/>
  <c r="AD471" i="11" s="1"/>
  <c r="AD497" i="11" a="1"/>
  <c r="AD497" i="11" s="1"/>
  <c r="AD399" i="11" a="1"/>
  <c r="AD399" i="11" s="1"/>
  <c r="AD165" i="11" a="1"/>
  <c r="AD165" i="11" s="1"/>
  <c r="AD336" i="11" a="1"/>
  <c r="AD336" i="11" s="1"/>
  <c r="AD370" i="11" a="1"/>
  <c r="AD370" i="11" s="1"/>
  <c r="AD395" i="11" a="1"/>
  <c r="AD395" i="11" s="1"/>
  <c r="AD408" i="11" a="1"/>
  <c r="AD408" i="11" s="1"/>
  <c r="AW10" i="2"/>
  <c r="F3" i="5"/>
  <c r="AD218" i="11" a="1"/>
  <c r="AD218" i="11" s="1"/>
  <c r="P55" i="7"/>
  <c r="P54" i="7"/>
  <c r="Z78" i="7"/>
  <c r="Z77" i="7"/>
  <c r="AD4" i="11" a="1"/>
  <c r="AD4" i="11" s="1"/>
  <c r="AD172" i="11" a="1"/>
  <c r="AD172" i="11" s="1"/>
  <c r="AD287" i="11" a="1"/>
  <c r="AD287" i="11" s="1"/>
  <c r="AD378" i="11" a="1"/>
  <c r="AD378" i="11" s="1"/>
  <c r="AP26" i="7"/>
  <c r="AP25" i="7"/>
  <c r="AP20" i="7"/>
  <c r="AP37" i="7"/>
  <c r="AP35" i="7"/>
  <c r="AP22" i="7"/>
  <c r="AP23" i="7"/>
  <c r="N35" i="7"/>
  <c r="AP36" i="7"/>
  <c r="AP33" i="7"/>
  <c r="AP24" i="7"/>
  <c r="AP32" i="7"/>
  <c r="AP34" i="7"/>
  <c r="AP29" i="7"/>
  <c r="AP30" i="7"/>
  <c r="AH4" i="7"/>
  <c r="AP21" i="7"/>
  <c r="AP28" i="7"/>
  <c r="AP27" i="7"/>
  <c r="AP31" i="7"/>
  <c r="AP38" i="7"/>
  <c r="AD66" i="11" a="1"/>
  <c r="AD66" i="11" s="1"/>
  <c r="AD361" i="11" a="1"/>
  <c r="AD361" i="11" s="1"/>
  <c r="AD257" i="11" a="1"/>
  <c r="AD257" i="11" s="1"/>
  <c r="AD454" i="11" a="1"/>
  <c r="AD454" i="11" s="1"/>
  <c r="AD423" i="11" a="1"/>
  <c r="AD423" i="11" s="1"/>
  <c r="W4" i="6"/>
  <c r="B71" i="7"/>
  <c r="B70" i="7"/>
  <c r="B69" i="7"/>
  <c r="H35" i="9" a="1"/>
  <c r="H35" i="9" s="1"/>
  <c r="H25" i="9" a="1"/>
  <c r="H25" i="9" s="1"/>
  <c r="AD131" i="11" a="1"/>
  <c r="AD131" i="11" s="1"/>
  <c r="AD41" i="11" a="1"/>
  <c r="AD41" i="11" s="1"/>
  <c r="AD101" i="11" a="1"/>
  <c r="AD101" i="11" s="1"/>
  <c r="AD288" i="11" a="1"/>
  <c r="AD288" i="11" s="1"/>
  <c r="AD293" i="11" a="1"/>
  <c r="AD293" i="11" s="1"/>
  <c r="AD46" i="11" a="1"/>
  <c r="AD46" i="11" s="1"/>
  <c r="AD76" i="11" a="1"/>
  <c r="AD76" i="11" s="1"/>
  <c r="AD49" i="11" a="1"/>
  <c r="AD49" i="11" s="1"/>
  <c r="AD39" i="11" a="1"/>
  <c r="AD39" i="11" s="1"/>
  <c r="AD468" i="11" a="1"/>
  <c r="AD468" i="11" s="1"/>
  <c r="AD130" i="11" a="1"/>
  <c r="AD130" i="11" s="1"/>
  <c r="AD316" i="11" a="1"/>
  <c r="AD316" i="11" s="1"/>
  <c r="AD499" i="11" a="1"/>
  <c r="AD499" i="11" s="1"/>
  <c r="AD240" i="11" a="1"/>
  <c r="AD240" i="11" s="1"/>
  <c r="AD235" i="11" a="1"/>
  <c r="AD235" i="11" s="1"/>
  <c r="AD110" i="11" a="1"/>
  <c r="AD110" i="11" s="1"/>
  <c r="AD62" i="11" a="1"/>
  <c r="AD62" i="11" s="1"/>
  <c r="AD91" i="11" a="1"/>
  <c r="AD91" i="11" s="1"/>
  <c r="AD507" i="11" a="1"/>
  <c r="AD507" i="11" s="1"/>
  <c r="AD434" i="11" a="1"/>
  <c r="AD434" i="11" s="1"/>
  <c r="AD174" i="11" a="1"/>
  <c r="AD174" i="11" s="1"/>
  <c r="AD353" i="11" a="1"/>
  <c r="AD353" i="11" s="1"/>
  <c r="AD388" i="11" a="1"/>
  <c r="AD388" i="11" s="1"/>
  <c r="AD405" i="11" a="1"/>
  <c r="AD405" i="11" s="1"/>
  <c r="AD421" i="11" a="1"/>
  <c r="AD421" i="11" s="1"/>
  <c r="H48" i="9" a="1"/>
  <c r="H48" i="9" s="1"/>
  <c r="AW12" i="7"/>
  <c r="H13" i="9" a="1"/>
  <c r="H13" i="9" s="1"/>
  <c r="H157" i="8"/>
  <c r="H150" i="8"/>
  <c r="H146" i="8"/>
  <c r="H167" i="8"/>
  <c r="H160" i="8"/>
  <c r="H163" i="8"/>
  <c r="H71" i="8"/>
  <c r="H154" i="8"/>
  <c r="H67" i="8"/>
  <c r="P17" i="7"/>
  <c r="P18" i="7"/>
  <c r="H153" i="8" l="1"/>
  <c r="H70" i="8"/>
  <c r="H166" i="8"/>
  <c r="BE10" i="2"/>
  <c r="Q23" i="2" s="1"/>
  <c r="G12" i="10"/>
  <c r="C96" i="10" s="1"/>
  <c r="AN107" i="2"/>
  <c r="H161" i="8"/>
  <c r="U4" i="6" a="1"/>
  <c r="U4" i="6" s="1"/>
  <c r="U7" i="6" a="1"/>
  <c r="U7" i="6" s="1"/>
  <c r="U13" i="6" a="1"/>
  <c r="U13" i="6" s="1"/>
  <c r="H69" i="8"/>
  <c r="H158" i="8"/>
  <c r="H73" i="8"/>
  <c r="H148" i="8"/>
  <c r="H169" i="8"/>
  <c r="H155" i="8"/>
  <c r="AH49" i="2"/>
  <c r="B21" i="9" a="1"/>
  <c r="B21" i="9" s="1"/>
  <c r="B19" i="9" a="1"/>
  <c r="B19" i="9" s="1"/>
  <c r="B22" i="9" a="1"/>
  <c r="B22" i="9" s="1"/>
  <c r="B13" i="9" a="1"/>
  <c r="B13" i="9" s="1"/>
  <c r="B15" i="9" a="1"/>
  <c r="B15" i="9" s="1"/>
  <c r="B14" i="9" a="1"/>
  <c r="B14" i="9" s="1"/>
  <c r="B17" i="9" a="1"/>
  <c r="B17" i="9" s="1"/>
  <c r="B18" i="9" a="1"/>
  <c r="B18" i="9" s="1"/>
  <c r="AE251" i="11"/>
  <c r="L253" i="13" s="1"/>
  <c r="AE343" i="11"/>
  <c r="L345" i="13" s="1"/>
  <c r="AE364" i="11"/>
  <c r="L366" i="13" s="1"/>
  <c r="U3" i="6" a="1"/>
  <c r="U3" i="6" s="1"/>
  <c r="U12" i="6" a="1"/>
  <c r="U12" i="6" s="1"/>
  <c r="U5" i="6" a="1"/>
  <c r="U5" i="6" s="1"/>
  <c r="U8" i="6" a="1"/>
  <c r="U8" i="6" s="1"/>
  <c r="B172" i="8"/>
  <c r="U10" i="6" a="1"/>
  <c r="U10" i="6" s="1"/>
  <c r="AE310" i="11"/>
  <c r="L312" i="13" s="1"/>
  <c r="K434" i="13"/>
  <c r="AE323" i="11"/>
  <c r="L325" i="13" s="1"/>
  <c r="K104" i="13"/>
  <c r="AE285" i="11"/>
  <c r="L287" i="13" s="1"/>
  <c r="K226" i="13"/>
  <c r="AE435" i="11"/>
  <c r="L437" i="13" s="1"/>
  <c r="AE161" i="11"/>
  <c r="L163" i="13" s="1"/>
  <c r="K518" i="13"/>
  <c r="AE50" i="11"/>
  <c r="L52" i="13" s="1"/>
  <c r="AE103" i="11"/>
  <c r="L105" i="13" s="1"/>
  <c r="AE324" i="11"/>
  <c r="L326" i="13" s="1"/>
  <c r="K497" i="13"/>
  <c r="K33" i="13"/>
  <c r="AE32" i="11"/>
  <c r="L34" i="13" s="1"/>
  <c r="AE86" i="11"/>
  <c r="L88" i="13" s="1"/>
  <c r="AE446" i="11"/>
  <c r="L448" i="13" s="1"/>
  <c r="K360" i="13"/>
  <c r="AE400" i="11"/>
  <c r="L402" i="13" s="1"/>
  <c r="AE146" i="11"/>
  <c r="L148" i="13" s="1"/>
  <c r="K320" i="13"/>
  <c r="AE167" i="11"/>
  <c r="L169" i="13" s="1"/>
  <c r="J3" i="8"/>
  <c r="AJ6" i="8" s="1" a="1"/>
  <c r="AJ6" i="8" s="1"/>
  <c r="T18" i="6"/>
  <c r="U12" i="2" s="1"/>
  <c r="K10" i="13"/>
  <c r="AE379" i="11"/>
  <c r="L381" i="13" s="1"/>
  <c r="AE166" i="11"/>
  <c r="L168" i="13" s="1"/>
  <c r="AE514" i="11"/>
  <c r="L516" i="13" s="1"/>
  <c r="K175" i="13"/>
  <c r="AE23" i="11"/>
  <c r="L25" i="13" s="1"/>
  <c r="AE125" i="11"/>
  <c r="L127" i="13" s="1"/>
  <c r="AE144" i="11"/>
  <c r="L146" i="13" s="1"/>
  <c r="K479" i="13"/>
  <c r="K414" i="13"/>
  <c r="AE332" i="11"/>
  <c r="L334" i="13" s="1"/>
  <c r="K206" i="13"/>
  <c r="AE104" i="11"/>
  <c r="L106" i="13" s="1"/>
  <c r="AE260" i="11"/>
  <c r="L262" i="13" s="1"/>
  <c r="K77" i="13"/>
  <c r="AE51" i="11"/>
  <c r="L53" i="13" s="1"/>
  <c r="AE38" i="11"/>
  <c r="L40" i="13" s="1"/>
  <c r="K361" i="13"/>
  <c r="K80" i="13"/>
  <c r="K39" i="13"/>
  <c r="K265" i="13"/>
  <c r="K435" i="13"/>
  <c r="AE30" i="11"/>
  <c r="L32" i="13" s="1"/>
  <c r="AE15" i="11"/>
  <c r="L17" i="13" s="1"/>
  <c r="AE106" i="11"/>
  <c r="L108" i="13" s="1"/>
  <c r="AE241" i="11"/>
  <c r="L243" i="13" s="1"/>
  <c r="K514" i="13"/>
  <c r="AE85" i="11"/>
  <c r="L87" i="13" s="1"/>
  <c r="AE508" i="11"/>
  <c r="L510" i="13" s="1"/>
  <c r="AE321" i="11"/>
  <c r="L323" i="13" s="1"/>
  <c r="K331" i="13"/>
  <c r="AE230" i="11"/>
  <c r="L232" i="13" s="1"/>
  <c r="K231" i="13"/>
  <c r="K95" i="13"/>
  <c r="AE216" i="11"/>
  <c r="L218" i="13" s="1"/>
  <c r="AE163" i="11"/>
  <c r="L165" i="13" s="1"/>
  <c r="AE233" i="11"/>
  <c r="L235" i="13" s="1"/>
  <c r="K307" i="13"/>
  <c r="K224" i="13"/>
  <c r="K79" i="13"/>
  <c r="AE384" i="11"/>
  <c r="L386" i="13" s="1"/>
  <c r="AE184" i="11"/>
  <c r="L186" i="13" s="1"/>
  <c r="K487" i="13"/>
  <c r="K156" i="13"/>
  <c r="AE5" i="11"/>
  <c r="L7" i="13" s="1"/>
  <c r="K118" i="13"/>
  <c r="K263" i="13"/>
  <c r="AE149" i="11"/>
  <c r="L151" i="13" s="1"/>
  <c r="K128" i="13"/>
  <c r="AE393" i="11"/>
  <c r="L395" i="13" s="1"/>
  <c r="AE80" i="11"/>
  <c r="L82" i="13" s="1"/>
  <c r="K130" i="13"/>
  <c r="K192" i="13"/>
  <c r="AE472" i="11"/>
  <c r="L474" i="13" s="1"/>
  <c r="AE276" i="11"/>
  <c r="L278" i="13" s="1"/>
  <c r="AE196" i="11"/>
  <c r="L198" i="13" s="1"/>
  <c r="AE511" i="11"/>
  <c r="L513" i="13" s="1"/>
  <c r="K465" i="13"/>
  <c r="AE350" i="11"/>
  <c r="L352" i="13" s="1"/>
  <c r="AE265" i="11"/>
  <c r="L267" i="13" s="1"/>
  <c r="K14" i="13"/>
  <c r="AE248" i="11"/>
  <c r="L250" i="13" s="1"/>
  <c r="AE177" i="11"/>
  <c r="L179" i="13" s="1"/>
  <c r="AE455" i="11"/>
  <c r="L457" i="13" s="1"/>
  <c r="AE328" i="11"/>
  <c r="L330" i="13" s="1"/>
  <c r="K305" i="13"/>
  <c r="K44" i="13"/>
  <c r="AE67" i="11"/>
  <c r="L69" i="13" s="1"/>
  <c r="K478" i="13"/>
  <c r="K270" i="13"/>
  <c r="AE298" i="11"/>
  <c r="L300" i="13" s="1"/>
  <c r="AE88" i="11"/>
  <c r="L90" i="13" s="1"/>
  <c r="K246" i="13"/>
  <c r="AE313" i="11"/>
  <c r="L315" i="13" s="1"/>
  <c r="AE250" i="11"/>
  <c r="L252" i="13" s="1"/>
  <c r="AE488" i="11"/>
  <c r="L490" i="13" s="1"/>
  <c r="AE171" i="11"/>
  <c r="L173" i="13" s="1"/>
  <c r="K83" i="13"/>
  <c r="AE122" i="11"/>
  <c r="L124" i="13" s="1"/>
  <c r="AE147" i="11"/>
  <c r="L149" i="13" s="1"/>
  <c r="AE164" i="11"/>
  <c r="L166" i="13" s="1"/>
  <c r="AE129" i="11"/>
  <c r="L131" i="13" s="1"/>
  <c r="AE194" i="11"/>
  <c r="L196" i="13" s="1"/>
  <c r="AE179" i="11"/>
  <c r="L181" i="13" s="1"/>
  <c r="K412" i="13"/>
  <c r="K460" i="13"/>
  <c r="AE387" i="11"/>
  <c r="L389" i="13" s="1"/>
  <c r="AE18" i="11"/>
  <c r="L20" i="13" s="1"/>
  <c r="K464" i="13"/>
  <c r="K517" i="13"/>
  <c r="AE121" i="11"/>
  <c r="L123" i="13" s="1"/>
  <c r="K171" i="13"/>
  <c r="AE339" i="11"/>
  <c r="L341" i="13" s="1"/>
  <c r="AE437" i="11"/>
  <c r="L439" i="13" s="1"/>
  <c r="K420" i="13"/>
  <c r="K468" i="13"/>
  <c r="AE242" i="11"/>
  <c r="L244" i="13" s="1"/>
  <c r="K319" i="13"/>
  <c r="AE439" i="11"/>
  <c r="L441" i="13" s="1"/>
  <c r="AE415" i="11"/>
  <c r="L417" i="13" s="1"/>
  <c r="AE150" i="11"/>
  <c r="L152" i="13" s="1"/>
  <c r="AE156" i="11"/>
  <c r="L158" i="13" s="1"/>
  <c r="AE16" i="11"/>
  <c r="L18" i="13" s="1"/>
  <c r="AE347" i="11"/>
  <c r="L349" i="13" s="1"/>
  <c r="AE234" i="11"/>
  <c r="L236" i="13" s="1"/>
  <c r="AE168" i="11"/>
  <c r="L170" i="13" s="1"/>
  <c r="AE14" i="11"/>
  <c r="L16" i="13" s="1"/>
  <c r="AE447" i="11"/>
  <c r="L449" i="13" s="1"/>
  <c r="AE461" i="11"/>
  <c r="L463" i="13" s="1"/>
  <c r="AE22" i="11"/>
  <c r="L24" i="13" s="1"/>
  <c r="K204" i="13"/>
  <c r="AE148" i="11"/>
  <c r="L150" i="13" s="1"/>
  <c r="K443" i="13"/>
  <c r="K238" i="13"/>
  <c r="K216" i="13"/>
  <c r="AE107" i="11"/>
  <c r="L109" i="13" s="1"/>
  <c r="K189" i="13"/>
  <c r="AE273" i="11"/>
  <c r="L275" i="13" s="1"/>
  <c r="K274" i="13"/>
  <c r="AE98" i="11"/>
  <c r="L100" i="13" s="1"/>
  <c r="K428" i="13"/>
  <c r="AE178" i="11"/>
  <c r="L180" i="13" s="1"/>
  <c r="AE143" i="11"/>
  <c r="L145" i="13" s="1"/>
  <c r="K200" i="13"/>
  <c r="AE155" i="11"/>
  <c r="L157" i="13" s="1"/>
  <c r="AE469" i="11"/>
  <c r="L471" i="13" s="1"/>
  <c r="K329" i="13"/>
  <c r="K258" i="13"/>
  <c r="AE345" i="11"/>
  <c r="L347" i="13" s="1"/>
  <c r="AE280" i="11"/>
  <c r="L282" i="13" s="1"/>
  <c r="AE215" i="11"/>
  <c r="L217" i="13" s="1"/>
  <c r="AE183" i="11"/>
  <c r="L185" i="13" s="1"/>
  <c r="K248" i="13"/>
  <c r="K116" i="13"/>
  <c r="AE337" i="11"/>
  <c r="L339" i="13" s="1"/>
  <c r="U6" i="6" a="1"/>
  <c r="U6" i="6" s="1"/>
  <c r="U9" i="6" a="1"/>
  <c r="U9" i="6" s="1"/>
  <c r="U11" i="6" a="1"/>
  <c r="U11" i="6" s="1"/>
  <c r="U14" i="6" a="1"/>
  <c r="U14" i="6" s="1"/>
  <c r="U2" i="6" a="1"/>
  <c r="U2" i="6" s="1"/>
  <c r="AI17" i="7"/>
  <c r="AI29" i="7" s="1"/>
  <c r="AT3" i="7"/>
  <c r="AQ12" i="7" s="1"/>
  <c r="BI53" i="7"/>
  <c r="P28" i="7" s="1"/>
  <c r="AE70" i="11"/>
  <c r="L72" i="13" s="1"/>
  <c r="K72" i="13"/>
  <c r="AE407" i="11"/>
  <c r="L409" i="13" s="1"/>
  <c r="K409" i="13"/>
  <c r="K115" i="13"/>
  <c r="AE113" i="11"/>
  <c r="L115" i="13" s="1"/>
  <c r="H139" i="8"/>
  <c r="H56" i="8"/>
  <c r="H119" i="8"/>
  <c r="H116" i="8"/>
  <c r="H123" i="8"/>
  <c r="H120" i="8"/>
  <c r="H64" i="8"/>
  <c r="H124" i="8"/>
  <c r="H140" i="8"/>
  <c r="H115" i="8"/>
  <c r="H17" i="8"/>
  <c r="H63" i="8"/>
  <c r="H18" i="8"/>
  <c r="H19" i="8"/>
  <c r="AE423" i="11"/>
  <c r="L425" i="13" s="1"/>
  <c r="K425" i="13"/>
  <c r="K229" i="13"/>
  <c r="AE227" i="11"/>
  <c r="L229" i="13" s="1"/>
  <c r="K507" i="13"/>
  <c r="AE505" i="11"/>
  <c r="L507" i="13" s="1"/>
  <c r="AE209" i="11"/>
  <c r="L211" i="13" s="1"/>
  <c r="K211" i="13"/>
  <c r="K456" i="13"/>
  <c r="AE454" i="11"/>
  <c r="L456" i="13" s="1"/>
  <c r="K245" i="13"/>
  <c r="AE243" i="11"/>
  <c r="L245" i="13" s="1"/>
  <c r="K133" i="13"/>
  <c r="AE131" i="11"/>
  <c r="L133" i="13" s="1"/>
  <c r="AE188" i="11"/>
  <c r="L190" i="13" s="1"/>
  <c r="K190" i="13"/>
  <c r="K256" i="13"/>
  <c r="AE254" i="11"/>
  <c r="L256" i="13" s="1"/>
  <c r="K511" i="13"/>
  <c r="AE509" i="11"/>
  <c r="L511" i="13" s="1"/>
  <c r="K159" i="13"/>
  <c r="AE157" i="11"/>
  <c r="L159" i="13" s="1"/>
  <c r="AE334" i="11"/>
  <c r="L336" i="13" s="1"/>
  <c r="K336" i="13"/>
  <c r="K365" i="13"/>
  <c r="AE363" i="11"/>
  <c r="L365" i="13" s="1"/>
  <c r="K42" i="13"/>
  <c r="AE40" i="11"/>
  <c r="L42" i="13" s="1"/>
  <c r="AE478" i="11"/>
  <c r="L480" i="13" s="1"/>
  <c r="K480" i="13"/>
  <c r="K348" i="13"/>
  <c r="AE346" i="11"/>
  <c r="L348" i="13" s="1"/>
  <c r="K508" i="13"/>
  <c r="AE506" i="11"/>
  <c r="L508" i="13" s="1"/>
  <c r="AE62" i="11"/>
  <c r="L64" i="13" s="1"/>
  <c r="K64" i="13"/>
  <c r="K293" i="13"/>
  <c r="AE291" i="11"/>
  <c r="L293" i="13" s="1"/>
  <c r="K141" i="13"/>
  <c r="AE139" i="11"/>
  <c r="L141" i="13" s="1"/>
  <c r="K452" i="13"/>
  <c r="AE450" i="11"/>
  <c r="L452" i="13" s="1"/>
  <c r="K47" i="13"/>
  <c r="AE45" i="11"/>
  <c r="L47" i="13" s="1"/>
  <c r="K66" i="13"/>
  <c r="AE64" i="11"/>
  <c r="L66" i="13" s="1"/>
  <c r="K122" i="13"/>
  <c r="AE120" i="11"/>
  <c r="L122" i="13" s="1"/>
  <c r="K247" i="13"/>
  <c r="AE245" i="11"/>
  <c r="L247" i="13" s="1"/>
  <c r="K121" i="13"/>
  <c r="AE119" i="11"/>
  <c r="L121" i="13" s="1"/>
  <c r="AE493" i="11"/>
  <c r="L495" i="13" s="1"/>
  <c r="K495" i="13"/>
  <c r="K21" i="13"/>
  <c r="AE19" i="11"/>
  <c r="L21" i="13" s="1"/>
  <c r="K264" i="13"/>
  <c r="AE262" i="11"/>
  <c r="L264" i="13" s="1"/>
  <c r="K387" i="13"/>
  <c r="AE385" i="11"/>
  <c r="L387" i="13" s="1"/>
  <c r="K353" i="13"/>
  <c r="AE351" i="11"/>
  <c r="L353" i="13" s="1"/>
  <c r="K376" i="13"/>
  <c r="AE374" i="11"/>
  <c r="L376" i="13" s="1"/>
  <c r="K27" i="13"/>
  <c r="AE25" i="11"/>
  <c r="L27" i="13" s="1"/>
  <c r="K343" i="13"/>
  <c r="AE341" i="11"/>
  <c r="L343" i="13" s="1"/>
  <c r="K288" i="13"/>
  <c r="AE286" i="11"/>
  <c r="L288" i="13" s="1"/>
  <c r="AE213" i="11"/>
  <c r="L215" i="13" s="1"/>
  <c r="K215" i="13"/>
  <c r="B16" i="9" a="1"/>
  <c r="B16" i="9" s="1"/>
  <c r="K283" i="13"/>
  <c r="AE281" i="11"/>
  <c r="L283" i="13" s="1"/>
  <c r="K125" i="13"/>
  <c r="AE123" i="11"/>
  <c r="L125" i="13" s="1"/>
  <c r="K257" i="13"/>
  <c r="AE255" i="11"/>
  <c r="L257" i="13" s="1"/>
  <c r="AE381" i="11"/>
  <c r="L383" i="13" s="1"/>
  <c r="K383" i="13"/>
  <c r="K261" i="13"/>
  <c r="AE259" i="11"/>
  <c r="L261" i="13" s="1"/>
  <c r="K230" i="13"/>
  <c r="AE228" i="11"/>
  <c r="L230" i="13" s="1"/>
  <c r="K242" i="13"/>
  <c r="AE240" i="11"/>
  <c r="L242" i="13" s="1"/>
  <c r="K6" i="13"/>
  <c r="AE4" i="11"/>
  <c r="L6" i="13" s="1"/>
  <c r="K481" i="13"/>
  <c r="AE479" i="11"/>
  <c r="L481" i="13" s="1"/>
  <c r="AE498" i="11"/>
  <c r="L500" i="13" s="1"/>
  <c r="K500" i="13"/>
  <c r="AE117" i="11"/>
  <c r="L119" i="13" s="1"/>
  <c r="K119" i="13"/>
  <c r="K99" i="13"/>
  <c r="AE97" i="11"/>
  <c r="L99" i="13" s="1"/>
  <c r="AE237" i="11"/>
  <c r="L239" i="13" s="1"/>
  <c r="K239" i="13"/>
  <c r="K322" i="13"/>
  <c r="AE320" i="11"/>
  <c r="L322" i="13" s="1"/>
  <c r="AE369" i="11"/>
  <c r="L371" i="13" s="1"/>
  <c r="K371" i="13"/>
  <c r="K46" i="13"/>
  <c r="AE44" i="11"/>
  <c r="L46" i="13" s="1"/>
  <c r="B20" i="9" a="1"/>
  <c r="B20" i="9" s="1"/>
  <c r="K219" i="13"/>
  <c r="AE217" i="11"/>
  <c r="L219" i="13" s="1"/>
  <c r="K111" i="13"/>
  <c r="AE109" i="11"/>
  <c r="L111" i="13" s="1"/>
  <c r="K60" i="13"/>
  <c r="AE58" i="11"/>
  <c r="L60" i="13" s="1"/>
  <c r="K266" i="13"/>
  <c r="AE264" i="11"/>
  <c r="L266" i="13" s="1"/>
  <c r="K354" i="13"/>
  <c r="AE352" i="11"/>
  <c r="L354" i="13" s="1"/>
  <c r="K62" i="13"/>
  <c r="AE60" i="11"/>
  <c r="L62" i="13" s="1"/>
  <c r="K407" i="13"/>
  <c r="AE405" i="11"/>
  <c r="L407" i="13" s="1"/>
  <c r="AE473" i="11"/>
  <c r="L475" i="13" s="1"/>
  <c r="K475" i="13"/>
  <c r="AE271" i="11"/>
  <c r="L273" i="13" s="1"/>
  <c r="K273" i="13"/>
  <c r="K221" i="13"/>
  <c r="AE219" i="11"/>
  <c r="L221" i="13" s="1"/>
  <c r="K36" i="13"/>
  <c r="AE34" i="11"/>
  <c r="L36" i="13" s="1"/>
  <c r="AE481" i="11"/>
  <c r="L483" i="13" s="1"/>
  <c r="K483" i="13"/>
  <c r="K197" i="13"/>
  <c r="AE195" i="11"/>
  <c r="L197" i="13" s="1"/>
  <c r="K193" i="13"/>
  <c r="AE191" i="11"/>
  <c r="L193" i="13" s="1"/>
  <c r="K43" i="13"/>
  <c r="AE41" i="11"/>
  <c r="L43" i="13" s="1"/>
  <c r="AE460" i="11"/>
  <c r="L462" i="13" s="1"/>
  <c r="K462" i="13"/>
  <c r="AE197" i="11"/>
  <c r="L199" i="13" s="1"/>
  <c r="K199" i="13"/>
  <c r="AE371" i="11"/>
  <c r="L373" i="13" s="1"/>
  <c r="K373" i="13"/>
  <c r="K176" i="13"/>
  <c r="AE174" i="11"/>
  <c r="L176" i="13" s="1"/>
  <c r="AE247" i="11"/>
  <c r="L249" i="13" s="1"/>
  <c r="K249" i="13"/>
  <c r="K302" i="13"/>
  <c r="AE300" i="11"/>
  <c r="L302" i="13" s="1"/>
  <c r="K291" i="13"/>
  <c r="AE289" i="11"/>
  <c r="L291" i="13" s="1"/>
  <c r="K327" i="13"/>
  <c r="AE325" i="11"/>
  <c r="L327" i="13" s="1"/>
  <c r="K153" i="13"/>
  <c r="AE151" i="11"/>
  <c r="L153" i="13" s="1"/>
  <c r="H105" i="8"/>
  <c r="H127" i="8"/>
  <c r="H108" i="8"/>
  <c r="H95" i="8"/>
  <c r="H131" i="8"/>
  <c r="H135" i="8"/>
  <c r="H101" i="8"/>
  <c r="H82" i="8"/>
  <c r="H89" i="8"/>
  <c r="H98" i="8"/>
  <c r="H92" i="8"/>
  <c r="H86" i="8"/>
  <c r="H112" i="8"/>
  <c r="H171" i="8"/>
  <c r="H81" i="8"/>
  <c r="H80" i="8"/>
  <c r="K509" i="13"/>
  <c r="AE507" i="11"/>
  <c r="L509" i="13" s="1"/>
  <c r="K382" i="13"/>
  <c r="AE380" i="11"/>
  <c r="L382" i="13" s="1"/>
  <c r="BD110" i="7"/>
  <c r="BC97" i="7"/>
  <c r="BE95" i="7" s="1"/>
  <c r="BC110" i="7"/>
  <c r="BE108" i="7" s="1"/>
  <c r="BD100" i="7"/>
  <c r="BC105" i="7"/>
  <c r="BE103" i="7" s="1"/>
  <c r="BC88" i="7"/>
  <c r="BE86" i="7" s="1"/>
  <c r="BC104" i="7"/>
  <c r="BE102" i="7" s="1"/>
  <c r="BC100" i="7"/>
  <c r="BE98" i="7" s="1"/>
  <c r="BD109" i="7"/>
  <c r="BD105" i="7"/>
  <c r="BD101" i="7"/>
  <c r="BD97" i="7"/>
  <c r="BC93" i="7"/>
  <c r="BE91" i="7" s="1"/>
  <c r="BD103" i="7"/>
  <c r="BD99" i="7"/>
  <c r="BC102" i="7"/>
  <c r="BE100" i="7" s="1"/>
  <c r="BD106" i="7"/>
  <c r="BD92" i="7"/>
  <c r="BC91" i="7"/>
  <c r="BE89" i="7" s="1"/>
  <c r="BD95" i="7"/>
  <c r="BC95" i="7"/>
  <c r="BE93" i="7" s="1"/>
  <c r="BD90" i="7"/>
  <c r="BC90" i="7"/>
  <c r="BE88" i="7" s="1"/>
  <c r="BD108" i="7"/>
  <c r="BC89" i="7"/>
  <c r="BE87" i="7" s="1"/>
  <c r="BC108" i="7"/>
  <c r="BE106" i="7" s="1"/>
  <c r="BD94" i="7"/>
  <c r="BC101" i="7"/>
  <c r="BE99" i="7" s="1"/>
  <c r="BC94" i="7"/>
  <c r="BE92" i="7" s="1"/>
  <c r="BD88" i="7"/>
  <c r="BD107" i="7"/>
  <c r="BD102" i="7"/>
  <c r="BD89" i="7"/>
  <c r="BC103" i="7"/>
  <c r="BE101" i="7" s="1"/>
  <c r="BC92" i="7"/>
  <c r="BE90" i="7" s="1"/>
  <c r="BC99" i="7"/>
  <c r="BE97" i="7" s="1"/>
  <c r="BC98" i="7"/>
  <c r="BE96" i="7" s="1"/>
  <c r="BC107" i="7"/>
  <c r="BE105" i="7" s="1"/>
  <c r="BC106" i="7"/>
  <c r="BE104" i="7" s="1"/>
  <c r="BD96" i="7"/>
  <c r="BC96" i="7"/>
  <c r="BE94" i="7" s="1"/>
  <c r="BD93" i="7"/>
  <c r="BD104" i="7"/>
  <c r="BD91" i="7"/>
  <c r="BC109" i="7"/>
  <c r="BE107" i="7" s="1"/>
  <c r="BD98" i="7"/>
  <c r="K489" i="13"/>
  <c r="AE487" i="11"/>
  <c r="L489" i="13" s="1"/>
  <c r="AE258" i="11"/>
  <c r="L260" i="13" s="1"/>
  <c r="K260" i="13"/>
  <c r="K396" i="13"/>
  <c r="AE394" i="11"/>
  <c r="L396" i="13" s="1"/>
  <c r="K333" i="13"/>
  <c r="AE331" i="11"/>
  <c r="L333" i="13" s="1"/>
  <c r="AE489" i="11"/>
  <c r="L491" i="13" s="1"/>
  <c r="K491" i="13"/>
  <c r="AE133" i="11"/>
  <c r="L135" i="13" s="1"/>
  <c r="K135" i="13"/>
  <c r="K85" i="13"/>
  <c r="AE83" i="11"/>
  <c r="L85" i="13" s="1"/>
  <c r="AE274" i="11"/>
  <c r="L276" i="13" s="1"/>
  <c r="K276" i="13"/>
  <c r="K178" i="13"/>
  <c r="AE176" i="11"/>
  <c r="L178" i="13" s="1"/>
  <c r="K45" i="13"/>
  <c r="AE43" i="11"/>
  <c r="L45" i="13" s="1"/>
  <c r="AE277" i="11"/>
  <c r="L279" i="13" s="1"/>
  <c r="K279" i="13"/>
  <c r="K444" i="13"/>
  <c r="AE442" i="11"/>
  <c r="L444" i="13" s="1"/>
  <c r="K459" i="13"/>
  <c r="AE457" i="11"/>
  <c r="L459" i="13" s="1"/>
  <c r="K310" i="13"/>
  <c r="AE308" i="11"/>
  <c r="L310" i="13" s="1"/>
  <c r="K512" i="13"/>
  <c r="AE510" i="11"/>
  <c r="L512" i="13" s="1"/>
  <c r="K92" i="13"/>
  <c r="AE90" i="11"/>
  <c r="L92" i="13" s="1"/>
  <c r="AE448" i="11"/>
  <c r="L450" i="13" s="1"/>
  <c r="K450" i="13"/>
  <c r="K134" i="13"/>
  <c r="AE132" i="11"/>
  <c r="L134" i="13" s="1"/>
  <c r="K63" i="13"/>
  <c r="AE61" i="11"/>
  <c r="L63" i="13" s="1"/>
  <c r="K81" i="13"/>
  <c r="AE79" i="11"/>
  <c r="L81" i="13" s="1"/>
  <c r="K321" i="13"/>
  <c r="AE319" i="11"/>
  <c r="L321" i="13" s="1"/>
  <c r="AE301" i="11"/>
  <c r="L303" i="13" s="1"/>
  <c r="K303" i="13"/>
  <c r="K377" i="13"/>
  <c r="AE375" i="11"/>
  <c r="L377" i="13" s="1"/>
  <c r="K240" i="13"/>
  <c r="AE238" i="11"/>
  <c r="L240" i="13" s="1"/>
  <c r="K294" i="13"/>
  <c r="AE292" i="11"/>
  <c r="L294" i="13" s="1"/>
  <c r="K132" i="13"/>
  <c r="AE130" i="11"/>
  <c r="L132" i="13" s="1"/>
  <c r="K454" i="13"/>
  <c r="AE452" i="11"/>
  <c r="L454" i="13" s="1"/>
  <c r="K328" i="13"/>
  <c r="AE326" i="11"/>
  <c r="L328" i="13" s="1"/>
  <c r="K504" i="13"/>
  <c r="AE502" i="11"/>
  <c r="L504" i="13" s="1"/>
  <c r="K56" i="13"/>
  <c r="AE54" i="11"/>
  <c r="L56" i="13" s="1"/>
  <c r="K493" i="13"/>
  <c r="AE491" i="11"/>
  <c r="L493" i="13" s="1"/>
  <c r="AE486" i="11"/>
  <c r="L488" i="13" s="1"/>
  <c r="K488" i="13"/>
  <c r="AE403" i="11"/>
  <c r="L405" i="13" s="1"/>
  <c r="K405" i="13"/>
  <c r="K96" i="13"/>
  <c r="AE94" i="11"/>
  <c r="L96" i="13" s="1"/>
  <c r="AE504" i="11"/>
  <c r="L506" i="13" s="1"/>
  <c r="K506" i="13"/>
  <c r="K23" i="13"/>
  <c r="AE21" i="11"/>
  <c r="L23" i="13" s="1"/>
  <c r="K203" i="13"/>
  <c r="AE201" i="11"/>
  <c r="L203" i="13" s="1"/>
  <c r="AE203" i="11"/>
  <c r="L205" i="13" s="1"/>
  <c r="K205" i="13"/>
  <c r="K97" i="13"/>
  <c r="AE95" i="11"/>
  <c r="L97" i="13" s="1"/>
  <c r="BD132" i="7"/>
  <c r="BD133" i="7"/>
  <c r="BD129" i="7"/>
  <c r="BD130" i="7"/>
  <c r="BD126" i="7"/>
  <c r="BD127" i="7"/>
  <c r="BD125" i="7"/>
  <c r="BD128" i="7"/>
  <c r="BD124" i="7"/>
  <c r="BD123" i="7"/>
  <c r="BD131" i="7"/>
  <c r="K161" i="13"/>
  <c r="AE159" i="11"/>
  <c r="L161" i="13" s="1"/>
  <c r="K188" i="13"/>
  <c r="AE186" i="11"/>
  <c r="L188" i="13" s="1"/>
  <c r="K84" i="13"/>
  <c r="AE82" i="11"/>
  <c r="L84" i="13" s="1"/>
  <c r="K496" i="13"/>
  <c r="AE494" i="11"/>
  <c r="L496" i="13" s="1"/>
  <c r="K31" i="13"/>
  <c r="AE29" i="11"/>
  <c r="L31" i="13" s="1"/>
  <c r="K447" i="13"/>
  <c r="AE445" i="11"/>
  <c r="L447" i="13" s="1"/>
  <c r="K297" i="13"/>
  <c r="AE295" i="11"/>
  <c r="L297" i="13" s="1"/>
  <c r="K19" i="13"/>
  <c r="AE17" i="11"/>
  <c r="L19" i="13" s="1"/>
  <c r="K268" i="13"/>
  <c r="AE266" i="11"/>
  <c r="L268" i="13" s="1"/>
  <c r="K357" i="13"/>
  <c r="AE355" i="11"/>
  <c r="L357" i="13" s="1"/>
  <c r="K22" i="13"/>
  <c r="AE20" i="11"/>
  <c r="L22" i="13" s="1"/>
  <c r="AE314" i="11"/>
  <c r="L316" i="13" s="1"/>
  <c r="K316" i="13"/>
  <c r="K50" i="13"/>
  <c r="AE48" i="11"/>
  <c r="L50" i="13" s="1"/>
  <c r="AE451" i="11"/>
  <c r="L453" i="13" s="1"/>
  <c r="K453" i="13"/>
  <c r="K237" i="13"/>
  <c r="AE235" i="11"/>
  <c r="L237" i="13" s="1"/>
  <c r="AE513" i="11"/>
  <c r="L515" i="13" s="1"/>
  <c r="K515" i="13"/>
  <c r="Y11" i="6"/>
  <c r="V11" i="6"/>
  <c r="W11" i="6" s="1"/>
  <c r="Z7" i="6" s="1"/>
  <c r="K304" i="13"/>
  <c r="AE302" i="11"/>
  <c r="L304" i="13" s="1"/>
  <c r="K498" i="13"/>
  <c r="AE496" i="11"/>
  <c r="L498" i="13" s="1"/>
  <c r="K101" i="13"/>
  <c r="AE99" i="11"/>
  <c r="L101" i="13" s="1"/>
  <c r="AE24" i="11"/>
  <c r="L26" i="13" s="1"/>
  <c r="K26" i="13"/>
  <c r="AE388" i="11"/>
  <c r="L390" i="13" s="1"/>
  <c r="K390" i="13"/>
  <c r="K4" i="13"/>
  <c r="AE2" i="11"/>
  <c r="L4" i="13" s="1"/>
  <c r="K299" i="13"/>
  <c r="AE297" i="11"/>
  <c r="L299" i="13" s="1"/>
  <c r="AE413" i="11"/>
  <c r="L415" i="13" s="1"/>
  <c r="K415" i="13"/>
  <c r="AH23" i="7" a="1"/>
  <c r="AH23" i="7" s="1"/>
  <c r="AH25" i="7" a="1"/>
  <c r="AH25" i="7" s="1"/>
  <c r="AH27" i="7" a="1"/>
  <c r="AH27" i="7" s="1"/>
  <c r="AH28" i="7" a="1"/>
  <c r="AH28" i="7" s="1"/>
  <c r="AH21" i="7" a="1"/>
  <c r="AH21" i="7" s="1"/>
  <c r="AH20" i="7" a="1"/>
  <c r="AH20" i="7" s="1"/>
  <c r="AH24" i="7" a="1"/>
  <c r="AH24" i="7" s="1"/>
  <c r="AH19" i="7" a="1"/>
  <c r="AH19" i="7" s="1"/>
  <c r="AH26" i="7" a="1"/>
  <c r="AH26" i="7" s="1"/>
  <c r="AH17" i="7" a="1"/>
  <c r="AH17" i="7" s="1"/>
  <c r="AH22" i="7" a="1"/>
  <c r="AH22" i="7" s="1"/>
  <c r="AH18" i="7" a="1"/>
  <c r="AH18" i="7" s="1"/>
  <c r="AU16" i="7"/>
  <c r="AX16" i="7"/>
  <c r="AV15" i="7"/>
  <c r="AW15" i="7"/>
  <c r="K147" i="13"/>
  <c r="AE145" i="11"/>
  <c r="L147" i="13" s="1"/>
  <c r="K482" i="13"/>
  <c r="AE480" i="11"/>
  <c r="L482" i="13" s="1"/>
  <c r="K13" i="13"/>
  <c r="AE11" i="11"/>
  <c r="L13" i="13" s="1"/>
  <c r="AE449" i="11"/>
  <c r="L451" i="13" s="1"/>
  <c r="K451" i="13"/>
  <c r="AE399" i="11"/>
  <c r="L401" i="13" s="1"/>
  <c r="K401" i="13"/>
  <c r="K65" i="13"/>
  <c r="AE63" i="11"/>
  <c r="L65" i="13" s="1"/>
  <c r="AE220" i="11"/>
  <c r="L222" i="13" s="1"/>
  <c r="K222" i="13"/>
  <c r="K363" i="13"/>
  <c r="AE361" i="11"/>
  <c r="L363" i="13" s="1"/>
  <c r="K139" i="13"/>
  <c r="AE137" i="11"/>
  <c r="L139" i="13" s="1"/>
  <c r="K301" i="13"/>
  <c r="AE299" i="11"/>
  <c r="L301" i="13" s="1"/>
  <c r="K194" i="13"/>
  <c r="AE192" i="11"/>
  <c r="L194" i="13" s="1"/>
  <c r="AE100" i="11"/>
  <c r="L102" i="13" s="1"/>
  <c r="K102" i="13"/>
  <c r="K385" i="13"/>
  <c r="AE383" i="11"/>
  <c r="L385" i="13" s="1"/>
  <c r="K110" i="13"/>
  <c r="AE108" i="11"/>
  <c r="L110" i="13" s="1"/>
  <c r="K208" i="13"/>
  <c r="AE206" i="11"/>
  <c r="L208" i="13" s="1"/>
  <c r="AE189" i="11"/>
  <c r="L191" i="13" s="1"/>
  <c r="K191" i="13"/>
  <c r="AE484" i="11"/>
  <c r="L486" i="13" s="1"/>
  <c r="K486" i="13"/>
  <c r="AE501" i="11"/>
  <c r="L503" i="13" s="1"/>
  <c r="K503" i="13"/>
  <c r="K210" i="13"/>
  <c r="AE208" i="11"/>
  <c r="L210" i="13" s="1"/>
  <c r="AE218" i="11"/>
  <c r="L220" i="13" s="1"/>
  <c r="K220" i="13"/>
  <c r="K384" i="13"/>
  <c r="AE382" i="11"/>
  <c r="L384" i="13" s="1"/>
  <c r="K502" i="13"/>
  <c r="AE500" i="11"/>
  <c r="L502" i="13" s="1"/>
  <c r="K86" i="13"/>
  <c r="AE84" i="11"/>
  <c r="L86" i="13" s="1"/>
  <c r="K317" i="13"/>
  <c r="AE315" i="11"/>
  <c r="L317" i="13" s="1"/>
  <c r="K51" i="13"/>
  <c r="AE49" i="11"/>
  <c r="L51" i="13" s="1"/>
  <c r="K58" i="13"/>
  <c r="AE56" i="11"/>
  <c r="L58" i="13" s="1"/>
  <c r="K75" i="13"/>
  <c r="AE73" i="11"/>
  <c r="L75" i="13" s="1"/>
  <c r="AE357" i="11"/>
  <c r="L359" i="13" s="1"/>
  <c r="K359" i="13"/>
  <c r="AE366" i="11"/>
  <c r="L368" i="13" s="1"/>
  <c r="K368" i="13"/>
  <c r="K492" i="13"/>
  <c r="AE490" i="11"/>
  <c r="L492" i="13" s="1"/>
  <c r="AE306" i="11"/>
  <c r="L308" i="13" s="1"/>
  <c r="K308" i="13"/>
  <c r="K213" i="13"/>
  <c r="AE211" i="11"/>
  <c r="L213" i="13" s="1"/>
  <c r="K367" i="13"/>
  <c r="AE365" i="11"/>
  <c r="L367" i="13" s="1"/>
  <c r="K138" i="13"/>
  <c r="AE136" i="11"/>
  <c r="L138" i="13" s="1"/>
  <c r="K140" i="13"/>
  <c r="AE138" i="11"/>
  <c r="L140" i="13" s="1"/>
  <c r="AE22" i="7"/>
  <c r="AE307" i="11"/>
  <c r="L309" i="13" s="1"/>
  <c r="K309" i="13"/>
  <c r="K98" i="13"/>
  <c r="AE96" i="11"/>
  <c r="L98" i="13" s="1"/>
  <c r="AE249" i="11"/>
  <c r="L251" i="13" s="1"/>
  <c r="K251" i="13"/>
  <c r="K433" i="13"/>
  <c r="AE431" i="11"/>
  <c r="L433" i="13" s="1"/>
  <c r="Q26" i="2"/>
  <c r="BD4" i="7"/>
  <c r="K372" i="13"/>
  <c r="AE370" i="11"/>
  <c r="L372" i="13" s="1"/>
  <c r="AE492" i="11"/>
  <c r="L494" i="13" s="1"/>
  <c r="K494" i="13"/>
  <c r="K306" i="13"/>
  <c r="AE304" i="11"/>
  <c r="L306" i="13" s="1"/>
  <c r="AE269" i="11"/>
  <c r="L271" i="13" s="1"/>
  <c r="K271" i="13"/>
  <c r="AE404" i="11"/>
  <c r="L406" i="13" s="1"/>
  <c r="K406" i="13"/>
  <c r="K154" i="13"/>
  <c r="AE152" i="11"/>
  <c r="L154" i="13" s="1"/>
  <c r="K228" i="13"/>
  <c r="AE226" i="11"/>
  <c r="L228" i="13" s="1"/>
  <c r="Q14" i="5"/>
  <c r="K446" i="13"/>
  <c r="AE444" i="11"/>
  <c r="L446" i="13" s="1"/>
  <c r="K167" i="13"/>
  <c r="AE165" i="11"/>
  <c r="L167" i="13" s="1"/>
  <c r="K35" i="13"/>
  <c r="AE33" i="11"/>
  <c r="L35" i="13" s="1"/>
  <c r="K351" i="13"/>
  <c r="AE349" i="11"/>
  <c r="L351" i="13" s="1"/>
  <c r="K418" i="13"/>
  <c r="AE416" i="11"/>
  <c r="L418" i="13" s="1"/>
  <c r="K259" i="13"/>
  <c r="AE257" i="11"/>
  <c r="L259" i="13" s="1"/>
  <c r="K292" i="13"/>
  <c r="AE290" i="11"/>
  <c r="L292" i="13" s="1"/>
  <c r="K57" i="13"/>
  <c r="AE55" i="11"/>
  <c r="L57" i="13" s="1"/>
  <c r="AE434" i="11"/>
  <c r="L436" i="13" s="1"/>
  <c r="K436" i="13"/>
  <c r="AE398" i="11"/>
  <c r="L400" i="13" s="1"/>
  <c r="K400" i="13"/>
  <c r="K136" i="13"/>
  <c r="AE134" i="11"/>
  <c r="L136" i="13" s="1"/>
  <c r="K12" i="13"/>
  <c r="AE10" i="11"/>
  <c r="L12" i="13" s="1"/>
  <c r="AE471" i="11"/>
  <c r="L473" i="13" s="1"/>
  <c r="K473" i="13"/>
  <c r="K277" i="13"/>
  <c r="AE275" i="11"/>
  <c r="L277" i="13" s="1"/>
  <c r="AE57" i="11"/>
  <c r="L59" i="13" s="1"/>
  <c r="K59" i="13"/>
  <c r="AE348" i="11"/>
  <c r="L350" i="13" s="1"/>
  <c r="K350" i="13"/>
  <c r="AE239" i="11"/>
  <c r="L241" i="13" s="1"/>
  <c r="K241" i="13"/>
  <c r="AE378" i="11"/>
  <c r="L380" i="13" s="1"/>
  <c r="K380" i="13"/>
  <c r="K202" i="13"/>
  <c r="AE200" i="11"/>
  <c r="L202" i="13" s="1"/>
  <c r="AE322" i="11"/>
  <c r="L324" i="13" s="1"/>
  <c r="K324" i="13"/>
  <c r="K61" i="13"/>
  <c r="AE59" i="11"/>
  <c r="L61" i="13" s="1"/>
  <c r="K112" i="13"/>
  <c r="AE110" i="11"/>
  <c r="L112" i="13" s="1"/>
  <c r="K49" i="13"/>
  <c r="AE47" i="11"/>
  <c r="L49" i="13" s="1"/>
  <c r="K398" i="13"/>
  <c r="AE396" i="11"/>
  <c r="L398" i="13" s="1"/>
  <c r="K374" i="13"/>
  <c r="AE372" i="11"/>
  <c r="L374" i="13" s="1"/>
  <c r="K120" i="13"/>
  <c r="AE118" i="11"/>
  <c r="L120" i="13" s="1"/>
  <c r="K362" i="13"/>
  <c r="AE360" i="11"/>
  <c r="L362" i="13" s="1"/>
  <c r="AL57" i="7" a="1"/>
  <c r="AL57" i="7" s="1"/>
  <c r="AL44" i="7" a="1"/>
  <c r="AL44" i="7" s="1"/>
  <c r="AL54" i="7" a="1"/>
  <c r="AL54" i="7" s="1"/>
  <c r="AL49" i="7" a="1"/>
  <c r="AL49" i="7" s="1"/>
  <c r="AL41" i="7" a="1"/>
  <c r="AL41" i="7" s="1"/>
  <c r="AL48" i="7" a="1"/>
  <c r="AL48" i="7" s="1"/>
  <c r="AL58" i="7" a="1"/>
  <c r="AL58" i="7" s="1"/>
  <c r="AL55" i="7" a="1"/>
  <c r="AL55" i="7" s="1"/>
  <c r="AL53" i="7" a="1"/>
  <c r="AL53" i="7" s="1"/>
  <c r="AL52" i="7" a="1"/>
  <c r="AL52" i="7" s="1"/>
  <c r="AL47" i="7" a="1"/>
  <c r="AL47" i="7" s="1"/>
  <c r="AL56" i="7" a="1"/>
  <c r="AL56" i="7" s="1"/>
  <c r="AL51" i="7" a="1"/>
  <c r="AL51" i="7" s="1"/>
  <c r="AL50" i="7" a="1"/>
  <c r="AL50" i="7" s="1"/>
  <c r="AL46" i="7" a="1"/>
  <c r="AL46" i="7" s="1"/>
  <c r="AL45" i="7" a="1"/>
  <c r="AL45" i="7" s="1"/>
  <c r="AL43" i="7" a="1"/>
  <c r="AL43" i="7" s="1"/>
  <c r="AL42" i="7" a="1"/>
  <c r="AL42" i="7" s="1"/>
  <c r="W10" i="6"/>
  <c r="K501" i="13"/>
  <c r="AE499" i="11"/>
  <c r="L501" i="13" s="1"/>
  <c r="K89" i="13"/>
  <c r="AE87" i="11"/>
  <c r="L89" i="13" s="1"/>
  <c r="AE181" i="11"/>
  <c r="L183" i="13" s="1"/>
  <c r="K183" i="13"/>
  <c r="K358" i="13"/>
  <c r="AE356" i="11"/>
  <c r="L358" i="13" s="1"/>
  <c r="K318" i="13"/>
  <c r="AE316" i="11"/>
  <c r="L318" i="13" s="1"/>
  <c r="AE422" i="11"/>
  <c r="L424" i="13" s="1"/>
  <c r="K424" i="13"/>
  <c r="AE294" i="11"/>
  <c r="L296" i="13" s="1"/>
  <c r="K296" i="13"/>
  <c r="K15" i="13"/>
  <c r="AE13" i="11"/>
  <c r="L15" i="13" s="1"/>
  <c r="K280" i="13"/>
  <c r="AE278" i="11"/>
  <c r="L280" i="13" s="1"/>
  <c r="K5" i="13"/>
  <c r="AE3" i="11"/>
  <c r="L5" i="13" s="1"/>
  <c r="K227" i="13"/>
  <c r="AE225" i="11"/>
  <c r="L227" i="13" s="1"/>
  <c r="AE333" i="11"/>
  <c r="L335" i="13" s="1"/>
  <c r="K335" i="13"/>
  <c r="K477" i="13"/>
  <c r="AE475" i="11"/>
  <c r="L477" i="13" s="1"/>
  <c r="K78" i="13"/>
  <c r="AE76" i="11"/>
  <c r="L78" i="13" s="1"/>
  <c r="K38" i="13"/>
  <c r="AE36" i="11"/>
  <c r="L38" i="13" s="1"/>
  <c r="K378" i="13"/>
  <c r="AE376" i="11"/>
  <c r="L378" i="13" s="1"/>
  <c r="AE456" i="11"/>
  <c r="L458" i="13" s="1"/>
  <c r="K458" i="13"/>
  <c r="AE170" i="11"/>
  <c r="L172" i="13" s="1"/>
  <c r="K172" i="13"/>
  <c r="K416" i="13"/>
  <c r="AE414" i="11"/>
  <c r="L416" i="13" s="1"/>
  <c r="AE503" i="11"/>
  <c r="L505" i="13" s="1"/>
  <c r="K505" i="13"/>
  <c r="AE428" i="11"/>
  <c r="L430" i="13" s="1"/>
  <c r="K430" i="13"/>
  <c r="H143" i="8"/>
  <c r="AE424" i="11"/>
  <c r="L426" i="13" s="1"/>
  <c r="K426" i="13"/>
  <c r="K369" i="13"/>
  <c r="AE367" i="11"/>
  <c r="L369" i="13" s="1"/>
  <c r="K144" i="13"/>
  <c r="AE142" i="11"/>
  <c r="L144" i="13" s="1"/>
  <c r="K9" i="13"/>
  <c r="AE7" i="11"/>
  <c r="L9" i="13" s="1"/>
  <c r="K404" i="13"/>
  <c r="AE402" i="11"/>
  <c r="L404" i="13" s="1"/>
  <c r="K209" i="13"/>
  <c r="AE207" i="11"/>
  <c r="L209" i="13" s="1"/>
  <c r="K177" i="13"/>
  <c r="AE175" i="11"/>
  <c r="L177" i="13" s="1"/>
  <c r="K113" i="13"/>
  <c r="AE111" i="11"/>
  <c r="L113" i="13" s="1"/>
  <c r="B31" i="8"/>
  <c r="B27" i="8"/>
  <c r="B142" i="8"/>
  <c r="B122" i="8"/>
  <c r="B70" i="8"/>
  <c r="B62" i="8"/>
  <c r="B138" i="8"/>
  <c r="B114" i="8"/>
  <c r="B111" i="8"/>
  <c r="B104" i="8"/>
  <c r="B126" i="8"/>
  <c r="B52" i="8"/>
  <c r="B39" i="8"/>
  <c r="B153" i="8"/>
  <c r="B91" i="8"/>
  <c r="B66" i="8"/>
  <c r="B134" i="8"/>
  <c r="B130" i="8"/>
  <c r="B97" i="8"/>
  <c r="B159" i="8"/>
  <c r="B107" i="8"/>
  <c r="B85" i="8"/>
  <c r="B162" i="8"/>
  <c r="H174" i="8"/>
  <c r="B149" i="8"/>
  <c r="B100" i="8"/>
  <c r="B118" i="8"/>
  <c r="B94" i="8"/>
  <c r="B81" i="8"/>
  <c r="B35" i="8"/>
  <c r="B88" i="8"/>
  <c r="B19" i="8"/>
  <c r="B14" i="8"/>
  <c r="B23" i="8"/>
  <c r="B48" i="8"/>
  <c r="B43" i="8"/>
  <c r="B74" i="8"/>
  <c r="B156" i="8"/>
  <c r="B170" i="8"/>
  <c r="B166" i="8"/>
  <c r="K440" i="13"/>
  <c r="AE438" i="11"/>
  <c r="L440" i="13" s="1"/>
  <c r="AE430" i="11"/>
  <c r="L432" i="13" s="1"/>
  <c r="K432" i="13"/>
  <c r="K103" i="13"/>
  <c r="AE101" i="11"/>
  <c r="L103" i="13" s="1"/>
  <c r="AE411" i="11"/>
  <c r="L413" i="13" s="1"/>
  <c r="K413" i="13"/>
  <c r="K8" i="13"/>
  <c r="AE6" i="11"/>
  <c r="L8" i="13" s="1"/>
  <c r="K114" i="13"/>
  <c r="AE112" i="11"/>
  <c r="L114" i="13" s="1"/>
  <c r="K225" i="13"/>
  <c r="AE223" i="11"/>
  <c r="L225" i="13" s="1"/>
  <c r="K408" i="13"/>
  <c r="AE406" i="11"/>
  <c r="L408" i="13" s="1"/>
  <c r="K155" i="13"/>
  <c r="AE153" i="11"/>
  <c r="L155" i="13" s="1"/>
  <c r="AE377" i="11"/>
  <c r="L379" i="13" s="1"/>
  <c r="K379" i="13"/>
  <c r="AE427" i="11"/>
  <c r="L429" i="13" s="1"/>
  <c r="K429" i="13"/>
  <c r="AE483" i="11"/>
  <c r="L485" i="13" s="1"/>
  <c r="K485" i="13"/>
  <c r="K67" i="13"/>
  <c r="AE65" i="11"/>
  <c r="L67" i="13" s="1"/>
  <c r="K289" i="13"/>
  <c r="AE287" i="11"/>
  <c r="L289" i="13" s="1"/>
  <c r="AE397" i="11"/>
  <c r="L399" i="13" s="1"/>
  <c r="K399" i="13"/>
  <c r="K311" i="13"/>
  <c r="AE309" i="11"/>
  <c r="L311" i="13" s="1"/>
  <c r="K126" i="13"/>
  <c r="AE124" i="11"/>
  <c r="L126" i="13" s="1"/>
  <c r="K174" i="13"/>
  <c r="AE172" i="11"/>
  <c r="L174" i="13" s="1"/>
  <c r="K187" i="13"/>
  <c r="AE185" i="11"/>
  <c r="L187" i="13" s="1"/>
  <c r="K70" i="13"/>
  <c r="AE68" i="11"/>
  <c r="L70" i="13" s="1"/>
  <c r="AU4" i="8"/>
  <c r="A53" i="10" s="1"/>
  <c r="AU3" i="8"/>
  <c r="AU2" i="8"/>
  <c r="K392" i="13"/>
  <c r="AE390" i="11"/>
  <c r="L392" i="13" s="1"/>
  <c r="K470" i="13"/>
  <c r="AE468" i="11"/>
  <c r="L470" i="13" s="1"/>
  <c r="X10" i="6"/>
  <c r="K313" i="13"/>
  <c r="AE311" i="11"/>
  <c r="L313" i="13" s="1"/>
  <c r="K129" i="13"/>
  <c r="AE127" i="11"/>
  <c r="L129" i="13" s="1"/>
  <c r="K164" i="13"/>
  <c r="AE162" i="11"/>
  <c r="L164" i="13" s="1"/>
  <c r="K393" i="13"/>
  <c r="AE391" i="11"/>
  <c r="L393" i="13" s="1"/>
  <c r="K117" i="13"/>
  <c r="AE115" i="11"/>
  <c r="L117" i="13" s="1"/>
  <c r="K48" i="13"/>
  <c r="AE46" i="11"/>
  <c r="L48" i="13" s="1"/>
  <c r="K410" i="13"/>
  <c r="AE408" i="11"/>
  <c r="L410" i="13" s="1"/>
  <c r="K223" i="13"/>
  <c r="AE221" i="11"/>
  <c r="L223" i="13" s="1"/>
  <c r="AE362" i="11"/>
  <c r="L364" i="13" s="1"/>
  <c r="K364" i="13"/>
  <c r="K54" i="13"/>
  <c r="AE52" i="11"/>
  <c r="L54" i="13" s="1"/>
  <c r="AE470" i="11"/>
  <c r="L472" i="13" s="1"/>
  <c r="K472" i="13"/>
  <c r="AE436" i="11"/>
  <c r="L438" i="13" s="1"/>
  <c r="K438" i="13"/>
  <c r="K37" i="13"/>
  <c r="AE35" i="11"/>
  <c r="L37" i="13" s="1"/>
  <c r="AE344" i="11"/>
  <c r="L346" i="13" s="1"/>
  <c r="K346" i="13"/>
  <c r="K272" i="13"/>
  <c r="AE270" i="11"/>
  <c r="L272" i="13" s="1"/>
  <c r="AE330" i="11"/>
  <c r="L332" i="13" s="1"/>
  <c r="K332" i="13"/>
  <c r="K254" i="13"/>
  <c r="AE252" i="11"/>
  <c r="L254" i="13" s="1"/>
  <c r="K286" i="13"/>
  <c r="AE284" i="11"/>
  <c r="L286" i="13" s="1"/>
  <c r="K340" i="13"/>
  <c r="AE338" i="11"/>
  <c r="L340" i="13" s="1"/>
  <c r="AE474" i="11"/>
  <c r="L476" i="13" s="1"/>
  <c r="K476" i="13"/>
  <c r="BB14" i="7"/>
  <c r="AY14" i="7"/>
  <c r="BA13" i="7"/>
  <c r="AZ13" i="7"/>
  <c r="AE464" i="11"/>
  <c r="L466" i="13" s="1"/>
  <c r="K466" i="13"/>
  <c r="K71" i="13"/>
  <c r="AE69" i="11"/>
  <c r="L71" i="13" s="1"/>
  <c r="K73" i="13"/>
  <c r="AE71" i="11"/>
  <c r="L73" i="13" s="1"/>
  <c r="AE26" i="11"/>
  <c r="L28" i="13" s="1"/>
  <c r="K28" i="13"/>
  <c r="Z30" i="7"/>
  <c r="Z41" i="7"/>
  <c r="Z48" i="7"/>
  <c r="Z40" i="7"/>
  <c r="Z39" i="7"/>
  <c r="Z38" i="7"/>
  <c r="Z29" i="7"/>
  <c r="Z42" i="7"/>
  <c r="Z27" i="7"/>
  <c r="Z45" i="7"/>
  <c r="Z33" i="7"/>
  <c r="Z34" i="7"/>
  <c r="Z32" i="7"/>
  <c r="Z28" i="7"/>
  <c r="Z26" i="7"/>
  <c r="Z31" i="7"/>
  <c r="AE288" i="11"/>
  <c r="L290" i="13" s="1"/>
  <c r="K290" i="13"/>
  <c r="AE74" i="11"/>
  <c r="L76" i="13" s="1"/>
  <c r="K76" i="13"/>
  <c r="AE279" i="11"/>
  <c r="L281" i="13" s="1"/>
  <c r="K281" i="13"/>
  <c r="K195" i="13"/>
  <c r="AE193" i="11"/>
  <c r="L195" i="13" s="1"/>
  <c r="AE336" i="11"/>
  <c r="L338" i="13" s="1"/>
  <c r="K338" i="13"/>
  <c r="K467" i="13"/>
  <c r="AE465" i="11"/>
  <c r="L467" i="13" s="1"/>
  <c r="K427" i="13"/>
  <c r="AE425" i="11"/>
  <c r="L427" i="13" s="1"/>
  <c r="AE253" i="11"/>
  <c r="L255" i="13" s="1"/>
  <c r="K255" i="13"/>
  <c r="AE353" i="11"/>
  <c r="L355" i="13" s="1"/>
  <c r="K355" i="13"/>
  <c r="K370" i="13"/>
  <c r="AE368" i="11"/>
  <c r="L370" i="13" s="1"/>
  <c r="K184" i="13"/>
  <c r="AE182" i="11"/>
  <c r="L184" i="13" s="1"/>
  <c r="K269" i="13"/>
  <c r="AE267" i="11"/>
  <c r="L269" i="13" s="1"/>
  <c r="AE389" i="11"/>
  <c r="L391" i="13" s="1"/>
  <c r="K391" i="13"/>
  <c r="K55" i="13"/>
  <c r="AE53" i="11"/>
  <c r="L55" i="13" s="1"/>
  <c r="AE459" i="11"/>
  <c r="L461" i="13" s="1"/>
  <c r="K461" i="13"/>
  <c r="AE72" i="11"/>
  <c r="L74" i="13" s="1"/>
  <c r="K74" i="13"/>
  <c r="AE210" i="11"/>
  <c r="L212" i="13" s="1"/>
  <c r="K212" i="13"/>
  <c r="K499" i="13"/>
  <c r="AE497" i="11"/>
  <c r="L499" i="13" s="1"/>
  <c r="K143" i="13"/>
  <c r="AE141" i="11"/>
  <c r="L143" i="13" s="1"/>
  <c r="K284" i="13"/>
  <c r="AE282" i="11"/>
  <c r="L284" i="13" s="1"/>
  <c r="K137" i="13"/>
  <c r="AE135" i="11"/>
  <c r="L137" i="13" s="1"/>
  <c r="K68" i="13"/>
  <c r="AE66" i="11"/>
  <c r="L68" i="13" s="1"/>
  <c r="AE199" i="11"/>
  <c r="L201" i="13" s="1"/>
  <c r="K201" i="13"/>
  <c r="K93" i="13"/>
  <c r="AE91" i="11"/>
  <c r="L93" i="13" s="1"/>
  <c r="K142" i="13"/>
  <c r="AE140" i="11"/>
  <c r="L142" i="13" s="1"/>
  <c r="AE89" i="11"/>
  <c r="L91" i="13" s="1"/>
  <c r="K91" i="13"/>
  <c r="K375" i="13"/>
  <c r="AE373" i="11"/>
  <c r="L375" i="13" s="1"/>
  <c r="K94" i="13"/>
  <c r="AE92" i="11"/>
  <c r="L94" i="13" s="1"/>
  <c r="K431" i="13"/>
  <c r="AE429" i="11"/>
  <c r="L431" i="13" s="1"/>
  <c r="AE296" i="11"/>
  <c r="L298" i="13" s="1"/>
  <c r="K298" i="13"/>
  <c r="AE417" i="11"/>
  <c r="L419" i="13" s="1"/>
  <c r="K419" i="13"/>
  <c r="K162" i="13"/>
  <c r="AE160" i="11"/>
  <c r="L162" i="13" s="1"/>
  <c r="K442" i="13"/>
  <c r="AE440" i="11"/>
  <c r="L442" i="13" s="1"/>
  <c r="K207" i="13"/>
  <c r="AE205" i="11"/>
  <c r="L207" i="13" s="1"/>
  <c r="K29" i="13"/>
  <c r="AE27" i="11"/>
  <c r="L29" i="13" s="1"/>
  <c r="K107" i="13"/>
  <c r="AE105" i="11"/>
  <c r="L107" i="13" s="1"/>
  <c r="AE354" i="11"/>
  <c r="L356" i="13" s="1"/>
  <c r="K356" i="13"/>
  <c r="AE158" i="11"/>
  <c r="L160" i="13" s="1"/>
  <c r="K160" i="13"/>
  <c r="AE467" i="11"/>
  <c r="L469" i="13" s="1"/>
  <c r="K469" i="13"/>
  <c r="K11" i="13"/>
  <c r="AE9" i="11"/>
  <c r="L11" i="13" s="1"/>
  <c r="K41" i="13"/>
  <c r="AE39" i="11"/>
  <c r="L41" i="13" s="1"/>
  <c r="K182" i="13"/>
  <c r="AE180" i="11"/>
  <c r="L182" i="13" s="1"/>
  <c r="K445" i="13"/>
  <c r="AE443" i="11"/>
  <c r="L445" i="13" s="1"/>
  <c r="AE28" i="11"/>
  <c r="L30" i="13" s="1"/>
  <c r="K30" i="13"/>
  <c r="AE421" i="11"/>
  <c r="L423" i="13" s="1"/>
  <c r="K423" i="13"/>
  <c r="K295" i="13"/>
  <c r="AE293" i="11"/>
  <c r="L295" i="13" s="1"/>
  <c r="K397" i="13"/>
  <c r="AE395" i="11"/>
  <c r="L397" i="13" s="1"/>
  <c r="AE212" i="11"/>
  <c r="L214" i="13" s="1"/>
  <c r="K214" i="13"/>
  <c r="K233" i="13"/>
  <c r="AE231" i="11"/>
  <c r="L233" i="13" s="1"/>
  <c r="K455" i="13"/>
  <c r="AE453" i="11"/>
  <c r="L455" i="13" s="1"/>
  <c r="AE340" i="11"/>
  <c r="L342" i="13" s="1"/>
  <c r="K342" i="13"/>
  <c r="AE312" i="11"/>
  <c r="L314" i="13" s="1"/>
  <c r="K314" i="13"/>
  <c r="K484" i="13"/>
  <c r="AE482" i="11"/>
  <c r="L484" i="13" s="1"/>
  <c r="K388" i="13"/>
  <c r="AE386" i="11"/>
  <c r="L388" i="13" s="1"/>
  <c r="K337" i="13"/>
  <c r="AE335" i="11"/>
  <c r="L337" i="13" s="1"/>
  <c r="K234" i="13"/>
  <c r="AE232" i="11"/>
  <c r="L234" i="13" s="1"/>
  <c r="AE392" i="11"/>
  <c r="L394" i="13" s="1"/>
  <c r="K394" i="13"/>
  <c r="K421" i="13"/>
  <c r="AE419" i="11"/>
  <c r="L421" i="13" s="1"/>
  <c r="AE283" i="11"/>
  <c r="L285" i="13" s="1"/>
  <c r="K285" i="13"/>
  <c r="AE409" i="11"/>
  <c r="L411" i="13" s="1"/>
  <c r="K411" i="13"/>
  <c r="V60" i="2"/>
  <c r="K403" i="13"/>
  <c r="AE401" i="11"/>
  <c r="L403" i="13" s="1"/>
  <c r="AE342" i="11"/>
  <c r="L344" i="13" s="1"/>
  <c r="K344" i="13"/>
  <c r="K422" i="13"/>
  <c r="AE420" i="11"/>
  <c r="L422" i="13" s="1"/>
  <c r="C17" i="10" l="1"/>
  <c r="C34" i="10"/>
  <c r="C106" i="10"/>
  <c r="C2" i="10"/>
  <c r="C110" i="10"/>
  <c r="C43" i="10"/>
  <c r="C99" i="10"/>
  <c r="C49" i="10"/>
  <c r="C21" i="10"/>
  <c r="C11" i="10"/>
  <c r="C79" i="10"/>
  <c r="C80" i="10"/>
  <c r="C5" i="10"/>
  <c r="C30" i="10"/>
  <c r="C65" i="10"/>
  <c r="C93" i="10"/>
  <c r="Z107" i="2"/>
  <c r="C4" i="10"/>
  <c r="C86" i="10"/>
  <c r="C19" i="10"/>
  <c r="C95" i="10"/>
  <c r="C25" i="10"/>
  <c r="C58" i="10"/>
  <c r="C37" i="10"/>
  <c r="C59" i="10"/>
  <c r="C42" i="10"/>
  <c r="C104" i="10"/>
  <c r="C47" i="10"/>
  <c r="C63" i="10"/>
  <c r="C57" i="10"/>
  <c r="C27" i="10"/>
  <c r="C41" i="10"/>
  <c r="C22" i="10"/>
  <c r="C90" i="10"/>
  <c r="C76" i="10"/>
  <c r="C105" i="10"/>
  <c r="C45" i="10"/>
  <c r="C31" i="10"/>
  <c r="C46" i="10"/>
  <c r="C77" i="10"/>
  <c r="C83" i="10"/>
  <c r="C75" i="10"/>
  <c r="C82" i="10"/>
  <c r="C62" i="10"/>
  <c r="C101" i="10"/>
  <c r="C69" i="10"/>
  <c r="C81" i="10"/>
  <c r="C87" i="10"/>
  <c r="C100" i="10"/>
  <c r="C6" i="10"/>
  <c r="C36" i="10"/>
  <c r="C67" i="10"/>
  <c r="C53" i="10"/>
  <c r="C15" i="10"/>
  <c r="C8" i="10"/>
  <c r="C26" i="10"/>
  <c r="C23" i="10"/>
  <c r="C48" i="10"/>
  <c r="C72" i="10"/>
  <c r="C12" i="10"/>
  <c r="C60" i="10"/>
  <c r="C89" i="10"/>
  <c r="C103" i="10"/>
  <c r="C18" i="10"/>
  <c r="C85" i="10"/>
  <c r="C91" i="10"/>
  <c r="C56" i="10"/>
  <c r="C13" i="10"/>
  <c r="C9" i="10"/>
  <c r="C32" i="10"/>
  <c r="C35" i="10"/>
  <c r="C84" i="10"/>
  <c r="C88" i="10"/>
  <c r="C102" i="10"/>
  <c r="C71" i="10"/>
  <c r="C94" i="10"/>
  <c r="C111" i="10"/>
  <c r="C107" i="10"/>
  <c r="C7" i="10"/>
  <c r="C20" i="10"/>
  <c r="C108" i="10"/>
  <c r="AI35" i="7"/>
  <c r="AJ19" i="8" a="1"/>
  <c r="AJ19" i="8" s="1"/>
  <c r="C109" i="10"/>
  <c r="C28" i="10"/>
  <c r="C68" i="10"/>
  <c r="C97" i="10"/>
  <c r="C73" i="10"/>
  <c r="C66" i="10"/>
  <c r="C24" i="10"/>
  <c r="C10" i="10"/>
  <c r="C14" i="10"/>
  <c r="C40" i="10"/>
  <c r="C33" i="10"/>
  <c r="C16" i="10"/>
  <c r="C3" i="10"/>
  <c r="C54" i="10"/>
  <c r="C61" i="10"/>
  <c r="C64" i="10"/>
  <c r="C38" i="10"/>
  <c r="C98" i="10"/>
  <c r="C70" i="10"/>
  <c r="C39" i="10"/>
  <c r="C92" i="10"/>
  <c r="AI23" i="7"/>
  <c r="C55" i="10"/>
  <c r="C44" i="10"/>
  <c r="C29" i="10"/>
  <c r="AE19" i="7"/>
  <c r="AC21" i="7" s="1"/>
  <c r="AI34" i="7"/>
  <c r="AI18" i="7"/>
  <c r="AI21" i="7"/>
  <c r="AI22" i="7"/>
  <c r="AI32" i="7"/>
  <c r="Z82" i="2"/>
  <c r="AS7" i="8"/>
  <c r="AR7" i="8" s="1"/>
  <c r="AC42" i="2" s="1"/>
  <c r="AT12" i="7"/>
  <c r="AJ21" i="8" a="1"/>
  <c r="AJ21" i="8" s="1"/>
  <c r="AM2" i="8"/>
  <c r="AB39" i="2" s="1"/>
  <c r="D26" i="2" s="1" a="1"/>
  <c r="D26" i="2" s="1"/>
  <c r="AJ12" i="8" a="1"/>
  <c r="AJ12" i="8" s="1"/>
  <c r="AJ7" i="8" a="1"/>
  <c r="AJ7" i="8" s="1"/>
  <c r="AJ5" i="8" a="1"/>
  <c r="AJ5" i="8" s="1"/>
  <c r="AR2" i="8"/>
  <c r="AJ17" i="8" a="1"/>
  <c r="AJ17" i="8" s="1"/>
  <c r="AJ18" i="8" a="1"/>
  <c r="AJ18" i="8" s="1"/>
  <c r="AJ13" i="8" a="1"/>
  <c r="AJ13" i="8" s="1"/>
  <c r="AJ3" i="8" a="1"/>
  <c r="AJ3" i="8" s="1"/>
  <c r="AJ16" i="8" a="1"/>
  <c r="AJ16" i="8" s="1"/>
  <c r="AJ9" i="8" a="1"/>
  <c r="AJ9" i="8" s="1"/>
  <c r="AJ29" i="8" a="1"/>
  <c r="AJ29" i="8" s="1"/>
  <c r="AJ2" i="8" a="1"/>
  <c r="AJ2" i="8" s="1"/>
  <c r="AJ23" i="8" a="1"/>
  <c r="AJ23" i="8" s="1"/>
  <c r="AJ11" i="8" a="1"/>
  <c r="AJ11" i="8" s="1"/>
  <c r="AJ28" i="8" a="1"/>
  <c r="AJ28" i="8" s="1"/>
  <c r="AQ2" i="8"/>
  <c r="AJ27" i="8" a="1"/>
  <c r="AJ27" i="8" s="1"/>
  <c r="AN2" i="8"/>
  <c r="AJ4" i="8" a="1"/>
  <c r="AJ4" i="8" s="1"/>
  <c r="AJ24" i="8" a="1"/>
  <c r="AJ24" i="8" s="1"/>
  <c r="AJ26" i="8" a="1"/>
  <c r="AJ26" i="8" s="1"/>
  <c r="AJ25" i="8" a="1"/>
  <c r="AJ25" i="8" s="1"/>
  <c r="AO2" i="8"/>
  <c r="AJ10" i="8" a="1"/>
  <c r="AJ10" i="8" s="1"/>
  <c r="AJ20" i="8" a="1"/>
  <c r="AJ20" i="8" s="1"/>
  <c r="AJ22" i="8" a="1"/>
  <c r="AJ22" i="8" s="1"/>
  <c r="AJ30" i="8" a="1"/>
  <c r="AJ30" i="8" s="1"/>
  <c r="AP2" i="8"/>
  <c r="AJ14" i="8" a="1"/>
  <c r="AJ14" i="8" s="1"/>
  <c r="AI25" i="7"/>
  <c r="X9" i="6"/>
  <c r="X8" i="6"/>
  <c r="X6" i="6"/>
  <c r="X7" i="6"/>
  <c r="AI33" i="7"/>
  <c r="AI24" i="7"/>
  <c r="AW3" i="8"/>
  <c r="AJ8" i="8" a="1"/>
  <c r="AJ8" i="8" s="1"/>
  <c r="AI26" i="7"/>
  <c r="AI20" i="7"/>
  <c r="AU6" i="8"/>
  <c r="H6" i="8" s="1"/>
  <c r="AJ15" i="8" a="1"/>
  <c r="AJ15" i="8" s="1"/>
  <c r="AI19" i="7"/>
  <c r="AI28" i="7"/>
  <c r="AI31" i="7"/>
  <c r="AI27" i="7"/>
  <c r="AW2" i="8"/>
  <c r="AI30" i="7"/>
  <c r="D50" i="7"/>
  <c r="J22" i="7"/>
  <c r="N23" i="7"/>
  <c r="J27" i="7"/>
  <c r="J23" i="7"/>
  <c r="N24" i="7"/>
  <c r="J25" i="7"/>
  <c r="P24" i="7"/>
  <c r="J26" i="7"/>
  <c r="J20" i="7"/>
  <c r="P23" i="7"/>
  <c r="N25" i="7"/>
  <c r="N20" i="7"/>
  <c r="N22" i="7"/>
  <c r="J24" i="7"/>
  <c r="J19" i="7"/>
  <c r="P27" i="7"/>
  <c r="P22" i="7"/>
  <c r="N26" i="7"/>
  <c r="J21" i="7"/>
  <c r="J18" i="7"/>
  <c r="P26" i="7"/>
  <c r="J28" i="7"/>
  <c r="D49" i="7"/>
  <c r="P25" i="7"/>
  <c r="N21" i="7"/>
  <c r="AK26" i="8" a="1"/>
  <c r="AK26" i="8" s="1"/>
  <c r="AK36" i="8" a="1"/>
  <c r="AK36" i="8" s="1"/>
  <c r="AP6" i="8"/>
  <c r="AK13" i="8" a="1"/>
  <c r="AK13" i="8" s="1"/>
  <c r="AK153" i="8" a="1"/>
  <c r="AK153" i="8" s="1"/>
  <c r="AK163" i="8" a="1"/>
  <c r="AK163" i="8" s="1"/>
  <c r="AK171" i="8" a="1"/>
  <c r="AK171" i="8" s="1"/>
  <c r="AK42" i="8" a="1"/>
  <c r="AK42" i="8" s="1"/>
  <c r="AK86" i="8" a="1"/>
  <c r="AK86" i="8" s="1"/>
  <c r="H65" i="8"/>
  <c r="H121" i="8"/>
  <c r="H117" i="8"/>
  <c r="H141" i="8"/>
  <c r="H125" i="8"/>
  <c r="AK173" i="8" a="1"/>
  <c r="AK173" i="8" s="1"/>
  <c r="AK66" i="8" a="1"/>
  <c r="AK66" i="8" s="1"/>
  <c r="AK9" i="8" a="1"/>
  <c r="AK9" i="8" s="1"/>
  <c r="AK130" i="8" a="1"/>
  <c r="AK130" i="8" s="1"/>
  <c r="AK15" i="8" a="1"/>
  <c r="AK15" i="8" s="1"/>
  <c r="AK19" i="8" a="1"/>
  <c r="AK19" i="8" s="1"/>
  <c r="AK34" i="8" a="1"/>
  <c r="AK34" i="8" s="1"/>
  <c r="AP9" i="8"/>
  <c r="AK17" i="8" a="1"/>
  <c r="AK17" i="8" s="1"/>
  <c r="AK47" i="8" a="1"/>
  <c r="AK47" i="8" s="1"/>
  <c r="Z6" i="6"/>
  <c r="AN9" i="8"/>
  <c r="AK58" i="8" a="1"/>
  <c r="AK58" i="8" s="1"/>
  <c r="AK39" i="8" a="1"/>
  <c r="AK39" i="8" s="1"/>
  <c r="AK60" i="8" a="1"/>
  <c r="AK60" i="8" s="1"/>
  <c r="AK139" i="8" a="1"/>
  <c r="AK139" i="8" s="1"/>
  <c r="AK75" i="8" a="1"/>
  <c r="AK75" i="8" s="1"/>
  <c r="AK135" i="8" a="1"/>
  <c r="AK135" i="8" s="1"/>
  <c r="AK81" i="8" a="1"/>
  <c r="AK81" i="8" s="1"/>
  <c r="AN7" i="8"/>
  <c r="AK151" i="8" a="1"/>
  <c r="AK151" i="8" s="1"/>
  <c r="AK113" i="8" a="1"/>
  <c r="AK113" i="8" s="1"/>
  <c r="AK73" i="8" a="1"/>
  <c r="AK73" i="8" s="1"/>
  <c r="AK121" i="8" a="1"/>
  <c r="AK121" i="8" s="1"/>
  <c r="AK52" i="8" a="1"/>
  <c r="AK52" i="8" s="1"/>
  <c r="AK131" i="8" a="1"/>
  <c r="AK131" i="8" s="1"/>
  <c r="AK146" i="8" a="1"/>
  <c r="AK146" i="8" s="1"/>
  <c r="AK87" i="8" a="1"/>
  <c r="AK87" i="8" s="1"/>
  <c r="AK174" i="8" a="1"/>
  <c r="AK174" i="8" s="1"/>
  <c r="AK152" i="8" a="1"/>
  <c r="AK152" i="8" s="1"/>
  <c r="AK46" i="8" a="1"/>
  <c r="AK46" i="8" s="1"/>
  <c r="AK28" i="8" a="1"/>
  <c r="AK28" i="8" s="1"/>
  <c r="AK155" i="8" a="1"/>
  <c r="AK155" i="8" s="1"/>
  <c r="AK108" i="8" a="1"/>
  <c r="AK108" i="8" s="1"/>
  <c r="AK101" i="8" a="1"/>
  <c r="AK101" i="8" s="1"/>
  <c r="AK12" i="8" a="1"/>
  <c r="AK12" i="8" s="1"/>
  <c r="AK93" i="8" a="1"/>
  <c r="AK93" i="8" s="1"/>
  <c r="AK120" i="8" a="1"/>
  <c r="AK120" i="8" s="1"/>
  <c r="AK35" i="8" a="1"/>
  <c r="AK35" i="8" s="1"/>
  <c r="AK77" i="8" a="1"/>
  <c r="AK77" i="8" s="1"/>
  <c r="AK38" i="8" a="1"/>
  <c r="AK38" i="8" s="1"/>
  <c r="BB15" i="7"/>
  <c r="AZ14" i="7"/>
  <c r="AY15" i="7"/>
  <c r="BA14" i="7"/>
  <c r="AK64" i="8" a="1"/>
  <c r="AK64" i="8" s="1"/>
  <c r="AK29" i="8" a="1"/>
  <c r="AK29" i="8" s="1"/>
  <c r="AK144" i="8" a="1"/>
  <c r="AK144" i="8" s="1"/>
  <c r="AK21" i="8" a="1"/>
  <c r="AK21" i="8" s="1"/>
  <c r="AR12" i="7"/>
  <c r="BC11" i="7" s="1"/>
  <c r="AT13" i="7"/>
  <c r="AS12" i="7"/>
  <c r="BD11" i="7" s="1"/>
  <c r="AQ13" i="7"/>
  <c r="AO10" i="8"/>
  <c r="AK129" i="8" a="1"/>
  <c r="AK129" i="8" s="1"/>
  <c r="AK147" i="8" a="1"/>
  <c r="AK147" i="8" s="1"/>
  <c r="AK150" i="8" a="1"/>
  <c r="AK150" i="8" s="1"/>
  <c r="AK149" i="8" a="1"/>
  <c r="AK149" i="8" s="1"/>
  <c r="AK65" i="8" a="1"/>
  <c r="AK65" i="8" s="1"/>
  <c r="AK145" i="8" a="1"/>
  <c r="AK145" i="8" s="1"/>
  <c r="AK32" i="8" a="1"/>
  <c r="AK32" i="8" s="1"/>
  <c r="AK100" i="8" a="1"/>
  <c r="AK100" i="8" s="1"/>
  <c r="AK18" i="8" a="1"/>
  <c r="AK18" i="8" s="1"/>
  <c r="AK3" i="8" a="1"/>
  <c r="AK3" i="8" s="1"/>
  <c r="AK170" i="8" a="1"/>
  <c r="AK170" i="8" s="1"/>
  <c r="AK62" i="8" a="1"/>
  <c r="AK62" i="8" s="1"/>
  <c r="AK25" i="8" a="1"/>
  <c r="AK25" i="8" s="1"/>
  <c r="AK48" i="8" a="1"/>
  <c r="AK48" i="8" s="1"/>
  <c r="AK127" i="8" a="1"/>
  <c r="AK127" i="8" s="1"/>
  <c r="AK142" i="8" a="1"/>
  <c r="AK142" i="8" s="1"/>
  <c r="AN8" i="8"/>
  <c r="AK6" i="8" a="1"/>
  <c r="AK6" i="8" s="1"/>
  <c r="AK128" i="8" a="1"/>
  <c r="AK128" i="8" s="1"/>
  <c r="AK23" i="8" a="1"/>
  <c r="AK23" i="8" s="1"/>
  <c r="AK95" i="8" a="1"/>
  <c r="AK95" i="8" s="1"/>
  <c r="AK5" i="8" a="1"/>
  <c r="AK5" i="8" s="1"/>
  <c r="AK84" i="8" a="1"/>
  <c r="AK84" i="8" s="1"/>
  <c r="AK7" i="8" a="1"/>
  <c r="AK7" i="8" s="1"/>
  <c r="AK156" i="8" a="1"/>
  <c r="AK156" i="8" s="1"/>
  <c r="AV16" i="7"/>
  <c r="AW16" i="7"/>
  <c r="AU17" i="7"/>
  <c r="AX17" i="7"/>
  <c r="AN10" i="8"/>
  <c r="AK83" i="8" a="1"/>
  <c r="AK83" i="8" s="1"/>
  <c r="AK96" i="8" a="1"/>
  <c r="AK96" i="8" s="1"/>
  <c r="AK61" i="8" a="1"/>
  <c r="AK61" i="8" s="1"/>
  <c r="AK125" i="8" a="1"/>
  <c r="AK125" i="8" s="1"/>
  <c r="AS9" i="8"/>
  <c r="AR9" i="8" s="1"/>
  <c r="AK169" i="8" a="1"/>
  <c r="AK169" i="8" s="1"/>
  <c r="AK167" i="8" a="1"/>
  <c r="AK167" i="8" s="1"/>
  <c r="AN6" i="8"/>
  <c r="AK70" i="8" a="1"/>
  <c r="AK70" i="8" s="1"/>
  <c r="AK80" i="8" a="1"/>
  <c r="AK80" i="8" s="1"/>
  <c r="AK176" i="8" a="1"/>
  <c r="AK176" i="8" s="1"/>
  <c r="AK45" i="8" a="1"/>
  <c r="AK45" i="8" s="1"/>
  <c r="AK116" i="8" a="1"/>
  <c r="AK116" i="8" s="1"/>
  <c r="AK67" i="8" a="1"/>
  <c r="AK67" i="8" s="1"/>
  <c r="AK24" i="8" a="1"/>
  <c r="AK24" i="8" s="1"/>
  <c r="AK172" i="8" a="1"/>
  <c r="AK172" i="8" s="1"/>
  <c r="AK114" i="8" a="1"/>
  <c r="AK114" i="8" s="1"/>
  <c r="AK118" i="8" a="1"/>
  <c r="AK118" i="8" s="1"/>
  <c r="AK50" i="8" a="1"/>
  <c r="AK50" i="8" s="1"/>
  <c r="AK55" i="8" a="1"/>
  <c r="AK55" i="8" s="1"/>
  <c r="A50" i="10"/>
  <c r="AU1" i="8"/>
  <c r="A74" i="10"/>
  <c r="AR60" i="2"/>
  <c r="A78" i="10"/>
  <c r="AR57" i="2"/>
  <c r="AR59" i="2"/>
  <c r="AR53" i="2"/>
  <c r="AR54" i="2"/>
  <c r="AR56" i="2"/>
  <c r="AR55" i="2"/>
  <c r="AR52" i="2"/>
  <c r="AR58" i="2"/>
  <c r="AS10" i="8"/>
  <c r="AR10" i="8" s="1"/>
  <c r="AO8" i="8"/>
  <c r="AP7" i="8"/>
  <c r="AK59" i="8" a="1"/>
  <c r="AK59" i="8" s="1"/>
  <c r="AK94" i="8" a="1"/>
  <c r="AK94" i="8" s="1"/>
  <c r="AK110" i="8" a="1"/>
  <c r="AK110" i="8" s="1"/>
  <c r="AK16" i="8" a="1"/>
  <c r="AK16" i="8" s="1"/>
  <c r="AK54" i="8" a="1"/>
  <c r="AK54" i="8" s="1"/>
  <c r="AK37" i="8" a="1"/>
  <c r="AK37" i="8" s="1"/>
  <c r="AK72" i="8" a="1"/>
  <c r="AK72" i="8" s="1"/>
  <c r="AK112" i="8" a="1"/>
  <c r="AK112" i="8" s="1"/>
  <c r="AK157" i="8" a="1"/>
  <c r="AK157" i="8" s="1"/>
  <c r="AK40" i="8" a="1"/>
  <c r="AK40" i="8" s="1"/>
  <c r="H134" i="8"/>
  <c r="H100" i="8"/>
  <c r="H91" i="8"/>
  <c r="H138" i="8"/>
  <c r="H104" i="8"/>
  <c r="H88" i="8"/>
  <c r="H85" i="8"/>
  <c r="H114" i="8"/>
  <c r="H130" i="8"/>
  <c r="H94" i="8"/>
  <c r="H97" i="8"/>
  <c r="H107" i="8"/>
  <c r="H111" i="8"/>
  <c r="AK82" i="8" a="1"/>
  <c r="AK82" i="8" s="1"/>
  <c r="AK30" i="8" a="1"/>
  <c r="AK30" i="8" s="1"/>
  <c r="AK134" i="8" a="1"/>
  <c r="AK134" i="8" s="1"/>
  <c r="AK115" i="8" a="1"/>
  <c r="AK115" i="8" s="1"/>
  <c r="AK14" i="8" a="1"/>
  <c r="AK14" i="8" s="1"/>
  <c r="AK11" i="8" a="1"/>
  <c r="AK11" i="8" s="1"/>
  <c r="AK74" i="8" a="1"/>
  <c r="AK74" i="8" s="1"/>
  <c r="AK136" i="8" a="1"/>
  <c r="AK136" i="8" s="1"/>
  <c r="AK20" i="8" a="1"/>
  <c r="AK20" i="8" s="1"/>
  <c r="AK85" i="8" a="1"/>
  <c r="AK85" i="8" s="1"/>
  <c r="AK162" i="8" a="1"/>
  <c r="AK162" i="8" s="1"/>
  <c r="AK2" i="8" a="1"/>
  <c r="AK2" i="8" s="1"/>
  <c r="AP10" i="8"/>
  <c r="AK106" i="8" a="1"/>
  <c r="AK106" i="8" s="1"/>
  <c r="A52" i="10"/>
  <c r="C52" i="10" s="1"/>
  <c r="A51" i="10"/>
  <c r="C51" i="10" s="1"/>
  <c r="AK57" i="8" a="1"/>
  <c r="AK57" i="8" s="1"/>
  <c r="AK141" i="8" a="1"/>
  <c r="AK141" i="8" s="1"/>
  <c r="AK22" i="8" a="1"/>
  <c r="AK22" i="8" s="1"/>
  <c r="AK107" i="8" a="1"/>
  <c r="AK107" i="8" s="1"/>
  <c r="AK99" i="8" a="1"/>
  <c r="AK99" i="8" s="1"/>
  <c r="AK133" i="8" a="1"/>
  <c r="AK133" i="8" s="1"/>
  <c r="AK44" i="8" a="1"/>
  <c r="AK44" i="8" s="1"/>
  <c r="AK71" i="8" a="1"/>
  <c r="AK71" i="8" s="1"/>
  <c r="AK56" i="8" a="1"/>
  <c r="AK56" i="8" s="1"/>
  <c r="AK119" i="8" a="1"/>
  <c r="AK119" i="8" s="1"/>
  <c r="AK92" i="8" a="1"/>
  <c r="AK92" i="8" s="1"/>
  <c r="AK175" i="8" a="1"/>
  <c r="AK175" i="8" s="1"/>
  <c r="H122" i="8"/>
  <c r="H126" i="8"/>
  <c r="H142" i="8"/>
  <c r="H118" i="8"/>
  <c r="H66" i="8"/>
  <c r="AK148" i="8" a="1"/>
  <c r="AK148" i="8" s="1"/>
  <c r="AK68" i="8" a="1"/>
  <c r="AK68" i="8" s="1"/>
  <c r="AK102" i="8" a="1"/>
  <c r="AK102" i="8" s="1"/>
  <c r="AK109" i="8" a="1"/>
  <c r="AK109" i="8" s="1"/>
  <c r="AK103" i="8" a="1"/>
  <c r="AK103" i="8" s="1"/>
  <c r="AS8" i="8"/>
  <c r="AR8" i="8" s="1"/>
  <c r="AK158" i="8" a="1"/>
  <c r="AK158" i="8" s="1"/>
  <c r="AK43" i="8" a="1"/>
  <c r="AK43" i="8" s="1"/>
  <c r="AK78" i="8" a="1"/>
  <c r="AK78" i="8" s="1"/>
  <c r="AK89" i="8" a="1"/>
  <c r="AK89" i="8" s="1"/>
  <c r="AK143" i="8" a="1"/>
  <c r="AK143" i="8" s="1"/>
  <c r="AO7" i="8"/>
  <c r="AK33" i="8" a="1"/>
  <c r="AK33" i="8" s="1"/>
  <c r="AK41" i="8" a="1"/>
  <c r="AK41" i="8" s="1"/>
  <c r="AK49" i="8" a="1"/>
  <c r="AK49" i="8" s="1"/>
  <c r="AK79" i="8" a="1"/>
  <c r="AK79" i="8" s="1"/>
  <c r="AK51" i="8" a="1"/>
  <c r="AK51" i="8" s="1"/>
  <c r="AO9" i="8"/>
  <c r="AK165" i="8" a="1"/>
  <c r="AK165" i="8" s="1"/>
  <c r="AK166" i="8" a="1"/>
  <c r="AK166" i="8" s="1"/>
  <c r="AK168" i="8" a="1"/>
  <c r="AK168" i="8" s="1"/>
  <c r="AK63" i="8" a="1"/>
  <c r="AK63" i="8" s="1"/>
  <c r="AP8" i="8"/>
  <c r="AK76" i="8" a="1"/>
  <c r="AK76" i="8" s="1"/>
  <c r="AK161" i="8" a="1"/>
  <c r="AK161" i="8" s="1"/>
  <c r="AK123" i="8" a="1"/>
  <c r="AK123" i="8" s="1"/>
  <c r="AK53" i="8" a="1"/>
  <c r="AK53" i="8" s="1"/>
  <c r="AK97" i="8" a="1"/>
  <c r="AK97" i="8" s="1"/>
  <c r="AK122" i="8" a="1"/>
  <c r="AK122" i="8" s="1"/>
  <c r="AK88" i="8" a="1"/>
  <c r="AK88" i="8" s="1"/>
  <c r="AK124" i="8" a="1"/>
  <c r="AK124" i="8" s="1"/>
  <c r="AK31" i="8" a="1"/>
  <c r="AK31" i="8" s="1"/>
  <c r="H137" i="8"/>
  <c r="H96" i="8"/>
  <c r="H129" i="8"/>
  <c r="H106" i="8"/>
  <c r="H113" i="8"/>
  <c r="H173" i="8"/>
  <c r="H93" i="8"/>
  <c r="H87" i="8"/>
  <c r="H90" i="8"/>
  <c r="H103" i="8"/>
  <c r="H99" i="8"/>
  <c r="H84" i="8"/>
  <c r="H133" i="8"/>
  <c r="H176" i="8"/>
  <c r="H110" i="8"/>
  <c r="AK111" i="8" a="1"/>
  <c r="AK111" i="8" s="1"/>
  <c r="AK140" i="8" a="1"/>
  <c r="AK140" i="8" s="1"/>
  <c r="AK27" i="8" a="1"/>
  <c r="AK27" i="8" s="1"/>
  <c r="H144" i="8"/>
  <c r="H145" i="8"/>
  <c r="AK4" i="8" a="1"/>
  <c r="AK4" i="8" s="1"/>
  <c r="AK10" i="8" a="1"/>
  <c r="AK10" i="8" s="1"/>
  <c r="AK91" i="8" a="1"/>
  <c r="AK91" i="8" s="1"/>
  <c r="AK104" i="8" a="1"/>
  <c r="AK104" i="8" s="1"/>
  <c r="AK164" i="8" a="1"/>
  <c r="AK164" i="8" s="1"/>
  <c r="AK138" i="8" a="1"/>
  <c r="AK138" i="8" s="1"/>
  <c r="AK90" i="8" a="1"/>
  <c r="AK90" i="8" s="1"/>
  <c r="AK132" i="8" a="1"/>
  <c r="AK132" i="8" s="1"/>
  <c r="AK98" i="8" a="1"/>
  <c r="AK98" i="8" s="1"/>
  <c r="AK8" i="8" a="1"/>
  <c r="AK8" i="8" s="1"/>
  <c r="Y12" i="6"/>
  <c r="V12" i="6"/>
  <c r="X11" i="6"/>
  <c r="AK69" i="8" a="1"/>
  <c r="AK69" i="8" s="1"/>
  <c r="AK154" i="8" a="1"/>
  <c r="AK154" i="8" s="1"/>
  <c r="AK117" i="8" a="1"/>
  <c r="AK117" i="8" s="1"/>
  <c r="AO6" i="8"/>
  <c r="AK126" i="8" a="1"/>
  <c r="AK126" i="8" s="1"/>
  <c r="AK137" i="8" a="1"/>
  <c r="AK137" i="8" s="1"/>
  <c r="AK105" i="8" a="1"/>
  <c r="AK105" i="8" s="1"/>
  <c r="AK160" i="8" a="1"/>
  <c r="AK160" i="8" s="1"/>
  <c r="AK159" i="8" a="1"/>
  <c r="AK159" i="8" s="1"/>
  <c r="AD19" i="7" l="1"/>
  <c r="AT4" i="7" s="1"/>
  <c r="AQ14" i="7" s="1"/>
  <c r="AL17" i="7" a="1"/>
  <c r="AL17" i="7" s="1"/>
  <c r="AL12" i="7" a="1"/>
  <c r="AL12" i="7" s="1"/>
  <c r="AL16" i="7" a="1"/>
  <c r="AL16" i="7" s="1"/>
  <c r="AL19" i="7" a="1"/>
  <c r="AL19" i="7" s="1"/>
  <c r="AL15" i="7" a="1"/>
  <c r="AL15" i="7" s="1"/>
  <c r="AL5" i="7" a="1"/>
  <c r="AL5" i="7" s="1"/>
  <c r="AL13" i="7" a="1"/>
  <c r="AL13" i="7" s="1"/>
  <c r="AL10" i="7" a="1"/>
  <c r="AL10" i="7" s="1"/>
  <c r="AL4" i="7" a="1"/>
  <c r="AL4" i="7" s="1"/>
  <c r="AL8" i="7" a="1"/>
  <c r="AL8" i="7" s="1"/>
  <c r="AL20" i="7" a="1"/>
  <c r="AL20" i="7" s="1"/>
  <c r="AL14" i="7" a="1"/>
  <c r="AL14" i="7" s="1"/>
  <c r="AL3" i="7" a="1"/>
  <c r="AL3" i="7" s="1"/>
  <c r="AL9" i="7" a="1"/>
  <c r="AL9" i="7" s="1"/>
  <c r="AL11" i="7" a="1"/>
  <c r="AL11" i="7" s="1"/>
  <c r="AL18" i="7" a="1"/>
  <c r="AL18" i="7" s="1"/>
  <c r="AL7" i="7" a="1"/>
  <c r="AL7" i="7" s="1"/>
  <c r="AL6" i="7" a="1"/>
  <c r="AL6" i="7" s="1"/>
  <c r="L37" i="2"/>
  <c r="C11" i="8"/>
  <c r="C14" i="8" s="1"/>
  <c r="C15" i="8"/>
  <c r="C21" i="8" s="1"/>
  <c r="C147" i="8"/>
  <c r="C24" i="8"/>
  <c r="C26" i="8" s="1"/>
  <c r="H3" i="8"/>
  <c r="H9" i="8"/>
  <c r="C4" i="8"/>
  <c r="C8" i="8"/>
  <c r="C3" i="8"/>
  <c r="C6" i="8" s="1"/>
  <c r="AM9" i="8"/>
  <c r="AM10" i="8"/>
  <c r="BE9" i="7"/>
  <c r="F4" i="10"/>
  <c r="F3" i="10"/>
  <c r="F2" i="10"/>
  <c r="F9" i="10"/>
  <c r="F5" i="10"/>
  <c r="F6" i="10"/>
  <c r="F7" i="10"/>
  <c r="F8" i="10"/>
  <c r="C50" i="10"/>
  <c r="BA15" i="7"/>
  <c r="AZ15" i="7"/>
  <c r="AY16" i="7"/>
  <c r="BB16" i="7"/>
  <c r="Y13" i="6"/>
  <c r="V13" i="6"/>
  <c r="X12" i="6"/>
  <c r="W12" i="6"/>
  <c r="AW17" i="7"/>
  <c r="AV17" i="7"/>
  <c r="AX18" i="7"/>
  <c r="AU18" i="7"/>
  <c r="AM47" i="2"/>
  <c r="AS13" i="7"/>
  <c r="BD12" i="7" s="1"/>
  <c r="AT14" i="7"/>
  <c r="AR13" i="7"/>
  <c r="BC12" i="7" s="1"/>
  <c r="BE10" i="7" s="1"/>
  <c r="BB112" i="7"/>
  <c r="BI65" i="7"/>
  <c r="C74" i="10"/>
  <c r="BB135" i="7"/>
  <c r="BI63" i="7"/>
  <c r="C78" i="10"/>
  <c r="AM8" i="8"/>
  <c r="H29" i="8" l="1"/>
  <c r="AC20" i="7"/>
  <c r="C55" i="8"/>
  <c r="C116" i="8"/>
  <c r="C60" i="8"/>
  <c r="C132" i="8"/>
  <c r="C53" i="8"/>
  <c r="C175" i="8"/>
  <c r="C13" i="8"/>
  <c r="C40" i="8"/>
  <c r="C41" i="8" s="1"/>
  <c r="C56" i="8"/>
  <c r="C28" i="8"/>
  <c r="C31" i="8" s="1"/>
  <c r="H40" i="8"/>
  <c r="AS6" i="8" s="1"/>
  <c r="H83" i="8"/>
  <c r="H21" i="8"/>
  <c r="C45" i="8"/>
  <c r="C47" i="8" s="1"/>
  <c r="H128" i="8"/>
  <c r="C64" i="8"/>
  <c r="H147" i="8"/>
  <c r="H25" i="8"/>
  <c r="H55" i="8"/>
  <c r="C151" i="8"/>
  <c r="C16" i="8"/>
  <c r="AM7" i="8" s="1"/>
  <c r="H5" i="8"/>
  <c r="H102" i="8"/>
  <c r="C120" i="8"/>
  <c r="C140" i="8"/>
  <c r="H50" i="8"/>
  <c r="H168" i="8"/>
  <c r="C54" i="8"/>
  <c r="C83" i="8"/>
  <c r="C177" i="8"/>
  <c r="H28" i="8"/>
  <c r="H60" i="8"/>
  <c r="C25" i="8"/>
  <c r="C136" i="8"/>
  <c r="C9" i="8"/>
  <c r="H8" i="8"/>
  <c r="H53" i="8"/>
  <c r="C27" i="8"/>
  <c r="C79" i="8"/>
  <c r="C12" i="8"/>
  <c r="H54" i="8"/>
  <c r="H32" i="8"/>
  <c r="H41" i="8"/>
  <c r="H46" i="8"/>
  <c r="H151" i="8"/>
  <c r="H109" i="8"/>
  <c r="H164" i="8"/>
  <c r="H45" i="8"/>
  <c r="H37" i="8"/>
  <c r="H36" i="8"/>
  <c r="H175" i="8"/>
  <c r="H4" i="8"/>
  <c r="H79" i="8"/>
  <c r="H172" i="8" s="1"/>
  <c r="H12" i="8"/>
  <c r="C172" i="8"/>
  <c r="H68" i="8"/>
  <c r="C68" i="8"/>
  <c r="C109" i="8"/>
  <c r="C32" i="8"/>
  <c r="C33" i="8" s="1"/>
  <c r="H72" i="8"/>
  <c r="H49" i="8"/>
  <c r="C76" i="8"/>
  <c r="C57" i="8"/>
  <c r="C58" i="8" s="1"/>
  <c r="H11" i="8"/>
  <c r="H14" i="8" s="1"/>
  <c r="H10" i="8"/>
  <c r="C49" i="8"/>
  <c r="C52" i="8" s="1"/>
  <c r="C44" i="8"/>
  <c r="H33" i="8"/>
  <c r="H136" i="8"/>
  <c r="C36" i="8"/>
  <c r="C39" i="8" s="1"/>
  <c r="C102" i="8"/>
  <c r="H7" i="8"/>
  <c r="H132" i="8"/>
  <c r="H24" i="8"/>
  <c r="C7" i="8"/>
  <c r="Z8" i="6"/>
  <c r="Y14" i="6"/>
  <c r="V14" i="6"/>
  <c r="X13" i="6"/>
  <c r="W13" i="6"/>
  <c r="Z9" i="6" s="1"/>
  <c r="V83" i="7"/>
  <c r="V60" i="7"/>
  <c r="V51" i="7"/>
  <c r="V55" i="7"/>
  <c r="V38" i="7"/>
  <c r="V74" i="7"/>
  <c r="V64" i="7"/>
  <c r="V79" i="7"/>
  <c r="V75" i="7"/>
  <c r="V66" i="7"/>
  <c r="V34" i="7"/>
  <c r="V25" i="7"/>
  <c r="V52" i="7"/>
  <c r="V49" i="7"/>
  <c r="V59" i="7"/>
  <c r="V58" i="7"/>
  <c r="V57" i="7"/>
  <c r="V53" i="7"/>
  <c r="V48" i="7"/>
  <c r="V47" i="7"/>
  <c r="V40" i="7"/>
  <c r="V85" i="7"/>
  <c r="V73" i="7"/>
  <c r="V31" i="7"/>
  <c r="V71" i="7"/>
  <c r="V39" i="7"/>
  <c r="V30" i="7"/>
  <c r="V80" i="7"/>
  <c r="V28" i="7"/>
  <c r="V84" i="7"/>
  <c r="V82" i="7"/>
  <c r="V72" i="7"/>
  <c r="V50" i="7"/>
  <c r="V65" i="7"/>
  <c r="V27" i="7"/>
  <c r="V76" i="7"/>
  <c r="V69" i="7"/>
  <c r="V26" i="7"/>
  <c r="V68" i="7"/>
  <c r="V37" i="7"/>
  <c r="V77" i="7"/>
  <c r="V35" i="7"/>
  <c r="V33" i="7"/>
  <c r="V36" i="7"/>
  <c r="V67" i="7"/>
  <c r="V61" i="7"/>
  <c r="V56" i="7"/>
  <c r="V41" i="7"/>
  <c r="V63" i="7"/>
  <c r="V81" i="7"/>
  <c r="V32" i="7"/>
  <c r="V29" i="7"/>
  <c r="V62" i="7"/>
  <c r="V70" i="7"/>
  <c r="C43" i="8"/>
  <c r="BC119" i="7"/>
  <c r="BE117" i="7" s="1"/>
  <c r="BD113" i="7"/>
  <c r="BD116" i="7"/>
  <c r="BC113" i="7"/>
  <c r="BE111" i="7" s="1"/>
  <c r="BC112" i="7"/>
  <c r="BE110" i="7" s="1"/>
  <c r="BD115" i="7"/>
  <c r="BD120" i="7"/>
  <c r="BD122" i="7"/>
  <c r="BC115" i="7"/>
  <c r="BE113" i="7" s="1"/>
  <c r="BD111" i="7"/>
  <c r="BC111" i="7"/>
  <c r="BE109" i="7" s="1"/>
  <c r="BD118" i="7"/>
  <c r="BC118" i="7"/>
  <c r="BE116" i="7" s="1"/>
  <c r="BD114" i="7"/>
  <c r="BC114" i="7"/>
  <c r="BE112" i="7" s="1"/>
  <c r="BC122" i="7"/>
  <c r="BE120" i="7" s="1"/>
  <c r="BD117" i="7"/>
  <c r="BC117" i="7"/>
  <c r="BE115" i="7" s="1"/>
  <c r="BC120" i="7"/>
  <c r="BE118" i="7" s="1"/>
  <c r="BC116" i="7"/>
  <c r="BE114" i="7" s="1"/>
  <c r="BD121" i="7"/>
  <c r="BD112" i="7"/>
  <c r="BC121" i="7"/>
  <c r="BE119" i="7" s="1"/>
  <c r="BD119" i="7"/>
  <c r="BB17" i="7"/>
  <c r="AY17" i="7"/>
  <c r="BA16" i="7"/>
  <c r="AZ16" i="7"/>
  <c r="AX19" i="7"/>
  <c r="AU19" i="7"/>
  <c r="AW18" i="7"/>
  <c r="AV18" i="7"/>
  <c r="T35" i="7"/>
  <c r="T38" i="7"/>
  <c r="T37" i="7"/>
  <c r="T34" i="7"/>
  <c r="T31" i="7"/>
  <c r="T32" i="7"/>
  <c r="T36" i="7"/>
  <c r="T33" i="7"/>
  <c r="T30" i="7"/>
  <c r="T39" i="7"/>
  <c r="BI51" i="7"/>
  <c r="BI50" i="7"/>
  <c r="BC138" i="7"/>
  <c r="BE136" i="7" s="1"/>
  <c r="BD134" i="7"/>
  <c r="BC134" i="7"/>
  <c r="BE132" i="7" s="1"/>
  <c r="BC141" i="7"/>
  <c r="BE139" i="7" s="1"/>
  <c r="BC137" i="7"/>
  <c r="BE135" i="7" s="1"/>
  <c r="BD140" i="7"/>
  <c r="BC143" i="7"/>
  <c r="BE141" i="7" s="1"/>
  <c r="BD138" i="7"/>
  <c r="BC142" i="7"/>
  <c r="BE140" i="7" s="1"/>
  <c r="BD136" i="7"/>
  <c r="BD139" i="7"/>
  <c r="BD137" i="7"/>
  <c r="BD143" i="7"/>
  <c r="BC136" i="7"/>
  <c r="BE134" i="7" s="1"/>
  <c r="BD142" i="7"/>
  <c r="BD141" i="7"/>
  <c r="BC139" i="7"/>
  <c r="BE137" i="7" s="1"/>
  <c r="BC140" i="7"/>
  <c r="BE138" i="7" s="1"/>
  <c r="BD135" i="7"/>
  <c r="BC135" i="7"/>
  <c r="BE133" i="7" s="1"/>
  <c r="AT15" i="7"/>
  <c r="AS14" i="7"/>
  <c r="BD13" i="7" s="1"/>
  <c r="AR14" i="7"/>
  <c r="BC13" i="7" s="1"/>
  <c r="AQ15" i="7"/>
  <c r="D62" i="10" a="1"/>
  <c r="D62" i="10" s="1"/>
  <c r="D13" i="10" a="1"/>
  <c r="D13" i="10" s="1"/>
  <c r="D85" i="10" a="1"/>
  <c r="D85" i="10" s="1"/>
  <c r="D3" i="10" a="1"/>
  <c r="D3" i="10" s="1"/>
  <c r="D5" i="10" a="1"/>
  <c r="D5" i="10" s="1"/>
  <c r="D36" i="10" a="1"/>
  <c r="D36" i="10" s="1"/>
  <c r="D11" i="10" a="1"/>
  <c r="D11" i="10" s="1"/>
  <c r="D97" i="10" a="1"/>
  <c r="D97" i="10" s="1"/>
  <c r="D7" i="10" a="1"/>
  <c r="D7" i="10" s="1"/>
  <c r="D66" i="10" a="1"/>
  <c r="D66" i="10" s="1"/>
  <c r="D47" i="10" a="1"/>
  <c r="D47" i="10" s="1"/>
  <c r="D79" i="10" a="1"/>
  <c r="D79" i="10" s="1"/>
  <c r="D46" i="10" a="1"/>
  <c r="D46" i="10" s="1"/>
  <c r="D88" i="10" a="1"/>
  <c r="D88" i="10" s="1"/>
  <c r="D53" i="10" a="1"/>
  <c r="D53" i="10" s="1"/>
  <c r="D57" i="10" a="1"/>
  <c r="D57" i="10" s="1"/>
  <c r="D84" i="10" a="1"/>
  <c r="D84" i="10" s="1"/>
  <c r="D103" i="10" a="1"/>
  <c r="D103" i="10" s="1"/>
  <c r="D50" i="10" a="1"/>
  <c r="D50" i="10" s="1"/>
  <c r="D67" i="10" a="1"/>
  <c r="D67" i="10" s="1"/>
  <c r="D77" i="10" a="1"/>
  <c r="D77" i="10" s="1"/>
  <c r="D33" i="10" a="1"/>
  <c r="D33" i="10" s="1"/>
  <c r="D96" i="10" a="1"/>
  <c r="D96" i="10" s="1"/>
  <c r="D65" i="10" a="1"/>
  <c r="D65" i="10" s="1"/>
  <c r="D108" i="10" a="1"/>
  <c r="D108" i="10" s="1"/>
  <c r="D18" i="10" a="1"/>
  <c r="D18" i="10" s="1"/>
  <c r="D27" i="10" a="1"/>
  <c r="D27" i="10" s="1"/>
  <c r="D52" i="10" a="1"/>
  <c r="D52" i="10" s="1"/>
  <c r="D51" i="10" a="1"/>
  <c r="D51" i="10" s="1"/>
  <c r="D78" i="10" a="1"/>
  <c r="D78" i="10" s="1"/>
  <c r="D102" i="10" a="1"/>
  <c r="D102" i="10" s="1"/>
  <c r="D68" i="10" a="1"/>
  <c r="D68" i="10" s="1"/>
  <c r="D111" i="10" a="1"/>
  <c r="D111" i="10" s="1"/>
  <c r="D38" i="10" a="1"/>
  <c r="D38" i="10" s="1"/>
  <c r="D25" i="10" a="1"/>
  <c r="D25" i="10" s="1"/>
  <c r="D106" i="10" a="1"/>
  <c r="D106" i="10" s="1"/>
  <c r="D4" i="10" a="1"/>
  <c r="D4" i="10" s="1"/>
  <c r="D16" i="10" a="1"/>
  <c r="D16" i="10" s="1"/>
  <c r="D29" i="10" a="1"/>
  <c r="D29" i="10" s="1"/>
  <c r="D55" i="10" a="1"/>
  <c r="D55" i="10" s="1"/>
  <c r="D23" i="10" a="1"/>
  <c r="D23" i="10" s="1"/>
  <c r="D28" i="10" a="1"/>
  <c r="D28" i="10" s="1"/>
  <c r="D63" i="10" a="1"/>
  <c r="D63" i="10" s="1"/>
  <c r="D12" i="10" a="1"/>
  <c r="D12" i="10" s="1"/>
  <c r="D95" i="10" a="1"/>
  <c r="D95" i="10" s="1"/>
  <c r="D20" i="10" a="1"/>
  <c r="D20" i="10" s="1"/>
  <c r="D21" i="10" a="1"/>
  <c r="D21" i="10" s="1"/>
  <c r="D30" i="10" a="1"/>
  <c r="D30" i="10" s="1"/>
  <c r="D49" i="10" a="1"/>
  <c r="D49" i="10" s="1"/>
  <c r="D31" i="10" a="1"/>
  <c r="D31" i="10" s="1"/>
  <c r="D92" i="10" a="1"/>
  <c r="D92" i="10" s="1"/>
  <c r="D82" i="10" a="1"/>
  <c r="D82" i="10" s="1"/>
  <c r="D110" i="10" a="1"/>
  <c r="D110" i="10" s="1"/>
  <c r="D61" i="10" a="1"/>
  <c r="D61" i="10" s="1"/>
  <c r="D76" i="10" a="1"/>
  <c r="D76" i="10" s="1"/>
  <c r="D94" i="10" a="1"/>
  <c r="D94" i="10" s="1"/>
  <c r="D54" i="10" a="1"/>
  <c r="D54" i="10" s="1"/>
  <c r="D10" i="10" a="1"/>
  <c r="D10" i="10" s="1"/>
  <c r="D8" i="10" a="1"/>
  <c r="D8" i="10" s="1"/>
  <c r="D73" i="10" a="1"/>
  <c r="D73" i="10" s="1"/>
  <c r="D91" i="10" a="1"/>
  <c r="D91" i="10" s="1"/>
  <c r="D104" i="10" a="1"/>
  <c r="D104" i="10" s="1"/>
  <c r="D14" i="10" a="1"/>
  <c r="D14" i="10" s="1"/>
  <c r="D75" i="10" a="1"/>
  <c r="D75" i="10" s="1"/>
  <c r="D19" i="10" a="1"/>
  <c r="D19" i="10" s="1"/>
  <c r="D93" i="10" a="1"/>
  <c r="D93" i="10" s="1"/>
  <c r="D69" i="10" a="1"/>
  <c r="D69" i="10" s="1"/>
  <c r="D45" i="10" a="1"/>
  <c r="D45" i="10" s="1"/>
  <c r="D15" i="10" a="1"/>
  <c r="D15" i="10" s="1"/>
  <c r="D26" i="10" a="1"/>
  <c r="D26" i="10" s="1"/>
  <c r="D35" i="10" a="1"/>
  <c r="D35" i="10" s="1"/>
  <c r="D60" i="10" a="1"/>
  <c r="D60" i="10" s="1"/>
  <c r="D2" i="10" a="1"/>
  <c r="D2" i="10" s="1"/>
  <c r="D22" i="10" a="1"/>
  <c r="D22" i="10" s="1"/>
  <c r="D107" i="10" a="1"/>
  <c r="D107" i="10" s="1"/>
  <c r="D44" i="10" a="1"/>
  <c r="D44" i="10" s="1"/>
  <c r="D34" i="10" a="1"/>
  <c r="D34" i="10" s="1"/>
  <c r="D81" i="10" a="1"/>
  <c r="D81" i="10" s="1"/>
  <c r="D80" i="10" a="1"/>
  <c r="D80" i="10" s="1"/>
  <c r="D17" i="10" a="1"/>
  <c r="D17" i="10" s="1"/>
  <c r="D101" i="10" a="1"/>
  <c r="D101" i="10" s="1"/>
  <c r="D72" i="10" a="1"/>
  <c r="D72" i="10" s="1"/>
  <c r="D37" i="10" a="1"/>
  <c r="D37" i="10" s="1"/>
  <c r="D58" i="10" a="1"/>
  <c r="D58" i="10" s="1"/>
  <c r="D83" i="10" a="1"/>
  <c r="D83" i="10" s="1"/>
  <c r="D70" i="10" a="1"/>
  <c r="D70" i="10" s="1"/>
  <c r="D109" i="10" a="1"/>
  <c r="D109" i="10" s="1"/>
  <c r="D87" i="10" a="1"/>
  <c r="D87" i="10" s="1"/>
  <c r="D40" i="10" a="1"/>
  <c r="D40" i="10" s="1"/>
  <c r="D86" i="10" a="1"/>
  <c r="D86" i="10" s="1"/>
  <c r="D39" i="10" a="1"/>
  <c r="D39" i="10" s="1"/>
  <c r="D90" i="10" a="1"/>
  <c r="D90" i="10" s="1"/>
  <c r="D99" i="10" a="1"/>
  <c r="D99" i="10" s="1"/>
  <c r="D100" i="10" a="1"/>
  <c r="D100" i="10" s="1"/>
  <c r="D59" i="10" a="1"/>
  <c r="D59" i="10" s="1"/>
  <c r="D64" i="10" a="1"/>
  <c r="D64" i="10" s="1"/>
  <c r="D98" i="10" a="1"/>
  <c r="D98" i="10" s="1"/>
  <c r="D42" i="10" a="1"/>
  <c r="D42" i="10" s="1"/>
  <c r="D71" i="10" a="1"/>
  <c r="D71" i="10" s="1"/>
  <c r="D89" i="10" a="1"/>
  <c r="D89" i="10" s="1"/>
  <c r="D48" i="10" a="1"/>
  <c r="D48" i="10" s="1"/>
  <c r="D105" i="10" a="1"/>
  <c r="D105" i="10" s="1"/>
  <c r="D41" i="10" a="1"/>
  <c r="D41" i="10" s="1"/>
  <c r="D32" i="10" a="1"/>
  <c r="D32" i="10" s="1"/>
  <c r="D43" i="10" a="1"/>
  <c r="D43" i="10" s="1"/>
  <c r="D6" i="10" a="1"/>
  <c r="D6" i="10" s="1"/>
  <c r="D24" i="10" a="1"/>
  <c r="D24" i="10" s="1"/>
  <c r="D74" i="10" a="1"/>
  <c r="D74" i="10" s="1"/>
  <c r="D56" i="10" a="1"/>
  <c r="D56" i="10" s="1"/>
  <c r="D9" i="10" a="1"/>
  <c r="D9" i="10" s="1"/>
  <c r="C42" i="8" l="1"/>
  <c r="C19" i="8"/>
  <c r="AR6" i="8"/>
  <c r="AC41" i="2" s="1"/>
  <c r="AM6" i="8"/>
  <c r="H13" i="8"/>
  <c r="H47" i="8" s="1"/>
  <c r="C18" i="8"/>
  <c r="C46" i="8"/>
  <c r="C30" i="8"/>
  <c r="C17" i="8"/>
  <c r="C29" i="8"/>
  <c r="C72" i="8" s="1"/>
  <c r="H15" i="8"/>
  <c r="H44" i="8" s="1"/>
  <c r="C48" i="8"/>
  <c r="C50" i="8"/>
  <c r="C51" i="8"/>
  <c r="C38" i="8"/>
  <c r="C37" i="8"/>
  <c r="C34" i="8"/>
  <c r="C128" i="8" s="1"/>
  <c r="C35" i="8"/>
  <c r="R82" i="2"/>
  <c r="AZ17" i="7"/>
  <c r="BB18" i="7"/>
  <c r="AY18" i="7"/>
  <c r="BA17" i="7"/>
  <c r="AS15" i="7"/>
  <c r="BD14" i="7" s="1"/>
  <c r="AR15" i="7"/>
  <c r="BC14" i="7" s="1"/>
  <c r="AT16" i="7"/>
  <c r="AQ16" i="7"/>
  <c r="H23" i="8"/>
  <c r="H43" i="8"/>
  <c r="H48" i="8"/>
  <c r="H35" i="8"/>
  <c r="H52" i="8"/>
  <c r="H39" i="8"/>
  <c r="H31" i="8"/>
  <c r="H27" i="8"/>
  <c r="Y15" i="6"/>
  <c r="V15" i="6"/>
  <c r="X14" i="6"/>
  <c r="W14" i="6"/>
  <c r="Z10" i="6" s="1"/>
  <c r="BE11" i="7"/>
  <c r="AW19" i="7"/>
  <c r="AU20" i="7"/>
  <c r="AV19" i="7"/>
  <c r="AX20" i="7"/>
  <c r="H51" i="8" l="1"/>
  <c r="H26" i="8"/>
  <c r="H30" i="8"/>
  <c r="H38" i="8"/>
  <c r="H42" i="8"/>
  <c r="H22" i="8"/>
  <c r="H34" i="8"/>
  <c r="C124" i="8"/>
  <c r="AY19" i="7"/>
  <c r="BA18" i="7"/>
  <c r="AZ18" i="7"/>
  <c r="BB19" i="7"/>
  <c r="AW20" i="7"/>
  <c r="AV20" i="7"/>
  <c r="AX21" i="7"/>
  <c r="AU21" i="7"/>
  <c r="AQ17" i="7"/>
  <c r="AT17" i="7"/>
  <c r="AS16" i="7"/>
  <c r="BD15" i="7" s="1"/>
  <c r="AR16" i="7"/>
  <c r="BC15" i="7" s="1"/>
  <c r="BE12" i="7"/>
  <c r="Y16" i="6"/>
  <c r="V16" i="6"/>
  <c r="X15" i="6"/>
  <c r="W15" i="6"/>
  <c r="V17" i="6" l="1"/>
  <c r="Y17" i="6"/>
  <c r="X16" i="6"/>
  <c r="W16" i="6"/>
  <c r="Z12" i="6" s="1"/>
  <c r="AX22" i="7"/>
  <c r="AV21" i="7"/>
  <c r="AW21" i="7"/>
  <c r="AU22" i="7"/>
  <c r="AY20" i="7"/>
  <c r="BA19" i="7"/>
  <c r="AZ19" i="7"/>
  <c r="BB20" i="7"/>
  <c r="BE13" i="7"/>
  <c r="AT18" i="7"/>
  <c r="AS17" i="7"/>
  <c r="BD16" i="7" s="1"/>
  <c r="AQ18" i="7"/>
  <c r="AR17" i="7"/>
  <c r="BC16" i="7" s="1"/>
  <c r="Z11" i="6"/>
  <c r="BA20" i="7" l="1"/>
  <c r="AZ20" i="7"/>
  <c r="BB21" i="7"/>
  <c r="AY21" i="7"/>
  <c r="BE14" i="7"/>
  <c r="AX23" i="7"/>
  <c r="AW22" i="7"/>
  <c r="AV22" i="7"/>
  <c r="AU23" i="7"/>
  <c r="Y18" i="6"/>
  <c r="V18" i="6"/>
  <c r="X17" i="6"/>
  <c r="W17" i="6"/>
  <c r="AQ19" i="7"/>
  <c r="AT19" i="7"/>
  <c r="AS18" i="7"/>
  <c r="BD17" i="7" s="1"/>
  <c r="AR18" i="7"/>
  <c r="BC17" i="7" s="1"/>
  <c r="BE15" i="7" s="1"/>
  <c r="V19" i="6" l="1"/>
  <c r="Y19" i="6"/>
  <c r="X18" i="6"/>
  <c r="W18" i="6"/>
  <c r="Z14" i="6" s="1"/>
  <c r="AR19" i="7"/>
  <c r="BC18" i="7" s="1"/>
  <c r="AT20" i="7"/>
  <c r="AS19" i="7"/>
  <c r="BD18" i="7" s="1"/>
  <c r="AQ20" i="7"/>
  <c r="Z13" i="6"/>
  <c r="AY22" i="7"/>
  <c r="BB22" i="7"/>
  <c r="BA21" i="7"/>
  <c r="AZ21" i="7"/>
  <c r="AX24" i="7"/>
  <c r="AU24" i="7"/>
  <c r="AW23" i="7"/>
  <c r="AV23" i="7"/>
  <c r="BE16" i="7" l="1"/>
  <c r="AZ22" i="7"/>
  <c r="BA22" i="7"/>
  <c r="BB23" i="7"/>
  <c r="AY23" i="7"/>
  <c r="V20" i="6"/>
  <c r="Y20" i="6"/>
  <c r="X19" i="6"/>
  <c r="W19" i="6"/>
  <c r="Z15" i="6" s="1"/>
  <c r="AW24" i="7"/>
  <c r="AX25" i="7"/>
  <c r="AU25" i="7"/>
  <c r="AV24" i="7"/>
  <c r="AQ21" i="7"/>
  <c r="AT21" i="7"/>
  <c r="AS20" i="7"/>
  <c r="BD19" i="7" s="1"/>
  <c r="AR20" i="7"/>
  <c r="BC19" i="7" s="1"/>
  <c r="BE17" i="7" s="1"/>
  <c r="AW25" i="7" l="1"/>
  <c r="AV25" i="7"/>
  <c r="AU26" i="7"/>
  <c r="AX26" i="7"/>
  <c r="AR21" i="7"/>
  <c r="BC20" i="7" s="1"/>
  <c r="BE18" i="7" s="1"/>
  <c r="AQ22" i="7"/>
  <c r="AT22" i="7"/>
  <c r="AS21" i="7"/>
  <c r="BD20" i="7" s="1"/>
  <c r="X20" i="6"/>
  <c r="W20" i="6"/>
  <c r="Z16" i="6" s="1"/>
  <c r="AA15" i="6" s="1" a="1"/>
  <c r="AA15" i="6" s="1"/>
  <c r="BB24" i="7"/>
  <c r="BA23" i="7"/>
  <c r="AZ23" i="7"/>
  <c r="AY24" i="7"/>
  <c r="AA16" i="6" l="1" a="1"/>
  <c r="AA16" i="6" s="1"/>
  <c r="AA10" i="6" a="1"/>
  <c r="AA10" i="6" s="1"/>
  <c r="AC4" i="6"/>
  <c r="AC5" i="6"/>
  <c r="AC11" i="6"/>
  <c r="AC14" i="6"/>
  <c r="AC7" i="6"/>
  <c r="AC3" i="6"/>
  <c r="AC9" i="6"/>
  <c r="AC15" i="6"/>
  <c r="AC12" i="6"/>
  <c r="AC8" i="6"/>
  <c r="AC2" i="6"/>
  <c r="AC6" i="6"/>
  <c r="AC13" i="6"/>
  <c r="AC10" i="6"/>
  <c r="AS22" i="7"/>
  <c r="BD21" i="7" s="1"/>
  <c r="AR22" i="7"/>
  <c r="BC21" i="7" s="1"/>
  <c r="BE19" i="7" s="1"/>
  <c r="AQ23" i="7"/>
  <c r="AT23" i="7"/>
  <c r="AY25" i="7"/>
  <c r="BB25" i="7"/>
  <c r="BA24" i="7"/>
  <c r="AZ24" i="7"/>
  <c r="AA7" i="6" a="1"/>
  <c r="AA7" i="6" s="1"/>
  <c r="AA6" i="6" a="1"/>
  <c r="AA6" i="6" s="1"/>
  <c r="AA4" i="6" a="1"/>
  <c r="AA4" i="6" s="1"/>
  <c r="AA3" i="6" a="1"/>
  <c r="AA3" i="6" s="1"/>
  <c r="AA11" i="6" a="1"/>
  <c r="AA11" i="6" s="1"/>
  <c r="AA5" i="6" a="1"/>
  <c r="AA5" i="6" s="1"/>
  <c r="AA12" i="6" a="1"/>
  <c r="AA12" i="6" s="1"/>
  <c r="AA2" i="6" a="1"/>
  <c r="AA2" i="6" s="1"/>
  <c r="AA14" i="6" a="1"/>
  <c r="AA14" i="6" s="1"/>
  <c r="AA13" i="6" a="1"/>
  <c r="AA13" i="6" s="1"/>
  <c r="AA8" i="6" a="1"/>
  <c r="AA8" i="6" s="1"/>
  <c r="AU27" i="7"/>
  <c r="AV26" i="7"/>
  <c r="AX27" i="7"/>
  <c r="AW26" i="7"/>
  <c r="AA9" i="6" a="1"/>
  <c r="AA9" i="6" s="1"/>
  <c r="AQ24" i="7" l="1"/>
  <c r="AR23" i="7"/>
  <c r="BC22" i="7" s="1"/>
  <c r="BE20" i="7" s="1"/>
  <c r="AT24" i="7"/>
  <c r="AS23" i="7"/>
  <c r="BD22" i="7" s="1"/>
  <c r="AU28" i="7"/>
  <c r="AV27" i="7"/>
  <c r="AX28" i="7"/>
  <c r="AW27" i="7"/>
  <c r="AY26" i="7"/>
  <c r="BA25" i="7"/>
  <c r="AZ25" i="7"/>
  <c r="BB26" i="7"/>
  <c r="AW28" i="7" l="1"/>
  <c r="AV28" i="7"/>
  <c r="AU29" i="7"/>
  <c r="AX29" i="7"/>
  <c r="BA26" i="7"/>
  <c r="BB27" i="7"/>
  <c r="AZ26" i="7"/>
  <c r="AY27" i="7"/>
  <c r="AR24" i="7"/>
  <c r="BC23" i="7" s="1"/>
  <c r="BE21" i="7" s="1"/>
  <c r="AT25" i="7"/>
  <c r="AS24" i="7"/>
  <c r="BD23" i="7" s="1"/>
  <c r="AQ25" i="7"/>
  <c r="AX30" i="7" l="1"/>
  <c r="AU30" i="7"/>
  <c r="AW29" i="7"/>
  <c r="AV29" i="7"/>
  <c r="AQ26" i="7"/>
  <c r="AT26" i="7"/>
  <c r="AS25" i="7"/>
  <c r="BD24" i="7" s="1"/>
  <c r="AR25" i="7"/>
  <c r="BC24" i="7" s="1"/>
  <c r="BE22" i="7" s="1"/>
  <c r="AZ27" i="7"/>
  <c r="BB28" i="7"/>
  <c r="AY28" i="7"/>
  <c r="BA27" i="7"/>
  <c r="AQ27" i="7" l="1"/>
  <c r="AT27" i="7"/>
  <c r="AS26" i="7"/>
  <c r="BD25" i="7" s="1"/>
  <c r="AR26" i="7"/>
  <c r="BC25" i="7" s="1"/>
  <c r="BE23" i="7" s="1"/>
  <c r="AY29" i="7"/>
  <c r="BB29" i="7"/>
  <c r="BA28" i="7"/>
  <c r="AZ28" i="7"/>
  <c r="AU31" i="7"/>
  <c r="AW30" i="7"/>
  <c r="AV30" i="7"/>
  <c r="AX31" i="7"/>
  <c r="AQ28" i="7" l="1"/>
  <c r="AT28" i="7"/>
  <c r="AS27" i="7"/>
  <c r="BD26" i="7" s="1"/>
  <c r="AR27" i="7"/>
  <c r="BC26" i="7" s="1"/>
  <c r="BE24" i="7" s="1"/>
  <c r="BB30" i="7"/>
  <c r="AY30" i="7"/>
  <c r="BA29" i="7"/>
  <c r="AZ29" i="7"/>
  <c r="AV31" i="7"/>
  <c r="AX32" i="7"/>
  <c r="AW31" i="7"/>
  <c r="AU32" i="7"/>
  <c r="AY31" i="7" l="1"/>
  <c r="AZ30" i="7"/>
  <c r="BB31" i="7"/>
  <c r="BA30" i="7"/>
  <c r="AW32" i="7"/>
  <c r="AV32" i="7"/>
  <c r="AX33" i="7"/>
  <c r="AU33" i="7"/>
  <c r="AT29" i="7"/>
  <c r="AS28" i="7"/>
  <c r="BD27" i="7" s="1"/>
  <c r="AQ29" i="7"/>
  <c r="AR28" i="7"/>
  <c r="BC27" i="7" s="1"/>
  <c r="BE25" i="7" s="1"/>
  <c r="AW33" i="7" l="1"/>
  <c r="AV33" i="7"/>
  <c r="AU34" i="7"/>
  <c r="AX34" i="7"/>
  <c r="AR29" i="7"/>
  <c r="BC28" i="7" s="1"/>
  <c r="BE26" i="7" s="1"/>
  <c r="AS29" i="7"/>
  <c r="BD28" i="7" s="1"/>
  <c r="AT30" i="7"/>
  <c r="AQ30" i="7"/>
  <c r="AY32" i="7"/>
  <c r="BA31" i="7"/>
  <c r="AZ31" i="7"/>
  <c r="BB32" i="7"/>
  <c r="AZ32" i="7" l="1"/>
  <c r="BA32" i="7"/>
  <c r="BB33" i="7"/>
  <c r="AY33" i="7"/>
  <c r="AQ31" i="7"/>
  <c r="AS30" i="7"/>
  <c r="BD29" i="7" s="1"/>
  <c r="AR30" i="7"/>
  <c r="BC29" i="7" s="1"/>
  <c r="BE27" i="7" s="1"/>
  <c r="AT31" i="7"/>
  <c r="AU35" i="7"/>
  <c r="AW34" i="7"/>
  <c r="AX35" i="7"/>
  <c r="AV34" i="7"/>
  <c r="AT32" i="7" l="1"/>
  <c r="AQ32" i="7"/>
  <c r="AS31" i="7"/>
  <c r="BD30" i="7" s="1"/>
  <c r="AR31" i="7"/>
  <c r="BC30" i="7" s="1"/>
  <c r="BE28" i="7" s="1"/>
  <c r="BB34" i="7"/>
  <c r="AZ33" i="7"/>
  <c r="AY34" i="7"/>
  <c r="BA33" i="7"/>
  <c r="AW35" i="7"/>
  <c r="AU36" i="7"/>
  <c r="AV35" i="7"/>
  <c r="AX36" i="7"/>
  <c r="AT33" i="7" l="1"/>
  <c r="AS32" i="7"/>
  <c r="BD31" i="7" s="1"/>
  <c r="AQ33" i="7"/>
  <c r="AR32" i="7"/>
  <c r="BC31" i="7" s="1"/>
  <c r="BE29" i="7" s="1"/>
  <c r="BA34" i="7"/>
  <c r="AY35" i="7"/>
  <c r="AZ34" i="7"/>
  <c r="BB35" i="7"/>
  <c r="AV36" i="7"/>
  <c r="AX37" i="7"/>
  <c r="AW36" i="7"/>
  <c r="AU37" i="7"/>
  <c r="AZ35" i="7" l="1"/>
  <c r="BA35" i="7"/>
  <c r="AY36" i="7"/>
  <c r="BB36" i="7"/>
  <c r="AQ34" i="7"/>
  <c r="AS33" i="7"/>
  <c r="BD32" i="7" s="1"/>
  <c r="AT34" i="7"/>
  <c r="AR33" i="7"/>
  <c r="BC32" i="7" s="1"/>
  <c r="BE30" i="7" s="1"/>
  <c r="AX38" i="7"/>
  <c r="AU38" i="7"/>
  <c r="AW37" i="7"/>
  <c r="AV37" i="7"/>
  <c r="AR34" i="7" l="1"/>
  <c r="BC33" i="7" s="1"/>
  <c r="BE31" i="7" s="1"/>
  <c r="AQ35" i="7"/>
  <c r="AT35" i="7"/>
  <c r="AS34" i="7"/>
  <c r="BD33" i="7" s="1"/>
  <c r="BA36" i="7"/>
  <c r="AZ36" i="7"/>
  <c r="BB37" i="7"/>
  <c r="AY37" i="7"/>
  <c r="AW38" i="7"/>
  <c r="AV38" i="7"/>
  <c r="AX39" i="7"/>
  <c r="AU39" i="7"/>
  <c r="AZ37" i="7" l="1"/>
  <c r="AY38" i="7"/>
  <c r="BB38" i="7"/>
  <c r="BA37" i="7"/>
  <c r="AS35" i="7"/>
  <c r="BD34" i="7" s="1"/>
  <c r="AR35" i="7"/>
  <c r="BC34" i="7" s="1"/>
  <c r="BE32" i="7" s="1"/>
  <c r="AT36" i="7"/>
  <c r="AQ36" i="7"/>
  <c r="AU40" i="7"/>
  <c r="AW39" i="7"/>
  <c r="AV39" i="7"/>
  <c r="AX40" i="7"/>
  <c r="AX41" i="7" l="1"/>
  <c r="AW40" i="7"/>
  <c r="AU41" i="7"/>
  <c r="AV40" i="7"/>
  <c r="BA38" i="7"/>
  <c r="AY39" i="7"/>
  <c r="AZ38" i="7"/>
  <c r="BB39" i="7"/>
  <c r="AT37" i="7"/>
  <c r="AQ37" i="7"/>
  <c r="AS36" i="7"/>
  <c r="BD35" i="7" s="1"/>
  <c r="AR36" i="7"/>
  <c r="BC35" i="7" s="1"/>
  <c r="BE33" i="7" s="1"/>
  <c r="AX42" i="7" l="1"/>
  <c r="AU42" i="7"/>
  <c r="AV41" i="7"/>
  <c r="AW41" i="7"/>
  <c r="AT38" i="7"/>
  <c r="AQ38" i="7"/>
  <c r="AS37" i="7"/>
  <c r="BD36" i="7" s="1"/>
  <c r="AR37" i="7"/>
  <c r="BC36" i="7" s="1"/>
  <c r="BE34" i="7" s="1"/>
  <c r="BB40" i="7"/>
  <c r="BA39" i="7"/>
  <c r="AZ39" i="7"/>
  <c r="AY40" i="7"/>
  <c r="AZ40" i="7" l="1"/>
  <c r="BB41" i="7"/>
  <c r="AY41" i="7"/>
  <c r="BA40" i="7"/>
  <c r="AQ39" i="7"/>
  <c r="AT39" i="7"/>
  <c r="AR38" i="7"/>
  <c r="BC37" i="7" s="1"/>
  <c r="BE35" i="7" s="1"/>
  <c r="AS38" i="7"/>
  <c r="BD37" i="7" s="1"/>
  <c r="AW42" i="7"/>
  <c r="AU43" i="7"/>
  <c r="AV42" i="7"/>
  <c r="AX43" i="7"/>
  <c r="BB42" i="7" l="1"/>
  <c r="AY42" i="7"/>
  <c r="BA41" i="7"/>
  <c r="AZ41" i="7"/>
  <c r="AT40" i="7"/>
  <c r="AS39" i="7"/>
  <c r="BD38" i="7" s="1"/>
  <c r="AR39" i="7"/>
  <c r="BC38" i="7" s="1"/>
  <c r="BE36" i="7" s="1"/>
  <c r="AQ40" i="7"/>
  <c r="AV43" i="7"/>
  <c r="AW43" i="7"/>
  <c r="AX44" i="7"/>
  <c r="AU44" i="7"/>
  <c r="AW44" i="7" l="1"/>
  <c r="AV44" i="7"/>
  <c r="AX45" i="7"/>
  <c r="AU45" i="7"/>
  <c r="BB43" i="7"/>
  <c r="AZ42" i="7"/>
  <c r="AY43" i="7"/>
  <c r="BA42" i="7"/>
  <c r="AR40" i="7"/>
  <c r="BC39" i="7" s="1"/>
  <c r="BE37" i="7" s="1"/>
  <c r="AS40" i="7"/>
  <c r="BD39" i="7" s="1"/>
  <c r="AQ41" i="7"/>
  <c r="AT41" i="7"/>
  <c r="AS41" i="7" l="1"/>
  <c r="BD40" i="7" s="1"/>
  <c r="AT42" i="7"/>
  <c r="AR41" i="7"/>
  <c r="BC40" i="7" s="1"/>
  <c r="BE38" i="7" s="1"/>
  <c r="AQ42" i="7"/>
  <c r="AY44" i="7"/>
  <c r="BA43" i="7"/>
  <c r="BB44" i="7"/>
  <c r="AZ43" i="7"/>
  <c r="AW45" i="7"/>
  <c r="AX46" i="7"/>
  <c r="AV45" i="7"/>
  <c r="AU46" i="7"/>
  <c r="AU47" i="7" l="1"/>
  <c r="AX47" i="7"/>
  <c r="AW46" i="7"/>
  <c r="AV46" i="7"/>
  <c r="AZ44" i="7"/>
  <c r="BA44" i="7"/>
  <c r="AY45" i="7"/>
  <c r="BB45" i="7"/>
  <c r="AT43" i="7"/>
  <c r="AQ43" i="7"/>
  <c r="AR42" i="7"/>
  <c r="BC41" i="7" s="1"/>
  <c r="BE39" i="7" s="1"/>
  <c r="AS42" i="7"/>
  <c r="BD41" i="7" s="1"/>
  <c r="AZ45" i="7" l="1"/>
  <c r="AY46" i="7"/>
  <c r="BA45" i="7"/>
  <c r="BB46" i="7"/>
  <c r="AV47" i="7"/>
  <c r="AX48" i="7"/>
  <c r="AW47" i="7"/>
  <c r="AU48" i="7"/>
  <c r="AS43" i="7"/>
  <c r="BD42" i="7" s="1"/>
  <c r="AQ44" i="7"/>
  <c r="AR43" i="7"/>
  <c r="BC42" i="7" s="1"/>
  <c r="BE40" i="7" s="1"/>
  <c r="AT44" i="7"/>
  <c r="AY47" i="7" l="1"/>
  <c r="BA46" i="7"/>
  <c r="AZ46" i="7"/>
  <c r="BB47" i="7"/>
  <c r="AX49" i="7"/>
  <c r="AW48" i="7"/>
  <c r="AU49" i="7"/>
  <c r="AV48" i="7"/>
  <c r="AQ45" i="7"/>
  <c r="AS44" i="7"/>
  <c r="BD43" i="7" s="1"/>
  <c r="AR44" i="7"/>
  <c r="BC43" i="7" s="1"/>
  <c r="BE41" i="7" s="1"/>
  <c r="AT45" i="7"/>
  <c r="AW49" i="7" l="1"/>
  <c r="AU50" i="7"/>
  <c r="AX50" i="7"/>
  <c r="AV49" i="7"/>
  <c r="AS45" i="7"/>
  <c r="BD44" i="7" s="1"/>
  <c r="AQ46" i="7"/>
  <c r="AR45" i="7"/>
  <c r="BC44" i="7" s="1"/>
  <c r="BE42" i="7" s="1"/>
  <c r="AT46" i="7"/>
  <c r="BB48" i="7"/>
  <c r="AZ47" i="7"/>
  <c r="AY48" i="7"/>
  <c r="BA47" i="7"/>
  <c r="AX51" i="7" l="1"/>
  <c r="AV50" i="7"/>
  <c r="AW50" i="7"/>
  <c r="AU51" i="7"/>
  <c r="AR46" i="7"/>
  <c r="BC45" i="7" s="1"/>
  <c r="BE43" i="7" s="1"/>
  <c r="AQ47" i="7"/>
  <c r="AT47" i="7"/>
  <c r="AS46" i="7"/>
  <c r="BD45" i="7" s="1"/>
  <c r="BA48" i="7"/>
  <c r="AY49" i="7"/>
  <c r="AZ48" i="7"/>
  <c r="BB49" i="7"/>
  <c r="AV51" i="7" l="1"/>
  <c r="AX52" i="7"/>
  <c r="AU52" i="7"/>
  <c r="AW51" i="7"/>
  <c r="AQ48" i="7"/>
  <c r="AS47" i="7"/>
  <c r="BD46" i="7" s="1"/>
  <c r="AR47" i="7"/>
  <c r="BC46" i="7" s="1"/>
  <c r="BE44" i="7" s="1"/>
  <c r="AT48" i="7"/>
  <c r="BB50" i="7"/>
  <c r="AY50" i="7"/>
  <c r="AZ49" i="7"/>
  <c r="BA49" i="7"/>
  <c r="AY51" i="7" l="1"/>
  <c r="BB51" i="7"/>
  <c r="AZ50" i="7"/>
  <c r="BA50" i="7"/>
  <c r="AS48" i="7"/>
  <c r="BD47" i="7" s="1"/>
  <c r="AR48" i="7"/>
  <c r="BC47" i="7" s="1"/>
  <c r="BE45" i="7" s="1"/>
  <c r="AQ49" i="7"/>
  <c r="AT49" i="7"/>
  <c r="AU53" i="7"/>
  <c r="AW52" i="7"/>
  <c r="AV52" i="7"/>
  <c r="AX53" i="7"/>
  <c r="AW53" i="7" l="1"/>
  <c r="AX54" i="7"/>
  <c r="AU54" i="7"/>
  <c r="AV53" i="7"/>
  <c r="AQ50" i="7"/>
  <c r="AR49" i="7"/>
  <c r="BC48" i="7" s="1"/>
  <c r="BE46" i="7" s="1"/>
  <c r="AT50" i="7"/>
  <c r="AS49" i="7"/>
  <c r="BD48" i="7" s="1"/>
  <c r="BA51" i="7"/>
  <c r="AZ51" i="7"/>
  <c r="BB52" i="7"/>
  <c r="AY52" i="7"/>
  <c r="AV54" i="7" l="1"/>
  <c r="AX55" i="7"/>
  <c r="AW54" i="7"/>
  <c r="AU55" i="7"/>
  <c r="BA52" i="7"/>
  <c r="AY53" i="7"/>
  <c r="BB53" i="7"/>
  <c r="AZ52" i="7"/>
  <c r="AR50" i="7"/>
  <c r="BC49" i="7" s="1"/>
  <c r="BE47" i="7" s="1"/>
  <c r="AQ51" i="7"/>
  <c r="AS50" i="7"/>
  <c r="BD49" i="7" s="1"/>
  <c r="AT51" i="7"/>
  <c r="AV55" i="7" l="1"/>
  <c r="AX56" i="7"/>
  <c r="AW55" i="7"/>
  <c r="AU56" i="7"/>
  <c r="BA53" i="7"/>
  <c r="AY54" i="7"/>
  <c r="BB54" i="7"/>
  <c r="AZ53" i="7"/>
  <c r="AR51" i="7"/>
  <c r="BC50" i="7" s="1"/>
  <c r="BE48" i="7" s="1"/>
  <c r="AQ52" i="7"/>
  <c r="AT52" i="7"/>
  <c r="AS51" i="7"/>
  <c r="BD50" i="7" s="1"/>
  <c r="AZ54" i="7" l="1"/>
  <c r="BA54" i="7"/>
  <c r="BB55" i="7"/>
  <c r="AY55" i="7"/>
  <c r="AX57" i="7"/>
  <c r="AW56" i="7"/>
  <c r="AV56" i="7"/>
  <c r="AU57" i="7"/>
  <c r="AT53" i="7"/>
  <c r="AQ53" i="7"/>
  <c r="AS52" i="7"/>
  <c r="BD51" i="7" s="1"/>
  <c r="AR52" i="7"/>
  <c r="BC51" i="7" s="1"/>
  <c r="BE49" i="7" s="1"/>
  <c r="BA55" i="7" l="1"/>
  <c r="BB56" i="7"/>
  <c r="AY56" i="7"/>
  <c r="AZ55" i="7"/>
  <c r="AQ54" i="7"/>
  <c r="AT54" i="7"/>
  <c r="AR53" i="7"/>
  <c r="BC52" i="7" s="1"/>
  <c r="BE50" i="7" s="1"/>
  <c r="AS53" i="7"/>
  <c r="BD52" i="7" s="1"/>
  <c r="AX58" i="7"/>
  <c r="AW57" i="7"/>
  <c r="AV57" i="7"/>
  <c r="AU58" i="7"/>
  <c r="AX59" i="7" l="1"/>
  <c r="AW58" i="7"/>
  <c r="AU59" i="7"/>
  <c r="AV58" i="7"/>
  <c r="AQ55" i="7"/>
  <c r="AS54" i="7"/>
  <c r="BD53" i="7" s="1"/>
  <c r="AR54" i="7"/>
  <c r="BC53" i="7" s="1"/>
  <c r="BE51" i="7" s="1"/>
  <c r="AT55" i="7"/>
  <c r="AY57" i="7"/>
  <c r="BB57" i="7"/>
  <c r="BA56" i="7"/>
  <c r="AZ56" i="7"/>
  <c r="AQ56" i="7" l="1"/>
  <c r="AT56" i="7"/>
  <c r="AS55" i="7"/>
  <c r="BD54" i="7" s="1"/>
  <c r="AR55" i="7"/>
  <c r="BC54" i="7" s="1"/>
  <c r="BE52" i="7" s="1"/>
  <c r="AY58" i="7"/>
  <c r="BB58" i="7"/>
  <c r="BA57" i="7"/>
  <c r="AZ57" i="7"/>
  <c r="AU60" i="7"/>
  <c r="AW59" i="7"/>
  <c r="AV59" i="7"/>
  <c r="AX60" i="7"/>
  <c r="AU61" i="7" l="1"/>
  <c r="AV60" i="7"/>
  <c r="AW60" i="7"/>
  <c r="AX61" i="7"/>
  <c r="AS56" i="7"/>
  <c r="BD55" i="7" s="1"/>
  <c r="AQ57" i="7"/>
  <c r="AT57" i="7"/>
  <c r="AR56" i="7"/>
  <c r="BC55" i="7" s="1"/>
  <c r="BE53" i="7" s="1"/>
  <c r="BB59" i="7"/>
  <c r="AZ58" i="7"/>
  <c r="BA58" i="7"/>
  <c r="AY59" i="7"/>
  <c r="AW61" i="7" l="1"/>
  <c r="AX62" i="7"/>
  <c r="AV61" i="7"/>
  <c r="AU62" i="7"/>
  <c r="AT58" i="7"/>
  <c r="AS57" i="7"/>
  <c r="BD56" i="7" s="1"/>
  <c r="AR57" i="7"/>
  <c r="BC56" i="7" s="1"/>
  <c r="BE54" i="7" s="1"/>
  <c r="AQ58" i="7"/>
  <c r="BB60" i="7"/>
  <c r="BA59" i="7"/>
  <c r="AY60" i="7"/>
  <c r="AZ59" i="7"/>
  <c r="AS58" i="7" l="1"/>
  <c r="BD57" i="7" s="1"/>
  <c r="AT59" i="7"/>
  <c r="AQ59" i="7"/>
  <c r="AR58" i="7"/>
  <c r="BC57" i="7" s="1"/>
  <c r="BE55" i="7" s="1"/>
  <c r="AY61" i="7"/>
  <c r="BB61" i="7"/>
  <c r="BA60" i="7"/>
  <c r="AZ60" i="7"/>
  <c r="AX63" i="7"/>
  <c r="AW62" i="7"/>
  <c r="AV62" i="7"/>
  <c r="AU63" i="7"/>
  <c r="AU64" i="7" l="1"/>
  <c r="AW63" i="7"/>
  <c r="AV63" i="7"/>
  <c r="AX64" i="7"/>
  <c r="AR59" i="7"/>
  <c r="BC58" i="7" s="1"/>
  <c r="BE56" i="7" s="1"/>
  <c r="AT60" i="7"/>
  <c r="AS59" i="7"/>
  <c r="BD58" i="7" s="1"/>
  <c r="AQ60" i="7"/>
  <c r="BB62" i="7"/>
  <c r="AY62" i="7"/>
  <c r="BA61" i="7"/>
  <c r="AZ61" i="7"/>
  <c r="AZ62" i="7" l="1"/>
  <c r="BA62" i="7"/>
  <c r="BB63" i="7"/>
  <c r="AY63" i="7"/>
  <c r="AT61" i="7"/>
  <c r="AS60" i="7"/>
  <c r="BD59" i="7" s="1"/>
  <c r="AR60" i="7"/>
  <c r="BC59" i="7" s="1"/>
  <c r="BE57" i="7" s="1"/>
  <c r="AQ61" i="7"/>
  <c r="AU65" i="7"/>
  <c r="AX65" i="7"/>
  <c r="AV64" i="7"/>
  <c r="AW64" i="7"/>
  <c r="BB64" i="7" l="1"/>
  <c r="BA63" i="7"/>
  <c r="AZ63" i="7"/>
  <c r="AY64" i="7"/>
  <c r="AX66" i="7"/>
  <c r="AV65" i="7"/>
  <c r="AW65" i="7"/>
  <c r="AU66" i="7"/>
  <c r="AT62" i="7"/>
  <c r="AR61" i="7"/>
  <c r="BC60" i="7" s="1"/>
  <c r="BE58" i="7" s="1"/>
  <c r="AQ62" i="7"/>
  <c r="AS61" i="7"/>
  <c r="BD60" i="7" s="1"/>
  <c r="AT63" i="7" l="1"/>
  <c r="AS62" i="7"/>
  <c r="BD61" i="7" s="1"/>
  <c r="AQ63" i="7"/>
  <c r="AR62" i="7"/>
  <c r="BC61" i="7" s="1"/>
  <c r="BE59" i="7" s="1"/>
  <c r="BB65" i="7"/>
  <c r="AY65" i="7"/>
  <c r="BA64" i="7"/>
  <c r="AZ64" i="7"/>
  <c r="AW66" i="7"/>
  <c r="AU67" i="7"/>
  <c r="AX67" i="7"/>
  <c r="AV66" i="7"/>
  <c r="BB66" i="7" l="1"/>
  <c r="BA65" i="7"/>
  <c r="AY66" i="7"/>
  <c r="AZ65" i="7"/>
  <c r="AX68" i="7"/>
  <c r="AU68" i="7"/>
  <c r="AW67" i="7"/>
  <c r="AV67" i="7"/>
  <c r="AS63" i="7"/>
  <c r="BD62" i="7" s="1"/>
  <c r="AT64" i="7"/>
  <c r="AQ64" i="7"/>
  <c r="AR63" i="7"/>
  <c r="BC62" i="7" s="1"/>
  <c r="BE60" i="7" s="1"/>
  <c r="AX69" i="7" l="1"/>
  <c r="AW68" i="7"/>
  <c r="AV68" i="7"/>
  <c r="AU69" i="7"/>
  <c r="AY67" i="7"/>
  <c r="AZ66" i="7"/>
  <c r="BB67" i="7"/>
  <c r="BA66" i="7"/>
  <c r="AT65" i="7"/>
  <c r="AS64" i="7"/>
  <c r="BD63" i="7" s="1"/>
  <c r="AR64" i="7"/>
  <c r="BC63" i="7" s="1"/>
  <c r="BE61" i="7" s="1"/>
  <c r="AQ65" i="7"/>
  <c r="AX70" i="7" l="1"/>
  <c r="AU70" i="7"/>
  <c r="AW69" i="7"/>
  <c r="AV69" i="7"/>
  <c r="AS65" i="7"/>
  <c r="BD64" i="7" s="1"/>
  <c r="AR65" i="7"/>
  <c r="BC64" i="7" s="1"/>
  <c r="BE62" i="7" s="1"/>
  <c r="AQ66" i="7"/>
  <c r="AT66" i="7"/>
  <c r="BB68" i="7"/>
  <c r="BA67" i="7"/>
  <c r="AY68" i="7"/>
  <c r="AZ67" i="7"/>
  <c r="BB69" i="7" l="1"/>
  <c r="BA68" i="7"/>
  <c r="AZ68" i="7"/>
  <c r="AY69" i="7"/>
  <c r="AX71" i="7"/>
  <c r="AW70" i="7"/>
  <c r="AU71" i="7"/>
  <c r="AV70" i="7"/>
  <c r="AS66" i="7"/>
  <c r="BD65" i="7" s="1"/>
  <c r="AR66" i="7"/>
  <c r="BC65" i="7" s="1"/>
  <c r="BE63" i="7" s="1"/>
  <c r="AT67" i="7"/>
  <c r="AQ67" i="7"/>
  <c r="BA69" i="7" l="1"/>
  <c r="AZ69" i="7"/>
  <c r="BB70" i="7"/>
  <c r="AY70" i="7"/>
  <c r="AS67" i="7"/>
  <c r="BD66" i="7" s="1"/>
  <c r="AR67" i="7"/>
  <c r="BC66" i="7" s="1"/>
  <c r="BE64" i="7" s="1"/>
  <c r="AT68" i="7"/>
  <c r="AQ68" i="7"/>
  <c r="AV71" i="7"/>
  <c r="AX72" i="7"/>
  <c r="AU72" i="7"/>
  <c r="AW71" i="7"/>
  <c r="AX73" i="7" l="1"/>
  <c r="AV72" i="7"/>
  <c r="AU73" i="7"/>
  <c r="AW72" i="7"/>
  <c r="AY71" i="7"/>
  <c r="BA70" i="7"/>
  <c r="AZ70" i="7"/>
  <c r="BB71" i="7"/>
  <c r="AT69" i="7"/>
  <c r="AS68" i="7"/>
  <c r="BD67" i="7" s="1"/>
  <c r="AR68" i="7"/>
  <c r="BC67" i="7" s="1"/>
  <c r="AQ69" i="7"/>
  <c r="AW73" i="7" l="1"/>
  <c r="AU74" i="7"/>
  <c r="AX74" i="7"/>
  <c r="AV73" i="7"/>
  <c r="BE65" i="7"/>
  <c r="BC130" i="7"/>
  <c r="BE128" i="7" s="1"/>
  <c r="BC127" i="7"/>
  <c r="BE125" i="7" s="1"/>
  <c r="BC131" i="7"/>
  <c r="BE129" i="7" s="1"/>
  <c r="BC124" i="7"/>
  <c r="BE122" i="7" s="1"/>
  <c r="BC129" i="7"/>
  <c r="BE127" i="7" s="1"/>
  <c r="BC128" i="7"/>
  <c r="BE126" i="7" s="1"/>
  <c r="BC125" i="7"/>
  <c r="BE123" i="7" s="1"/>
  <c r="BC123" i="7"/>
  <c r="BE121" i="7" s="1"/>
  <c r="BC126" i="7"/>
  <c r="BE124" i="7" s="1"/>
  <c r="BC133" i="7"/>
  <c r="BC132" i="7"/>
  <c r="BE130" i="7" s="1"/>
  <c r="AY72" i="7"/>
  <c r="BB72" i="7"/>
  <c r="BA71" i="7"/>
  <c r="AZ71" i="7"/>
  <c r="AT70" i="7"/>
  <c r="AS69" i="7"/>
  <c r="BD68" i="7" s="1"/>
  <c r="AR69" i="7"/>
  <c r="BC68" i="7" s="1"/>
  <c r="BE66" i="7" s="1"/>
  <c r="AQ70" i="7"/>
  <c r="BE131" i="7" l="1"/>
  <c r="AU75" i="7"/>
  <c r="AW74" i="7"/>
  <c r="AV74" i="7"/>
  <c r="AX75" i="7"/>
  <c r="BB73" i="7"/>
  <c r="AZ72" i="7"/>
  <c r="AY73" i="7"/>
  <c r="BA72" i="7"/>
  <c r="AS70" i="7"/>
  <c r="BD69" i="7" s="1"/>
  <c r="AT71" i="7"/>
  <c r="AR70" i="7"/>
  <c r="BC69" i="7" s="1"/>
  <c r="BE67" i="7" s="1"/>
  <c r="AQ71" i="7"/>
  <c r="AV75" i="7" l="1"/>
  <c r="AU76" i="7"/>
  <c r="AX76" i="7"/>
  <c r="AW75" i="7"/>
  <c r="AS71" i="7"/>
  <c r="BD70" i="7" s="1"/>
  <c r="AT72" i="7"/>
  <c r="AQ72" i="7"/>
  <c r="AR71" i="7"/>
  <c r="BC70" i="7" s="1"/>
  <c r="BA73" i="7"/>
  <c r="AZ73" i="7"/>
  <c r="BB74" i="7"/>
  <c r="AY74" i="7"/>
  <c r="AX77" i="7" l="1"/>
  <c r="AV76" i="7"/>
  <c r="AU77" i="7"/>
  <c r="AW76" i="7"/>
  <c r="BE68" i="7"/>
  <c r="BA74" i="7"/>
  <c r="AZ74" i="7"/>
  <c r="BB75" i="7"/>
  <c r="AY75" i="7"/>
  <c r="AS72" i="7"/>
  <c r="BD71" i="7" s="1"/>
  <c r="AR72" i="7"/>
  <c r="BC71" i="7" s="1"/>
  <c r="AT73" i="7"/>
  <c r="AQ73" i="7"/>
  <c r="BE69" i="7" l="1"/>
  <c r="BB76" i="7"/>
  <c r="BA75" i="7"/>
  <c r="AY76" i="7"/>
  <c r="AZ75" i="7"/>
  <c r="AW77" i="7"/>
  <c r="AV77" i="7"/>
  <c r="AX78" i="7"/>
  <c r="AU78" i="7"/>
  <c r="AQ74" i="7"/>
  <c r="AT74" i="7"/>
  <c r="AS73" i="7"/>
  <c r="BD72" i="7" s="1"/>
  <c r="AR73" i="7"/>
  <c r="BC72" i="7" s="1"/>
  <c r="BA76" i="7" l="1"/>
  <c r="AZ76" i="7"/>
  <c r="AY77" i="7"/>
  <c r="BB77" i="7"/>
  <c r="AT75" i="7"/>
  <c r="AR74" i="7"/>
  <c r="BC73" i="7" s="1"/>
  <c r="AS74" i="7"/>
  <c r="BD73" i="7" s="1"/>
  <c r="AQ75" i="7"/>
  <c r="AX79" i="7"/>
  <c r="AU79" i="7"/>
  <c r="AW78" i="7"/>
  <c r="AV78" i="7"/>
  <c r="BE70" i="7"/>
  <c r="AW79" i="7" l="1"/>
  <c r="AV79" i="7"/>
  <c r="AU80" i="7"/>
  <c r="AX80" i="7"/>
  <c r="AT76" i="7"/>
  <c r="AQ76" i="7"/>
  <c r="AR75" i="7"/>
  <c r="BC74" i="7" s="1"/>
  <c r="BE72" i="7" s="1"/>
  <c r="AS75" i="7"/>
  <c r="BD74" i="7" s="1"/>
  <c r="BB78" i="7"/>
  <c r="AZ77" i="7"/>
  <c r="AY78" i="7"/>
  <c r="BA77" i="7"/>
  <c r="BE71" i="7"/>
  <c r="AW80" i="7" l="1"/>
  <c r="AV80" i="7"/>
  <c r="AU81" i="7"/>
  <c r="AX81" i="7"/>
  <c r="AS76" i="7"/>
  <c r="BD75" i="7" s="1"/>
  <c r="AR76" i="7"/>
  <c r="BC75" i="7" s="1"/>
  <c r="AT77" i="7"/>
  <c r="AQ77" i="7"/>
  <c r="AZ78" i="7"/>
  <c r="BB79" i="7"/>
  <c r="AY79" i="7"/>
  <c r="BA78" i="7"/>
  <c r="BE73" i="7" l="1"/>
  <c r="AU82" i="7"/>
  <c r="AW81" i="7"/>
  <c r="AV81" i="7"/>
  <c r="AX82" i="7"/>
  <c r="BB80" i="7"/>
  <c r="BA79" i="7"/>
  <c r="AZ79" i="7"/>
  <c r="AY80" i="7"/>
  <c r="AT78" i="7"/>
  <c r="AQ78" i="7"/>
  <c r="AR77" i="7"/>
  <c r="BC76" i="7" s="1"/>
  <c r="BE74" i="7" s="1"/>
  <c r="AS77" i="7"/>
  <c r="BD76" i="7" s="1"/>
  <c r="AQ79" i="7" l="1"/>
  <c r="AS78" i="7"/>
  <c r="BD77" i="7" s="1"/>
  <c r="AR78" i="7"/>
  <c r="BC77" i="7" s="1"/>
  <c r="BE75" i="7" s="1"/>
  <c r="AT79" i="7"/>
  <c r="AX83" i="7"/>
  <c r="AV82" i="7"/>
  <c r="AU83" i="7"/>
  <c r="AW82" i="7"/>
  <c r="BA80" i="7"/>
  <c r="AZ80" i="7"/>
  <c r="BB81" i="7"/>
  <c r="AY81" i="7"/>
  <c r="BA81" i="7" l="1"/>
  <c r="BB82" i="7"/>
  <c r="AZ81" i="7"/>
  <c r="AY82" i="7"/>
  <c r="AU84" i="7"/>
  <c r="AV83" i="7"/>
  <c r="AX84" i="7"/>
  <c r="AW83" i="7"/>
  <c r="AQ80" i="7"/>
  <c r="AT80" i="7"/>
  <c r="AS79" i="7"/>
  <c r="BD78" i="7" s="1"/>
  <c r="AR79" i="7"/>
  <c r="BC78" i="7" s="1"/>
  <c r="BE76" i="7" s="1"/>
  <c r="AX85" i="7" l="1"/>
  <c r="AW84" i="7"/>
  <c r="AU85" i="7"/>
  <c r="AV84" i="7"/>
  <c r="AQ81" i="7"/>
  <c r="AS80" i="7"/>
  <c r="BD79" i="7" s="1"/>
  <c r="AT81" i="7"/>
  <c r="AR80" i="7"/>
  <c r="BC79" i="7" s="1"/>
  <c r="BE77" i="7" s="1"/>
  <c r="AZ82" i="7"/>
  <c r="BA82" i="7"/>
  <c r="BB83" i="7"/>
  <c r="AY83" i="7"/>
  <c r="AY84" i="7" l="1"/>
  <c r="BA83" i="7"/>
  <c r="BB84" i="7"/>
  <c r="AZ83" i="7"/>
  <c r="AS81" i="7"/>
  <c r="BD80" i="7" s="1"/>
  <c r="AT82" i="7"/>
  <c r="AQ82" i="7"/>
  <c r="AR81" i="7"/>
  <c r="BC80" i="7" s="1"/>
  <c r="BE78" i="7" s="1"/>
  <c r="AU86" i="7"/>
  <c r="AX86" i="7"/>
  <c r="AW85" i="7"/>
  <c r="AV85" i="7"/>
  <c r="AQ83" i="7" l="1"/>
  <c r="AS82" i="7"/>
  <c r="BD81" i="7" s="1"/>
  <c r="AT83" i="7"/>
  <c r="AR82" i="7"/>
  <c r="BC81" i="7" s="1"/>
  <c r="BE79" i="7" s="1"/>
  <c r="AY85" i="7"/>
  <c r="BA84" i="7"/>
  <c r="AZ84" i="7"/>
  <c r="BB85" i="7"/>
  <c r="AX87" i="7"/>
  <c r="AV86" i="7"/>
  <c r="AW86" i="7"/>
  <c r="AU87" i="7"/>
  <c r="AW87" i="7" l="1"/>
  <c r="AV87" i="7"/>
  <c r="BA85" i="7"/>
  <c r="BB86" i="7"/>
  <c r="AY86" i="7"/>
  <c r="AZ85" i="7"/>
  <c r="AR83" i="7"/>
  <c r="BC82" i="7" s="1"/>
  <c r="BE80" i="7" s="1"/>
  <c r="AT84" i="7"/>
  <c r="AS83" i="7"/>
  <c r="BD82" i="7" s="1"/>
  <c r="AQ84" i="7"/>
  <c r="AR84" i="7" l="1"/>
  <c r="BC83" i="7" s="1"/>
  <c r="BE81" i="7" s="1"/>
  <c r="AQ85" i="7"/>
  <c r="AT85" i="7"/>
  <c r="AS84" i="7"/>
  <c r="BD83" i="7" s="1"/>
  <c r="BA86" i="7"/>
  <c r="BB87" i="7"/>
  <c r="AZ86" i="7"/>
  <c r="AY87" i="7"/>
  <c r="AS85" i="7" l="1"/>
  <c r="BD84" i="7" s="1"/>
  <c r="AR85" i="7"/>
  <c r="BC84" i="7" s="1"/>
  <c r="BE82" i="7" s="1"/>
  <c r="AT86" i="7"/>
  <c r="AQ86" i="7"/>
  <c r="BA87" i="7"/>
  <c r="AZ87" i="7"/>
  <c r="AQ87" i="7" l="1"/>
  <c r="AS86" i="7"/>
  <c r="BD85" i="7" s="1"/>
  <c r="AR86" i="7"/>
  <c r="BC85" i="7" s="1"/>
  <c r="BE83" i="7" s="1"/>
  <c r="AT87" i="7"/>
  <c r="AR87" i="7" l="1"/>
  <c r="BC86" i="7" s="1"/>
  <c r="BE84" i="7" s="1"/>
  <c r="BF14" i="7" s="1" a="1"/>
  <c r="BF14" i="7" s="1"/>
  <c r="AS87" i="7"/>
  <c r="BD86" i="7" s="1"/>
  <c r="BF48" i="7" l="1" a="1"/>
  <c r="BF48" i="7" s="1"/>
  <c r="BF126" i="7" a="1"/>
  <c r="BF126" i="7" s="1"/>
  <c r="BF7" i="7" a="1"/>
  <c r="BF7" i="7" s="1"/>
  <c r="BF6" i="7" a="1"/>
  <c r="BF6" i="7" s="1"/>
  <c r="BF124" i="7" a="1"/>
  <c r="BF124" i="7" s="1"/>
  <c r="BF93" i="7" a="1"/>
  <c r="BF93" i="7" s="1"/>
  <c r="BF42" i="7" a="1"/>
  <c r="BF42" i="7" s="1"/>
  <c r="BF87" i="7" a="1"/>
  <c r="BF87" i="7" s="1"/>
  <c r="BF13" i="7" a="1"/>
  <c r="BF13" i="7" s="1"/>
  <c r="BF102" i="7" a="1"/>
  <c r="BF102" i="7" s="1"/>
  <c r="BF39" i="7" a="1"/>
  <c r="BF39" i="7" s="1"/>
  <c r="BF140" i="7" a="1"/>
  <c r="BF140" i="7" s="1"/>
  <c r="BF2" i="7" a="1"/>
  <c r="BF2" i="7" s="1"/>
  <c r="BF111" i="7" a="1"/>
  <c r="BF111" i="7" s="1"/>
  <c r="BF29" i="7" a="1"/>
  <c r="BF29" i="7" s="1"/>
  <c r="BF125" i="7" a="1"/>
  <c r="BF125" i="7" s="1"/>
  <c r="BF105" i="7" a="1"/>
  <c r="BF105" i="7" s="1"/>
  <c r="BF80" i="7" a="1"/>
  <c r="BF80" i="7" s="1"/>
  <c r="BF117" i="7" a="1"/>
  <c r="BF117" i="7" s="1"/>
  <c r="BF118" i="7" a="1"/>
  <c r="BF118" i="7" s="1"/>
  <c r="BF75" i="7" a="1"/>
  <c r="BF75" i="7" s="1"/>
  <c r="BF65" i="7" a="1"/>
  <c r="BF65" i="7" s="1"/>
  <c r="BF58" i="7" a="1"/>
  <c r="BF58" i="7" s="1"/>
  <c r="BF78" i="7" a="1"/>
  <c r="BF78" i="7" s="1"/>
  <c r="BF15" i="7" a="1"/>
  <c r="BF15" i="7" s="1"/>
  <c r="BF9" i="7" a="1"/>
  <c r="BF9" i="7" s="1"/>
  <c r="BF119" i="7" a="1"/>
  <c r="BF119" i="7" s="1"/>
  <c r="BF98" i="7" a="1"/>
  <c r="BF98" i="7" s="1"/>
  <c r="BF41" i="7" a="1"/>
  <c r="BF41" i="7" s="1"/>
  <c r="BF106" i="7" a="1"/>
  <c r="BF106" i="7" s="1"/>
  <c r="BF51" i="7" a="1"/>
  <c r="BF51" i="7" s="1"/>
  <c r="BF56" i="7" a="1"/>
  <c r="BF56" i="7" s="1"/>
  <c r="BF115" i="7" a="1"/>
  <c r="BF115" i="7" s="1"/>
  <c r="BF22" i="7" a="1"/>
  <c r="BF22" i="7" s="1"/>
  <c r="BF71" i="7" a="1"/>
  <c r="BF71" i="7" s="1"/>
  <c r="BF86" i="7" a="1"/>
  <c r="BF86" i="7" s="1"/>
  <c r="BF123" i="7" a="1"/>
  <c r="BF123" i="7" s="1"/>
  <c r="BF34" i="7" a="1"/>
  <c r="BF34" i="7" s="1"/>
  <c r="BF76" i="7" a="1"/>
  <c r="BF76" i="7" s="1"/>
  <c r="BF66" i="7" a="1"/>
  <c r="BF66" i="7" s="1"/>
  <c r="BF30" i="7" a="1"/>
  <c r="BF30" i="7" s="1"/>
  <c r="BF103" i="7" a="1"/>
  <c r="BF103" i="7" s="1"/>
  <c r="BF109" i="7" a="1"/>
  <c r="BF109" i="7" s="1"/>
  <c r="BF121" i="7" a="1"/>
  <c r="BF121" i="7" s="1"/>
  <c r="BF23" i="7" a="1"/>
  <c r="BF23" i="7" s="1"/>
  <c r="BF141" i="7" a="1"/>
  <c r="BF141" i="7" s="1"/>
  <c r="BF5" i="7" a="1"/>
  <c r="BF5" i="7" s="1"/>
  <c r="BF17" i="7" a="1"/>
  <c r="BF17" i="7" s="1"/>
  <c r="BF47" i="7" a="1"/>
  <c r="BF47" i="7" s="1"/>
  <c r="BF91" i="7" a="1"/>
  <c r="BF91" i="7" s="1"/>
  <c r="BF112" i="7" a="1"/>
  <c r="BF112" i="7" s="1"/>
  <c r="BF142" i="7" a="1"/>
  <c r="BF142" i="7" s="1"/>
  <c r="BF104" i="7" a="1"/>
  <c r="BF104" i="7" s="1"/>
  <c r="BF139" i="7" a="1"/>
  <c r="BF139" i="7" s="1"/>
  <c r="BF4" i="7" a="1"/>
  <c r="BF4" i="7" s="1"/>
  <c r="BF88" i="7" a="1"/>
  <c r="BF88" i="7" s="1"/>
  <c r="BF37" i="7" a="1"/>
  <c r="BF37" i="7" s="1"/>
  <c r="BF96" i="7" a="1"/>
  <c r="BF96" i="7" s="1"/>
  <c r="BF120" i="7" a="1"/>
  <c r="BF120" i="7" s="1"/>
  <c r="BF60" i="7" a="1"/>
  <c r="BF60" i="7" s="1"/>
  <c r="BF12" i="7" a="1"/>
  <c r="BF12" i="7" s="1"/>
  <c r="BF49" i="7" a="1"/>
  <c r="BF49" i="7" s="1"/>
  <c r="BF8" i="7" a="1"/>
  <c r="BF8" i="7" s="1"/>
  <c r="BF45" i="7" a="1"/>
  <c r="BF45" i="7" s="1"/>
  <c r="BF97" i="7" a="1"/>
  <c r="BF97" i="7" s="1"/>
  <c r="BF20" i="7" a="1"/>
  <c r="BF20" i="7" s="1"/>
  <c r="BF143" i="7" a="1"/>
  <c r="BF143" i="7" s="1"/>
  <c r="BF84" i="7" a="1"/>
  <c r="BF84" i="7" s="1"/>
  <c r="BF16" i="7" a="1"/>
  <c r="BF16" i="7" s="1"/>
  <c r="BF107" i="7" a="1"/>
  <c r="BF107" i="7" s="1"/>
  <c r="BF127" i="7" a="1"/>
  <c r="BF127" i="7" s="1"/>
  <c r="BF108" i="7" a="1"/>
  <c r="BF108" i="7" s="1"/>
  <c r="BF89" i="7" a="1"/>
  <c r="BF89" i="7" s="1"/>
  <c r="BF77" i="7" a="1"/>
  <c r="BF77" i="7" s="1"/>
  <c r="BF36" i="7" a="1"/>
  <c r="BF36" i="7" s="1"/>
  <c r="BF136" i="7" a="1"/>
  <c r="BF136" i="7" s="1"/>
  <c r="BF38" i="7" a="1"/>
  <c r="BF38" i="7" s="1"/>
  <c r="BF95" i="7" a="1"/>
  <c r="BF95" i="7" s="1"/>
  <c r="BF26" i="7" a="1"/>
  <c r="BF26" i="7" s="1"/>
  <c r="BF57" i="7" a="1"/>
  <c r="BF57" i="7" s="1"/>
  <c r="BF122" i="7" a="1"/>
  <c r="BF122" i="7" s="1"/>
  <c r="BF46" i="7" a="1"/>
  <c r="BF46" i="7" s="1"/>
  <c r="BF35" i="7" a="1"/>
  <c r="BF35" i="7" s="1"/>
  <c r="BF92" i="7" a="1"/>
  <c r="BF92" i="7" s="1"/>
  <c r="BF73" i="7" a="1"/>
  <c r="BF73" i="7" s="1"/>
  <c r="BF74" i="7" a="1"/>
  <c r="BF74" i="7" s="1"/>
  <c r="BF110" i="7" a="1"/>
  <c r="BF110" i="7" s="1"/>
  <c r="BF90" i="7" a="1"/>
  <c r="BF90" i="7" s="1"/>
  <c r="BF3" i="7" a="1"/>
  <c r="BF3" i="7" s="1"/>
  <c r="BF61" i="7" a="1"/>
  <c r="BF61" i="7" s="1"/>
  <c r="BF43" i="7" a="1"/>
  <c r="BF43" i="7" s="1"/>
  <c r="BF25" i="7" a="1"/>
  <c r="BF25" i="7" s="1"/>
  <c r="BF11" i="7" a="1"/>
  <c r="BF11" i="7" s="1"/>
  <c r="BF31" i="7" a="1"/>
  <c r="BF31" i="7" s="1"/>
  <c r="BF128" i="7" a="1"/>
  <c r="BF128" i="7" s="1"/>
  <c r="BF54" i="7" a="1"/>
  <c r="BF54" i="7" s="1"/>
  <c r="BF129" i="7" a="1"/>
  <c r="BF129" i="7" s="1"/>
  <c r="BF55" i="7" a="1"/>
  <c r="BF55" i="7" s="1"/>
  <c r="BF134" i="7" a="1"/>
  <c r="BF134" i="7" s="1"/>
  <c r="BF116" i="7" a="1"/>
  <c r="BF116" i="7" s="1"/>
  <c r="BF94" i="7" a="1"/>
  <c r="BF94" i="7" s="1"/>
  <c r="BF85" i="7" a="1"/>
  <c r="BF85" i="7" s="1"/>
  <c r="BF44" i="7" a="1"/>
  <c r="BF44" i="7" s="1"/>
  <c r="BF100" i="7" a="1"/>
  <c r="BF100" i="7" s="1"/>
  <c r="BF67" i="7" a="1"/>
  <c r="BF67" i="7" s="1"/>
  <c r="BF52" i="7" a="1"/>
  <c r="BF52" i="7" s="1"/>
  <c r="BF135" i="7" a="1"/>
  <c r="BF135" i="7" s="1"/>
  <c r="BF59" i="7" a="1"/>
  <c r="BF59" i="7" s="1"/>
  <c r="BF53" i="7" a="1"/>
  <c r="BF53" i="7" s="1"/>
  <c r="BF28" i="7" a="1"/>
  <c r="BF28" i="7" s="1"/>
  <c r="BF10" i="7" a="1"/>
  <c r="BF10" i="7" s="1"/>
  <c r="BF70" i="7" a="1"/>
  <c r="BF70" i="7" s="1"/>
  <c r="BF24" i="7" a="1"/>
  <c r="BF24" i="7" s="1"/>
  <c r="BF33" i="7" a="1"/>
  <c r="BF33" i="7" s="1"/>
  <c r="BF99" i="7" a="1"/>
  <c r="BF99" i="7" s="1"/>
  <c r="BF131" i="7" a="1"/>
  <c r="BF131" i="7" s="1"/>
  <c r="BF138" i="7" a="1"/>
  <c r="BF138" i="7" s="1"/>
  <c r="BF101" i="7" a="1"/>
  <c r="BF101" i="7" s="1"/>
  <c r="BF81" i="7" a="1"/>
  <c r="BF81" i="7" s="1"/>
  <c r="BF27" i="7" a="1"/>
  <c r="BF27" i="7" s="1"/>
  <c r="BF72" i="7" a="1"/>
  <c r="BF72" i="7" s="1"/>
  <c r="BF68" i="7" a="1"/>
  <c r="BF68" i="7" s="1"/>
  <c r="BF62" i="7" a="1"/>
  <c r="BF62" i="7" s="1"/>
  <c r="BF32" i="7" a="1"/>
  <c r="BF32" i="7" s="1"/>
  <c r="BF137" i="7" a="1"/>
  <c r="BF137" i="7" s="1"/>
  <c r="BF133" i="7" a="1"/>
  <c r="BF133" i="7" s="1"/>
  <c r="BF83" i="7" a="1"/>
  <c r="BF83" i="7" s="1"/>
  <c r="BF50" i="7" a="1"/>
  <c r="BF50" i="7" s="1"/>
  <c r="BF69" i="7" a="1"/>
  <c r="BF69" i="7" s="1"/>
  <c r="BF40" i="7" a="1"/>
  <c r="BF40" i="7" s="1"/>
  <c r="BF132" i="7" a="1"/>
  <c r="BF132" i="7" s="1"/>
  <c r="BF114" i="7" a="1"/>
  <c r="BF114" i="7" s="1"/>
  <c r="BF64" i="7" a="1"/>
  <c r="BF64" i="7" s="1"/>
  <c r="BF130" i="7" a="1"/>
  <c r="BF130" i="7" s="1"/>
  <c r="BF82" i="7" a="1"/>
  <c r="BF82" i="7" s="1"/>
  <c r="BF18" i="7" a="1"/>
  <c r="BF18" i="7" s="1"/>
  <c r="BF63" i="7" a="1"/>
  <c r="BF63" i="7" s="1"/>
  <c r="BF21" i="7" a="1"/>
  <c r="BF21" i="7" s="1"/>
  <c r="BH26" i="7"/>
  <c r="BH24" i="7"/>
  <c r="BH17" i="7"/>
  <c r="BH18" i="7"/>
  <c r="BH4" i="7"/>
  <c r="BH36" i="7"/>
  <c r="BH13" i="7"/>
  <c r="BH9" i="7"/>
  <c r="BH16" i="7"/>
  <c r="BH33" i="7"/>
  <c r="BH27" i="7"/>
  <c r="BH40" i="7"/>
  <c r="BH38" i="7"/>
  <c r="BH42" i="7"/>
  <c r="BH39" i="7"/>
  <c r="BH32" i="7"/>
  <c r="BH45" i="7"/>
  <c r="BH44" i="7"/>
  <c r="BH5" i="7"/>
  <c r="BH19" i="7"/>
  <c r="BH23" i="7"/>
  <c r="BH30" i="7"/>
  <c r="BH10" i="7"/>
  <c r="BH2" i="7"/>
  <c r="BH21" i="7"/>
  <c r="BH34" i="7"/>
  <c r="BH41" i="7"/>
  <c r="BH11" i="7"/>
  <c r="BH14" i="7"/>
  <c r="BH28" i="7"/>
  <c r="BH22" i="7"/>
  <c r="BH35" i="7"/>
  <c r="BH25" i="7"/>
  <c r="BH46" i="7"/>
  <c r="BH20" i="7"/>
  <c r="BH6" i="7"/>
  <c r="BH3" i="7"/>
  <c r="BH29" i="7"/>
  <c r="BH37" i="7"/>
  <c r="BH43" i="7"/>
  <c r="BH12" i="7"/>
  <c r="BH15" i="7"/>
  <c r="BH31" i="7"/>
  <c r="BH7" i="7"/>
  <c r="BH8" i="7"/>
  <c r="BF79" i="7" a="1"/>
  <c r="BF79" i="7" s="1"/>
  <c r="BF19" i="7" a="1"/>
  <c r="BF19" i="7" s="1"/>
  <c r="BF113" i="7" a="1"/>
  <c r="BF11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Null</author>
    <author>Walmart-2756</author>
    <author>Administrator</author>
    <author>周拜</author>
  </authors>
  <commentList>
    <comment ref="B7" authorId="0" shapeId="0" xr:uid="{00000000-0006-0000-0100-000001000000}">
      <text>
        <r>
          <rPr>
            <sz val="9"/>
            <rFont val="微软雅黑"/>
            <family val="2"/>
            <charset val="134"/>
          </rPr>
          <t>亚种
变体
分支
族系</t>
        </r>
      </text>
    </comment>
    <comment ref="C14" authorId="0" shapeId="0" xr:uid="{00000000-0006-0000-0100-000002000000}">
      <text>
        <r>
          <rPr>
            <sz val="9"/>
            <rFont val="微软雅黑"/>
            <family val="2"/>
            <charset val="134"/>
          </rPr>
          <t>力量代表肌肉力量、运动训练及所能发挥的肉体潜能。
力量检定可以对应举重、推、拉、暴力破坏、推挤或其他使用蛮力的情况。
当你执行以下行动时，可能会要求你进行力量检定：
强行突破卡死、上锁或栓住、堵塞的门
扯开束缚物
挤过太狭窄的通道
被马车拖行时抓着马车不放
推倒一座雕像
止住滚动中的大圆石</t>
        </r>
      </text>
    </comment>
    <comment ref="C15" authorId="0" shapeId="0" xr:uid="{00000000-0006-0000-0100-000003000000}">
      <text>
        <r>
          <rPr>
            <sz val="9"/>
            <rFont val="微软雅黑"/>
            <family val="2"/>
            <charset val="134"/>
          </rPr>
          <t>敏捷代表机敏度、反射速度、平衡力。
敏捷检定可以对应进行灵巧、迅速、安静的移动，或在不稳定的地方保持平衡。
当你执行以下行动时，可能会要求你进行敏捷检定：
在落坡时控制住重载的马车
控制战车急转弯或避开障碍
撬锁
解除陷阱
牢牢地绑住战俘
从束缚中滑脱
演奏弦乐
制作细致的小东西</t>
        </r>
      </text>
    </comment>
    <comment ref="C16" authorId="0" shapeId="0" xr:uid="{00000000-0006-0000-0100-000004000000}">
      <text>
        <r>
          <rPr>
            <sz val="9"/>
            <rFont val="微软雅黑"/>
            <family val="2"/>
            <charset val="134"/>
          </rPr>
          <t>体质代表健康、耐力、生命力。
体质检定可以对应超越突破极限的努力。
当你进行以下行动时，可能会要求你进行体质检定：
闭气
持续数小时不间断的行进或作苦力活
通宵活动
不吃不喝
一口喝掉一大杯麦酒</t>
        </r>
      </text>
    </comment>
    <comment ref="C17" authorId="0" shapeId="0" xr:uid="{00000000-0006-0000-0100-000005000000}">
      <text>
        <r>
          <rPr>
            <sz val="9"/>
            <rFont val="微软雅黑"/>
            <family val="2"/>
            <charset val="134"/>
          </rPr>
          <t>智力代表思维能力、记忆能力、逻辑能力。
智力检定可以对应需要使用推理、教育、记忆的状态。
当你进行以下行动时，可能会要求你进行智力检定：
不使用言语与他人沟通
给一件贵重品估价
搜集材料以伪装成一名城市守卫通过某处
伪造文书
忆起关于一门手艺或行业的知识
在技术性游戏中获胜</t>
        </r>
      </text>
    </comment>
    <comment ref="C18" authorId="0" shapeId="0" xr:uid="{00000000-0006-0000-0100-000006000000}">
      <text>
        <r>
          <rPr>
            <sz val="9"/>
            <rFont val="微软雅黑"/>
            <family val="2"/>
            <charset val="134"/>
          </rPr>
          <t>感知代表你与周围环境的协和度，反映你的观察力和洞察力。
感知检定可以对应理解肢体语言、同理心、感受环境、照顾伤患等活动。
当你进行以下行动时，可能会要你进行感知检定：
用直觉决定下一步应该怎样做
辨认看上去已经死了或者还活着的生物是否不死生物</t>
        </r>
      </text>
    </comment>
    <comment ref="C19" authorId="0" shapeId="0" xr:uid="{00000000-0006-0000-0100-000007000000}">
      <text>
        <r>
          <rPr>
            <sz val="9"/>
            <rFont val="微软雅黑"/>
            <family val="2"/>
            <charset val="134"/>
          </rPr>
          <t>魅力你跟他人有效地交流的能力。它代表了信心、口才，也能代表迷人或有凝聚力的个性。
魅力检定可以对应使人改变心意、娱人、留下深刻印像、说谎、应酬等活动。
当你进行以下行动时，可能会要你进行魅力检定：
找出最消息灵通的人
融入群众，听取当下的热门话题</t>
        </r>
      </text>
    </comment>
    <comment ref="J26" authorId="1" shapeId="0" xr:uid="{00000000-0006-0000-0100-000008000000}">
      <text>
        <r>
          <rPr>
            <sz val="9"/>
            <rFont val="微软雅黑"/>
            <family val="2"/>
            <charset val="134"/>
          </rPr>
          <t>生命骰的总数等于角色的等级
每一粒生命骰的结果加上角色的体质调整值，即为该粒生命骰恢复的生命值（总数至少为0）
每掷完一粒生命骰，都可以选择是否花费更多生命骰来恢复生命
一个角色已花费的生命骰，可以通过完成一次长休来恢复</t>
        </r>
      </text>
    </comment>
    <comment ref="J29" authorId="1" shapeId="0" xr:uid="{00000000-0006-0000-0100-000009000000}">
      <text>
        <r>
          <rPr>
            <sz val="9"/>
            <rFont val="微软雅黑"/>
            <family val="2"/>
            <charset val="134"/>
          </rPr>
          <t>受该类型伤害时数值减半
抗性先作用于易伤，而两者皆在伤害加上所有适用的调整值后再作应用</t>
        </r>
      </text>
    </comment>
    <comment ref="AB32" authorId="2" shapeId="0" xr:uid="{00000000-0006-0000-0100-00000A000000}">
      <text>
        <r>
          <rPr>
            <sz val="9"/>
            <rFont val="微软雅黑"/>
            <family val="2"/>
            <charset val="134"/>
          </rPr>
          <t>有时候，你所进行的属性检定，攻击检定或豁免检定会具有优势或劣势这种特殊调整
此时，你在进行相应的掷骰后要再掷一次d20，具有优势时采用骰值较高者，劣势则采用值低者
当有多个情况使你同时具有复数的优势或劣势时，你都只能额外掷一次d20
如果某次掷骰同时具有优势和劣势，则两边效果互相抵消，即你只掷一次d20，即使两边的数量不对等也一样，此时，你视为没有优势也没有劣势
当你具有优势或劣势，且可以重掷或取代d20值时（比如半身人“幸运”特性的作用），你可以选择重掷或取代两粒骰其中一个
通常你会因特殊能力、动作、法术而具有优势或劣势。另外，激励（见第4章）也可以使角色在进行关于个人特点、理想或牵绊的检定时具有优势。而DM也可以对你的形势优劣作出判断，然后给予你相应的优势或劣势</t>
        </r>
      </text>
    </comment>
    <comment ref="J34" authorId="3" shapeId="0" xr:uid="{00000000-0006-0000-0100-00000B000000}">
      <text>
        <r>
          <rPr>
            <sz val="9"/>
            <rFont val="微软雅黑"/>
            <family val="2"/>
            <charset val="134"/>
          </rPr>
          <t>【特殊能力】
可用来记录职业能力
如狂暴、气、引导神力等...</t>
        </r>
      </text>
    </comment>
    <comment ref="S34" authorId="3" shapeId="0" xr:uid="{00000000-0006-0000-0100-00000C000000}">
      <text>
        <r>
          <rPr>
            <sz val="9"/>
            <rFont val="微软雅黑"/>
            <family val="2"/>
            <charset val="134"/>
          </rPr>
          <t>【特殊能力】
可用来记录职业能力
如狂暴、气、引导神力等...</t>
        </r>
      </text>
    </comment>
    <comment ref="AB34" authorId="2" shapeId="0" xr:uid="{00000000-0006-0000-0100-00000D000000}">
      <text>
        <r>
          <rPr>
            <sz val="9"/>
            <rFont val="微软雅黑"/>
            <family val="2"/>
            <charset val="134"/>
          </rPr>
          <t>有时候，你所进行的属性检定，攻击检定或豁免检定会具有优势或劣势这种特殊调整
此时，你在进行相应的掷骰后要再掷一次d20，具有优势时采用骰值较高者，劣势则采用值低者
当有多个情况使你同时具有复数的优势或劣势时，你都只能额外掷一次d20
如果某次掷骰同时具有优势和劣势，则两边效果互相抵消，即你只掷一次d20，即使两边的数量不对等也一样，此时，你视为没有优势也没有劣势
当你具有优势或劣势，且可以重掷或取代d20值时，你可以选择重掷或取代两粒骰其中一个
通常你会因特殊能力、动作、法术而具有优势或劣势。另外，激励（见第4章）也可以使角色在进行关于个人特点、理想或牵绊的检定时具有优势。而DM也可以对你的形势优劣作出判断，然后给予你相应的优势或劣势</t>
        </r>
      </text>
    </comment>
    <comment ref="C39" authorId="0" shapeId="0" xr:uid="{00000000-0006-0000-0100-00000E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1" authorId="0" shapeId="0" xr:uid="{00000000-0006-0000-0100-00000F000000}">
      <text>
        <r>
          <rPr>
            <sz val="9"/>
            <rFont val="微软雅黑"/>
            <family val="2"/>
            <charset val="134"/>
          </rPr>
          <t>涵盖了在冰块上奔跑，在绳索上平衡，在摇曳甲板上站稳等需要保持平衡的情况。
也可能用来判定你能否完成体操特技，如前翻、侧翻、空翻、后翻等。</t>
        </r>
      </text>
    </comment>
    <comment ref="C42" authorId="0" shapeId="0" xr:uid="{00000000-0006-0000-0100-000010000000}">
      <text>
        <r>
          <rPr>
            <sz val="9"/>
            <rFont val="微软雅黑"/>
            <family val="2"/>
            <charset val="134"/>
          </rPr>
          <t>涵盖了你尝试施行障眼法或巧手时（如把一些东西放在他人身上，或者将一件东西藏在自已身上）的情况。
也可能用来判定你能否从其他人的钱包或口袋中摸鱼。</t>
        </r>
      </text>
    </comment>
    <comment ref="C43" authorId="0" shapeId="0" xr:uid="{00000000-0006-0000-0100-000011000000}">
      <text>
        <r>
          <rPr>
            <sz val="9"/>
            <rFont val="微软雅黑"/>
            <family val="2"/>
            <charset val="134"/>
          </rPr>
          <t>涵盖了你尝试躲起避过敌人，躲过守卫，偷偷溜走，无声息地绕到某人背后的情况。</t>
        </r>
      </text>
    </comment>
    <comment ref="I43" authorId="0" shapeId="0" xr:uid="{00000000-0006-0000-0100-000012000000}">
      <text>
        <r>
          <rPr>
            <sz val="9"/>
            <rFont val="微软雅黑"/>
            <family val="2"/>
            <charset val="134"/>
          </rPr>
          <t xml:space="preserve">躲藏
DM可以决定情况是否允许进行躲藏。
当你尝试躲藏时，可以进行一个敏捷（隐匿）检定。此后，直到你被发现或主动停止躲藏为止，该检定的总值将作为一个固定的对抗值存在。
而任何主动以感知（察觉）检定搜索你的生物，都将用其检定值与你该固定值作对抗，以判定是否发现你的存在。
你不能针对一个可以清楚看见你的生物进行躲藏，而你一旦发出声响（如大声发出警告，或踢破一个罐子）也会立即暴露你的位置。
隐形中的生物可以随时尝试躲藏。
尽管其踪迹依然可能会被注意到，但只要保持安静就不会轻易暴露自己的位置。
大多数生物在战斗中会对周围的危险保持警觉，因此如果你在躲藏中接近某生物，通常会被立即发现。
尽管如此，某种情况下DM也可能会允许你针对被分心的生物保持隐藏，并在被发现前让你进行一个具有优势的攻击检定。
被动察觉
你在躲藏时，某些生物就算不主动搜索依然可以注意到你。
DM可以用你的敏捷（隐匿）检定与其他生物的被动感知（察觉）值作对抗，同时加上其他加值或减值。生物具有优势时，其分值加5，劣势则减5。
</t>
        </r>
      </text>
    </comment>
    <comment ref="C45" authorId="0" shapeId="0" xr:uid="{00000000-0006-0000-0100-000013000000}">
      <text>
        <r>
          <rPr>
            <sz val="9"/>
            <rFont val="微软雅黑"/>
            <family val="2"/>
            <charset val="134"/>
          </rPr>
          <t>涵盖了你忆起关于法术、魔法物品、奥秘符文、魔法学派、位面、位面住民等相关知识的情况。</t>
        </r>
      </text>
    </comment>
    <comment ref="C46" authorId="0" shapeId="0" xr:uid="{00000000-0006-0000-0100-000014000000}">
      <text>
        <r>
          <rPr>
            <sz val="9"/>
            <rFont val="微软雅黑"/>
            <family val="2"/>
            <charset val="134"/>
          </rPr>
          <t>涵盖了你忆起关于历史事件、传奇人物、古王国、昔日纠纷、近代战争、失落文明等相关知识的情况。</t>
        </r>
      </text>
    </comment>
    <comment ref="C47" authorId="0" shapeId="0" xr:uid="{00000000-0006-0000-0100-000015000000}">
      <text>
        <r>
          <rPr>
            <sz val="9"/>
            <rFont val="微软雅黑"/>
            <family val="2"/>
            <charset val="134"/>
          </rPr>
          <t>涵盖了你到处嗅探线索并以此进行推理的情况。
也可能用来判定你能否推断隐藏物件的位置，或从伤口的外观判断它由什么武器造成，或找出一条隧道的结构性弱点，或在一堆古书卷中寻找一段隐藏的知识。</t>
        </r>
      </text>
    </comment>
    <comment ref="C48" authorId="0" shapeId="0" xr:uid="{00000000-0006-0000-0100-000016000000}">
      <text>
        <r>
          <rPr>
            <sz val="9"/>
            <rFont val="微软雅黑"/>
            <family val="2"/>
            <charset val="134"/>
          </rPr>
          <t>涵盖了你忆起关于地势、动植物、气候、自然周期相关知识的情况。</t>
        </r>
      </text>
    </comment>
    <comment ref="AX48" authorId="4" shapeId="0" xr:uid="{00000000-0006-0000-0100-000017000000}">
      <text>
        <r>
          <rPr>
            <b/>
            <sz val="9"/>
            <rFont val="宋体"/>
            <family val="3"/>
            <charset val="134"/>
          </rPr>
          <t>目盲的生物不能视物，其所有需要视觉的属性检定直接失败
对目盲的生物发动攻击检定时具有优势。而目盲生物发动攻击检定时具有劣势</t>
        </r>
      </text>
    </comment>
    <comment ref="BB48" authorId="4" shapeId="0" xr:uid="{00000000-0006-0000-0100-000018000000}">
      <text>
        <r>
          <rPr>
            <b/>
            <sz val="9"/>
            <rFont val="宋体"/>
            <family val="3"/>
            <charset val="134"/>
          </rPr>
          <t>被魅惑生物不能攻击魅惑者，其造成伤害的能力或魔法效应也不能以魅惑者为目标
魅惑者对被魅惑生物进行任何与社交相关的属性检定时具有优势</t>
        </r>
      </text>
    </comment>
    <comment ref="BF48" authorId="4" shapeId="0" xr:uid="{00000000-0006-0000-0100-000019000000}">
      <text>
        <r>
          <rPr>
            <b/>
            <sz val="9"/>
            <rFont val="宋体"/>
            <family val="3"/>
            <charset val="134"/>
          </rPr>
          <t>耳聋的生物不能听音，其所有需要听觉的属性检定直接失败</t>
        </r>
      </text>
    </comment>
    <comment ref="BJ48" authorId="4" shapeId="0" xr:uid="{00000000-0006-0000-0100-00001A000000}">
      <text>
        <r>
          <rPr>
            <b/>
            <sz val="9"/>
            <rFont val="宋体"/>
            <family val="3"/>
            <charset val="134"/>
          </rPr>
          <t>造成恐慌的源头仍在被恐慌生物视线范围内时，其所有属性检定和攻击检定具有劣势
被恐慌生物不能自主向造成恐慌的源头移动</t>
        </r>
      </text>
    </comment>
    <comment ref="BN48" authorId="4" shapeId="0" xr:uid="{00000000-0006-0000-0100-00001B000000}">
      <text>
        <r>
          <rPr>
            <b/>
            <sz val="9"/>
            <rFont val="宋体"/>
            <family val="3"/>
            <charset val="134"/>
          </rPr>
          <t>被擒抱生物的速度变为0，且无法受益于任何速度加值
如果擒抱者陷入失能状态，则擒抱状态结束
如果某种效应将被擒抱生物移动到擒抱者或擒抱效果的接触范围之外，则其擒抱状态结束。例如，当生物被法术雷鸣波推开时</t>
        </r>
      </text>
    </comment>
    <comment ref="C49" authorId="0" shapeId="0" xr:uid="{00000000-0006-0000-0100-00001C000000}">
      <text>
        <r>
          <rPr>
            <sz val="9"/>
            <rFont val="微软雅黑"/>
            <family val="2"/>
            <charset val="134"/>
          </rPr>
          <t>涵盖了你忆起神祇、仪式和祷告、宗教阶级、圣徽、秘密组织风俗等相关知识的情况。</t>
        </r>
      </text>
    </comment>
    <comment ref="AX49" authorId="4" shapeId="0" xr:uid="{00000000-0006-0000-0100-00001D000000}">
      <text>
        <r>
          <rPr>
            <b/>
            <sz val="9"/>
            <rFont val="宋体"/>
            <family val="3"/>
            <charset val="134"/>
          </rPr>
          <t>失能的生物不能执行任何动作或反应</t>
        </r>
      </text>
    </comment>
    <comment ref="BB49" authorId="4" shapeId="0" xr:uid="{00000000-0006-0000-0100-00001E000000}">
      <text>
        <r>
          <rPr>
            <b/>
            <sz val="9"/>
            <rFont val="宋体"/>
            <family val="3"/>
            <charset val="134"/>
          </rPr>
          <t>隐形的生物只能被魔法或特殊感官观察到。在判断隐匿时，该生物视为处于重度遮蔽。不过，隐形的生物身处位置依然可以通过其发出的声音或留下的踪迹来辨认
对隐形的生物发动攻击检定时具有劣势。而隐形的生物发动攻击检定时具有优势</t>
        </r>
      </text>
    </comment>
    <comment ref="BF49" authorId="4" shapeId="0" xr:uid="{00000000-0006-0000-0100-00001F000000}">
      <text>
        <r>
          <rPr>
            <b/>
            <sz val="9"/>
            <rFont val="宋体"/>
            <family val="3"/>
            <charset val="134"/>
          </rPr>
          <t>麻痹的生物陷入失能状态，并且无法移动或说话
麻痹的生物进行力量和敏捷豁免时直接失败
对麻痹的生物发动攻击检定时具有优势
攻击者身处麻痹的生物身边5尺范围内时，其任何命中该生物的攻击都将直接造成重击</t>
        </r>
      </text>
    </comment>
    <comment ref="BJ49" authorId="4" shapeId="0" xr:uid="{00000000-0006-0000-0100-000020000000}">
      <text>
        <r>
          <rPr>
            <b/>
            <sz val="9"/>
            <rFont val="宋体"/>
            <family val="3"/>
            <charset val="134"/>
          </rPr>
          <t>石化的生物遭受变形，其与随身着装或携带的非魔法物品一同被转化为无生命的实心雕像（通常是石雕）。其重量变为原本的十倍，并且停止老化
石化的生物陷入失能状态，并且无法移动，无法说话，也无法感知周围的事物
对石化的生物发动攻击检定时具有优势
石化的生物进行力量和敏捷豁免时直接失败
石化的生物具有所有伤害类型的伤害抗性
石化的生物免疫毒素和疾病，但已经生效的毒素或疾病只是被暂缓，而非移除</t>
        </r>
      </text>
    </comment>
    <comment ref="BN49" authorId="4" shapeId="0" xr:uid="{00000000-0006-0000-0100-000021000000}">
      <text>
        <r>
          <rPr>
            <b/>
            <sz val="9"/>
            <rFont val="宋体"/>
            <family val="3"/>
            <charset val="134"/>
          </rPr>
          <t>中毒的生物发动攻击检定时具有劣势
中毒的生物进行属性检定时具有劣势</t>
        </r>
      </text>
    </comment>
    <comment ref="AX50" authorId="4" shapeId="0" xr:uid="{00000000-0006-0000-0100-000022000000}">
      <text>
        <r>
          <rPr>
            <b/>
            <sz val="9"/>
            <rFont val="宋体"/>
            <family val="3"/>
            <charset val="134"/>
          </rPr>
          <t>倒地的生物只能以爬行方式移动，直至其成功起立以结束倒地状态为止
倒地的生物发动攻击检定时具有劣势
倒地的生物周边5尺范围内有攻击者对其发动攻击时，本次攻击所进行的攻击检定具有优势。而该范围外的攻击者对该倒地生物发动的攻击检定则具有劣势</t>
        </r>
      </text>
    </comment>
    <comment ref="BB50" authorId="4" shapeId="0" xr:uid="{00000000-0006-0000-0100-000023000000}">
      <text>
        <r>
          <rPr>
            <b/>
            <sz val="9"/>
            <rFont val="宋体"/>
            <family val="3"/>
            <charset val="134"/>
          </rPr>
          <t>被束缚生物的速度变为0，并且无法受益于任何速度加值
对被束缚生物发动攻击检定时具有优势，被束缚生物发动攻击检定时具有劣势
被束缚生物进行的敏捷豁免具有劣势</t>
        </r>
      </text>
    </comment>
    <comment ref="BF50" authorId="4" shapeId="0" xr:uid="{00000000-0006-0000-0100-000024000000}">
      <text>
        <r>
          <rPr>
            <b/>
            <sz val="9"/>
            <rFont val="宋体"/>
            <family val="3"/>
            <charset val="134"/>
          </rPr>
          <t>被震慑生物陷入失能状态，并且无法移动，以及无法清晰连贯地说话
被震慑生物进行力量和敏捷豁免时直接失败
对被震慑生物发动攻击检定时具有优势</t>
        </r>
      </text>
    </comment>
    <comment ref="BJ50" authorId="4" shapeId="0" xr:uid="{00000000-0006-0000-0100-000025000000}">
      <text>
        <r>
          <rPr>
            <b/>
            <sz val="9"/>
            <rFont val="宋体"/>
            <family val="3"/>
            <charset val="134"/>
          </rPr>
          <t>昏迷的生物陷入失能状态，并且无法移动，无法说话，也无法感知周围的事物
昏迷的生物会放开手中持握物，并失足倒地
昏迷的生物进行力量和敏捷豁免时直接失败
对昏迷的生物发动攻击检定时具有优势
攻击者身处昏迷的生物身边5尺范围内时，其任何命中该生物的攻击都将直接造成重击</t>
        </r>
      </text>
    </comment>
    <comment ref="C51" authorId="0" shapeId="0" xr:uid="{00000000-0006-0000-0100-000026000000}">
      <text>
        <r>
          <rPr>
            <sz val="9"/>
            <rFont val="微软雅黑"/>
            <family val="2"/>
            <charset val="134"/>
          </rPr>
          <t>涵盖了你驯服一只牲畜，安抚坐骑使其免受惊吓，或者推断出动物的意向的情况。
也可能用来判定你能否在骑乘时作出一些危险动作。</t>
        </r>
      </text>
    </comment>
    <comment ref="C52" authorId="0" shapeId="0" xr:uid="{00000000-0006-0000-0100-000027000000}">
      <text>
        <r>
          <rPr>
            <sz val="9"/>
            <rFont val="微软雅黑"/>
            <family val="2"/>
            <charset val="134"/>
          </rPr>
          <t>涵盖了你辨别另一人的真实意图的情况。
你需要理解对方的肢体语言、言谈举止、态度转变等，再察觉其中的含义</t>
        </r>
      </text>
    </comment>
    <comment ref="AW52" authorId="4" shapeId="0" xr:uid="{00000000-0006-0000-0100-000028000000}">
      <text>
        <r>
          <rPr>
            <b/>
            <sz val="9"/>
            <rFont val="宋体"/>
            <family val="3"/>
            <charset val="134"/>
          </rPr>
          <t xml:space="preserve">某些特殊能力和环境危害（例如遭受饥饿，或是长时间暴露在极热或极冷的温度下），会导致名为力竭的特殊状态。力竭状态分为六个递增的等级。当特定效应造成力竭时，根据其具体描述的不同可能令生物陷入一级或更高等级的力竭中
已力竭的生物如果受另一效应影响而再次遭受力竭，则将其当前力竭等级与该效应造成的力竭等级相叠加
再度遭受高等级力竭的生物承受其当前力竭等级及所有更低级力竭的效应
移除力竭的效应按其描述降低力竭等级。力竭等级小于1时，所有力竭产生的效果结束
生物在获得足够的饮食，并完成一次长休后，其力竭等级即可降低1级。生物从死亡状态复活时，其力竭等级也可以降低1级
</t>
        </r>
      </text>
    </comment>
    <comment ref="AZ52" authorId="4" shapeId="0" xr:uid="{00000000-0006-0000-0100-000029000000}">
      <text>
        <r>
          <rPr>
            <b/>
            <sz val="9"/>
            <rFont val="宋体"/>
            <family val="3"/>
            <charset val="134"/>
          </rPr>
          <t>属性检定具有劣势</t>
        </r>
      </text>
    </comment>
    <comment ref="BC52" authorId="4" shapeId="0" xr:uid="{00000000-0006-0000-0100-00002A000000}">
      <text>
        <r>
          <rPr>
            <b/>
            <sz val="9"/>
            <rFont val="宋体"/>
            <family val="3"/>
            <charset val="134"/>
          </rPr>
          <t>属性检定具有劣势
速度减半</t>
        </r>
      </text>
    </comment>
    <comment ref="BF52" authorId="4" shapeId="0" xr:uid="{00000000-0006-0000-0100-00002B000000}">
      <text>
        <r>
          <rPr>
            <b/>
            <sz val="9"/>
            <rFont val="宋体"/>
            <family val="3"/>
            <charset val="134"/>
          </rPr>
          <t>属性检定具有劣势
速度减半
攻击检定和豁免检定具有劣势</t>
        </r>
      </text>
    </comment>
    <comment ref="BI52" authorId="4" shapeId="0" xr:uid="{00000000-0006-0000-0100-00002C000000}">
      <text>
        <r>
          <rPr>
            <b/>
            <sz val="9"/>
            <rFont val="宋体"/>
            <family val="3"/>
            <charset val="134"/>
          </rPr>
          <t>属性检定具有劣势
速度减半
攻击检定和豁免检定具有劣势
生命值上限减半</t>
        </r>
      </text>
    </comment>
    <comment ref="BL52" authorId="4" shapeId="0" xr:uid="{00000000-0006-0000-0100-00002D000000}">
      <text>
        <r>
          <rPr>
            <b/>
            <sz val="9"/>
            <rFont val="宋体"/>
            <family val="3"/>
            <charset val="134"/>
          </rPr>
          <t>属性检定具有劣势
速度减半
攻击检定和豁免检定具有劣势
生命值上限减半
速度降为0</t>
        </r>
      </text>
    </comment>
    <comment ref="BO52" authorId="4" shapeId="0" xr:uid="{00000000-0006-0000-0100-00002E000000}">
      <text>
        <r>
          <rPr>
            <b/>
            <sz val="9"/>
            <rFont val="宋体"/>
            <family val="3"/>
            <charset val="134"/>
          </rPr>
          <t>属性检定具有劣势
速度减半
攻击检定和豁免检定具有劣势
生命值上限减半
速度降为0
死亡</t>
        </r>
      </text>
    </comment>
    <comment ref="C53" authorId="0" shapeId="0" xr:uid="{00000000-0006-0000-0100-00002F000000}">
      <text>
        <r>
          <rPr>
            <sz val="9"/>
            <rFont val="微软雅黑"/>
            <family val="2"/>
            <charset val="134"/>
          </rPr>
          <t>涵盖了你稳定濒死战友的伤势或者诊断病症的情况。</t>
        </r>
      </text>
    </comment>
    <comment ref="C54" authorId="0" shapeId="0" xr:uid="{00000000-0006-0000-0100-000030000000}">
      <text>
        <r>
          <rPr>
            <sz val="9"/>
            <rFont val="微软雅黑"/>
            <family val="2"/>
            <charset val="134"/>
          </rPr>
          <t>涵盖了你看到，听到或以其他方式察觉到某些东西的存在的情况。
它代表你对周围环境的警觉性，以及你感官的敏锐度。
例如，偷听门后的对话，或者在窗外窃听，又或者听到在林中静静移动的生物。你也可以尝试看清被遮蔽或容易看走眼的东西，如在前方埋伏的兽人，躲在暗巷的痞子，或是从密门的门缝间漏出的烛光。</t>
        </r>
      </text>
    </comment>
    <comment ref="I54" authorId="4" shapeId="0" xr:uid="{00000000-0006-0000-0100-000031000000}">
      <text>
        <r>
          <rPr>
            <sz val="9"/>
            <rFont val="宋体"/>
            <family val="3"/>
            <charset val="134"/>
          </rPr>
          <t>寻找隐藏物件
当你的角色搜索密门或者陷阱等隐藏物件时，一般会要求你进行一次感知（察觉）检定。
该检定用于寻找一些平时被忽视的蛛丝马迹，以从中获得更多的细节信息。</t>
        </r>
      </text>
    </comment>
    <comment ref="C55" authorId="0" shapeId="0" xr:uid="{00000000-0006-0000-0100-000032000000}">
      <text>
        <r>
          <rPr>
            <sz val="9"/>
            <rFont val="微软雅黑"/>
            <family val="2"/>
            <charset val="134"/>
          </rPr>
          <t>涵盖了你追踪，狩猎，引导队伍穿过冰原，辨认附近枭熊踪迹，预测天气，回避流沙或其他自然危害物的情况。</t>
        </r>
      </text>
    </comment>
    <comment ref="AE56" authorId="1" shapeId="0" xr:uid="{00000000-0006-0000-0100-000033000000}">
      <text>
        <r>
          <rPr>
            <sz val="9"/>
            <rFont val="微软雅黑"/>
            <family val="2"/>
            <charset val="134"/>
          </rPr>
          <t>发端于衰亡的帝国和失落的王国
一枚白金币价值十枚金币</t>
        </r>
      </text>
    </comment>
    <comment ref="C57" authorId="0" shapeId="0" xr:uid="{00000000-0006-0000-0100-000034000000}">
      <text>
        <r>
          <rPr>
            <sz val="9"/>
            <rFont val="微软雅黑"/>
            <family val="2"/>
            <charset val="134"/>
          </rPr>
          <t>涵盖了你可信地以言语或动作隐暪真相的情况。
由模棱两可地误导人到弥天大谎都包括在内。常见情况包括暪过守卫、骗过商人、从赌局赚钱、以易容暪天过海、安抚他人的怀疑、带着朴克脸撒大谎等。</t>
        </r>
      </text>
    </comment>
    <comment ref="AE57" authorId="1" shapeId="0" xr:uid="{00000000-0006-0000-0100-000035000000}">
      <text>
        <r>
          <rPr>
            <sz val="9"/>
            <rFont val="微软雅黑"/>
            <family val="2"/>
            <charset val="134"/>
          </rPr>
          <t>发端于衰亡的帝国和失落的王国
一枚金银币价值五枚银币</t>
        </r>
      </text>
    </comment>
    <comment ref="AW57" authorId="0" shapeId="0" xr:uid="{00000000-0006-0000-0100-000036000000}">
      <text>
        <r>
          <rPr>
            <sz val="9"/>
            <rFont val="微软雅黑"/>
            <family val="2"/>
            <charset val="134"/>
          </rPr>
          <t>荣誉检定可以应用在社交场合，和魅力的作用方式类似。一个角色对信条的理解是在社交互动中最容易扮演出来的具体要素。
当你处于如下情境中，可能会要求你进行荣誉检定：
不知自己该如何做出符合荣誉信条的行为
投降但尝试挽回颜面
试图判定其他角色的荣誉值
试图在微妙的社交情势下保持恰当的礼节
用自身名誉或不名誉的地位影响他人
当试图确定是否会在无意间做出不名誉的举动时，你需要进行荣誉豁免：
避免一次意外发生的不名誉行为或礼节失当
在敌人的挑衅与辱骂中抑制冲动行为
当敌人试图诱使你违反荣誉信条时有所警觉</t>
        </r>
      </text>
    </comment>
    <comment ref="BK57" authorId="4" shapeId="0" xr:uid="{00000000-0006-0000-0100-000037000000}">
      <text>
        <r>
          <rPr>
            <b/>
            <sz val="9"/>
            <rFont val="宋体"/>
            <family val="3"/>
            <charset val="134"/>
          </rPr>
          <t>冒险者们面对自己无法克服的威胁时，可以进行一次感知豁免
豁免失败的角色将受恐慌1分钟。该角色可以在其自己的每回合结束时重复一次该豁免，豁免成功则终止其自己身上的相应效应</t>
        </r>
      </text>
    </comment>
    <comment ref="BO57" authorId="4" shapeId="0" xr:uid="{00000000-0006-0000-0100-000038000000}">
      <text>
        <r>
          <rPr>
            <b/>
            <sz val="9"/>
            <rFont val="宋体"/>
            <family val="3"/>
            <charset val="134"/>
          </rPr>
          <t>冒险者们看到那些与现存合理的普世常识相违背的事物时，可以进行一次魅力检定来抵抗惊恐
豁免失败时，该角色获得一项短暂性或长期性疯狂</t>
        </r>
      </text>
    </comment>
    <comment ref="C58" authorId="0" shapeId="0" xr:uid="{00000000-0006-0000-0100-000039000000}">
      <text>
        <r>
          <rPr>
            <sz val="9"/>
            <rFont val="微软雅黑"/>
            <family val="2"/>
            <charset val="134"/>
          </rPr>
          <t>涵盖了你用威胁、敌对行为、暴力等使他人改变心意的情况。
例子包括迫供、吓退痞子、用破瓶的利口“说服”高官三思等。</t>
        </r>
      </text>
    </comment>
    <comment ref="AE58" authorId="1" shapeId="0" xr:uid="{00000000-0006-0000-0100-00003A000000}">
      <text>
        <r>
          <rPr>
            <sz val="9"/>
            <rFont val="微软雅黑"/>
            <family val="2"/>
            <charset val="134"/>
          </rPr>
          <t>金币是度量财富的标准单位</t>
        </r>
      </text>
    </comment>
    <comment ref="AW58" authorId="0" shapeId="0" xr:uid="{00000000-0006-0000-0100-00003B000000}">
      <text>
        <r>
          <rPr>
            <sz val="9"/>
            <rFont val="微软雅黑"/>
            <family val="2"/>
            <charset val="134"/>
          </rPr>
          <t>当你试图回忆的知识与令人疯狂的怪异存在相关，试图理解的文字为精神失常的癫狂者所书，试图学习的秘法来源于禁忌的古代卷册时，可能会要求要求你进行理智检定。
当你进行以下某种行为时也可能会要求你进行理智检定：
试图破译的文字以极为怪异的语言书写而成，甚至有摧毁心智的可能性
克服疯狂效应的持续影响
理解一份全然超乎你所知魔法常理，极其古怪莫名的魔法残片
当你有可能屈服于疯狂时，或许会要求你进行理智豁免，可能的情况包括以下几种：
初次看见某个来自遥远国度或其他异度空间的生物
与异度生物直接进行心灵接触
被影响心智稳定的法术指定为目标
通过一个由怪异物理规则形成的半位面
抵抗由造成心灵伤害的法术或攻击产生的效应</t>
        </r>
      </text>
    </comment>
    <comment ref="BK58" authorId="4" shapeId="0" xr:uid="{00000000-0006-0000-0100-00003C000000}">
      <text>
        <r>
          <rPr>
            <b/>
            <sz val="9"/>
            <rFont val="宋体"/>
            <family val="3"/>
            <charset val="134"/>
          </rPr>
          <t>生物可以用武器攻击来打下目标手中的武器或其他物品。攻击者进行一次攻击检定，其数值对抗目标的力量（运动）检定或敏捷（体操）检定。如果攻击者胜出对抗，则该攻击不造成伤害或其他负面效应，但防御方将掉落该物品
如果目标用两只或更多手持握该物品，则攻击者的本次攻击具有劣势。如果目标体型比攻击者更大则目标的检定将具有优势，如果体型更小则具有劣势</t>
        </r>
      </text>
    </comment>
    <comment ref="C59" authorId="0" shapeId="0" xr:uid="{00000000-0006-0000-0100-00003D000000}">
      <text>
        <r>
          <rPr>
            <sz val="9"/>
            <rFont val="微软雅黑"/>
            <family val="2"/>
            <charset val="134"/>
          </rPr>
          <t>涵盖了你用音乐，舞蹈，扮演，卖艺，说书，或其他方式娱乐观众的情况。</t>
        </r>
      </text>
    </comment>
    <comment ref="AE59" authorId="1" shapeId="0" xr:uid="{00000000-0006-0000-0100-00003E000000}">
      <text>
        <r>
          <rPr>
            <sz val="9"/>
            <rFont val="微软雅黑"/>
            <family val="2"/>
            <charset val="134"/>
          </rPr>
          <t>普通人间最流行的硬币
一枚金币值十枚银币</t>
        </r>
      </text>
    </comment>
    <comment ref="C60" authorId="0" shapeId="0" xr:uid="{00000000-0006-0000-0100-00003F000000}">
      <text>
        <r>
          <rPr>
            <sz val="9"/>
            <rFont val="微软雅黑"/>
            <family val="2"/>
            <charset val="134"/>
          </rPr>
          <t>涵盖了你圆滑、优雅、善意地游说某人或某些人时的情况。
通常你会用游说去表示信任，促进友谊，诚恳地请求，或展示恰当的礼仪。例子包括说服官务大臣让你跟国王会面，商谈多族间的和平契约，或激励一帮村民。</t>
        </r>
      </text>
    </comment>
    <comment ref="AE60" authorId="1" shapeId="0" xr:uid="{00000000-0006-0000-0100-000040000000}">
      <text>
        <r>
          <rPr>
            <sz val="9"/>
            <rFont val="微软雅黑"/>
            <family val="2"/>
            <charset val="134"/>
          </rPr>
          <t>在乞丐和苦力中十分常见
一枚银币值十枚铜币</t>
        </r>
      </text>
    </comment>
    <comment ref="B62" authorId="1" shapeId="0" xr:uid="{00000000-0006-0000-0100-000041000000}">
      <text>
        <r>
          <rPr>
            <sz val="9"/>
            <rFont val="微软雅黑"/>
            <family val="2"/>
            <charset val="134"/>
          </rPr>
          <t>请注意：
此处仅用作货币价值换算，并非随身钱币填写处。</t>
        </r>
      </text>
    </comment>
    <comment ref="I64" authorId="4" shapeId="0" xr:uid="{00000000-0006-0000-0100-000042000000}">
      <text>
        <r>
          <rPr>
            <sz val="9"/>
            <rFont val="微软雅黑"/>
            <family val="2"/>
            <charset val="134"/>
          </rPr>
          <t>此功能需要将已知法术录入任意一法术书中</t>
        </r>
      </text>
    </comment>
    <comment ref="AW114" authorId="4" shapeId="0" xr:uid="{00000000-0006-0000-0100-000043000000}">
      <text>
        <r>
          <rPr>
            <b/>
            <sz val="9"/>
            <rFont val="宋体"/>
            <family val="3"/>
            <charset val="134"/>
          </rPr>
          <t>玩家手册</t>
        </r>
      </text>
    </comment>
    <comment ref="AZ114" authorId="4" shapeId="0" xr:uid="{00000000-0006-0000-0100-000044000000}">
      <text>
        <r>
          <rPr>
            <b/>
            <sz val="9"/>
            <rFont val="宋体"/>
            <family val="3"/>
            <charset val="134"/>
          </rPr>
          <t>城主指南</t>
        </r>
      </text>
    </comment>
    <comment ref="BC114" authorId="4" shapeId="0" xr:uid="{00000000-0006-0000-0100-000045000000}">
      <text>
        <r>
          <rPr>
            <b/>
            <sz val="9"/>
            <rFont val="宋体"/>
            <family val="3"/>
            <charset val="134"/>
          </rPr>
          <t>怪物图鉴</t>
        </r>
      </text>
    </comment>
    <comment ref="BF114" authorId="4" shapeId="0" xr:uid="{00000000-0006-0000-0100-000046000000}">
      <text>
        <r>
          <rPr>
            <b/>
            <sz val="9"/>
            <rFont val="宋体"/>
            <family val="3"/>
            <charset val="134"/>
          </rPr>
          <t>剑湾冒险者指南</t>
        </r>
      </text>
    </comment>
    <comment ref="BI114" authorId="4" shapeId="0" xr:uid="{00000000-0006-0000-0100-000047000000}">
      <text>
        <r>
          <rPr>
            <b/>
            <sz val="9"/>
            <rFont val="宋体"/>
            <family val="3"/>
            <charset val="134"/>
          </rPr>
          <t>瓦罗怪物指南</t>
        </r>
      </text>
    </comment>
    <comment ref="BL114" authorId="4" shapeId="0" xr:uid="{00000000-0006-0000-0100-000048000000}">
      <text>
        <r>
          <rPr>
            <b/>
            <sz val="9"/>
            <rFont val="宋体"/>
            <family val="3"/>
            <charset val="134"/>
          </rPr>
          <t>珊娜萨的万事指南</t>
        </r>
      </text>
    </comment>
    <comment ref="BO114" authorId="4" shapeId="0" xr:uid="{00000000-0006-0000-0100-000049000000}">
      <text>
        <r>
          <rPr>
            <b/>
            <sz val="9"/>
            <rFont val="宋体"/>
            <family val="3"/>
            <charset val="134"/>
          </rPr>
          <t>魔邓肯的众敌卷册</t>
        </r>
      </text>
    </comment>
    <comment ref="AW115" authorId="4" shapeId="0" xr:uid="{00000000-0006-0000-0100-00004A000000}">
      <text>
        <r>
          <rPr>
            <b/>
            <sz val="9"/>
            <rFont val="宋体"/>
            <family val="3"/>
            <charset val="134"/>
          </rPr>
          <t>拉尼卡公会长指南</t>
        </r>
      </text>
    </comment>
    <comment ref="AZ115" authorId="4" shapeId="0" xr:uid="{00000000-0006-0000-0100-00004B000000}">
      <text>
        <r>
          <rPr>
            <b/>
            <sz val="9"/>
            <rFont val="宋体"/>
            <family val="3"/>
            <charset val="134"/>
          </rPr>
          <t>艾伯伦：从终末战争中崛起</t>
        </r>
      </text>
    </comment>
    <comment ref="BC115" authorId="4" shapeId="0" xr:uid="{00000000-0006-0000-0100-00004C000000}">
      <text>
        <r>
          <rPr>
            <b/>
            <sz val="9"/>
            <rFont val="宋体"/>
            <family val="3"/>
            <charset val="134"/>
          </rPr>
          <t>荒洲探险家指南</t>
        </r>
      </text>
    </comment>
    <comment ref="BF115" authorId="4" shapeId="0" xr:uid="{00000000-0006-0000-0100-00004D000000}">
      <text>
        <r>
          <rPr>
            <b/>
            <sz val="9"/>
            <rFont val="宋体"/>
            <family val="3"/>
            <charset val="134"/>
          </rPr>
          <t>艾奎兹玄有限责任公司</t>
        </r>
      </text>
    </comment>
    <comment ref="BI115" authorId="4" shapeId="0" xr:uid="{00000000-0006-0000-0100-00004E000000}">
      <text>
        <r>
          <rPr>
            <b/>
            <sz val="9"/>
            <rFont val="宋体"/>
            <family val="3"/>
            <charset val="134"/>
          </rPr>
          <t>塞洛斯之神话奥德赛</t>
        </r>
      </text>
    </comment>
    <comment ref="BL115" authorId="4" shapeId="0" xr:uid="{00000000-0006-0000-0100-00004F000000}">
      <text>
        <r>
          <rPr>
            <b/>
            <sz val="9"/>
            <rFont val="宋体"/>
            <family val="3"/>
            <charset val="134"/>
          </rPr>
          <t>塔莎的万象坩埚</t>
        </r>
      </text>
    </comment>
    <comment ref="BO115" authorId="4" shapeId="0" xr:uid="{00000000-0006-0000-0100-000050000000}">
      <text>
        <r>
          <rPr>
            <b/>
            <sz val="9"/>
            <rFont val="宋体"/>
            <family val="3"/>
            <charset val="134"/>
          </rPr>
          <t>范·里希腾的鸦阁指南</t>
        </r>
      </text>
    </comment>
    <comment ref="AW116" authorId="4" shapeId="0" xr:uid="{00000000-0006-0000-0100-000051000000}">
      <text>
        <r>
          <rPr>
            <b/>
            <sz val="9"/>
            <rFont val="宋体"/>
            <family val="3"/>
            <charset val="134"/>
          </rPr>
          <t>费资本的巨龙宝库</t>
        </r>
      </text>
    </comment>
    <comment ref="AZ116" authorId="4" shapeId="0" xr:uid="{00000000-0006-0000-0100-000052000000}">
      <text>
        <r>
          <rPr>
            <b/>
            <sz val="9"/>
            <rFont val="宋体"/>
            <family val="3"/>
            <charset val="134"/>
          </rPr>
          <t>斯翠海文：混沌研习</t>
        </r>
      </text>
    </comment>
    <comment ref="BC116" authorId="4" shapeId="0" xr:uid="{00000000-0006-0000-0100-000053000000}">
      <text>
        <r>
          <rPr>
            <b/>
            <sz val="9"/>
            <rFont val="宋体"/>
            <family val="3"/>
            <charset val="134"/>
          </rPr>
          <t>魔邓肯出品：多元宇宙的怪物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周拜</author>
  </authors>
  <commentList>
    <comment ref="G6" authorId="0" shapeId="0" xr:uid="{00000000-0006-0000-0D00-000001000000}">
      <text>
        <r>
          <rPr>
            <b/>
            <sz val="9"/>
            <rFont val="宋体"/>
            <family val="3"/>
            <charset val="134"/>
          </rPr>
          <t>战士子职</t>
        </r>
      </text>
    </comment>
    <comment ref="G9" authorId="0" shapeId="0" xr:uid="{00000000-0006-0000-0D00-000002000000}">
      <text>
        <r>
          <rPr>
            <b/>
            <sz val="9"/>
            <rFont val="宋体"/>
            <family val="3"/>
            <charset val="134"/>
          </rPr>
          <t>游荡者子职</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Null</author>
  </authors>
  <commentList>
    <comment ref="Y11" authorId="0" shapeId="0" xr:uid="{00000000-0006-0000-1100-000001000000}">
      <text>
        <r>
          <rPr>
            <sz val="9"/>
            <rFont val="微软雅黑"/>
            <family val="2"/>
            <charset val="134"/>
          </rPr>
          <t>发端于衰亡的帝国和失落的王国
一枚白金币价值十枚金币</t>
        </r>
      </text>
    </comment>
    <comment ref="AH11" authorId="0" shapeId="0" xr:uid="{00000000-0006-0000-1100-000002000000}">
      <text>
        <r>
          <rPr>
            <sz val="9"/>
            <rFont val="微软雅黑"/>
            <family val="2"/>
            <charset val="134"/>
          </rPr>
          <t>发端于衰亡的帝国和失落的王国
一枚白金币价值十枚金币</t>
        </r>
      </text>
    </comment>
    <comment ref="BT11" authorId="0" shapeId="0" xr:uid="{00000000-0006-0000-1100-000003000000}">
      <text>
        <r>
          <rPr>
            <sz val="9"/>
            <rFont val="微软雅黑"/>
            <family val="2"/>
            <charset val="134"/>
          </rPr>
          <t>发端于衰亡的帝国和失落的王国
一枚白金币价值十枚金币</t>
        </r>
      </text>
    </comment>
    <comment ref="CC11" authorId="0" shapeId="0" xr:uid="{00000000-0006-0000-1100-000004000000}">
      <text>
        <r>
          <rPr>
            <sz val="9"/>
            <rFont val="微软雅黑"/>
            <family val="2"/>
            <charset val="134"/>
          </rPr>
          <t>发端于衰亡的帝国和失落的王国
一枚白金币价值十枚金币</t>
        </r>
      </text>
    </comment>
    <comment ref="DO11" authorId="0" shapeId="0" xr:uid="{00000000-0006-0000-1100-000005000000}">
      <text>
        <r>
          <rPr>
            <sz val="9"/>
            <rFont val="微软雅黑"/>
            <family val="2"/>
            <charset val="134"/>
          </rPr>
          <t>发端于衰亡的帝国和失落的王国
一枚白金币价值十枚金币</t>
        </r>
      </text>
    </comment>
    <comment ref="DX11" authorId="0" shapeId="0" xr:uid="{00000000-0006-0000-1100-000006000000}">
      <text>
        <r>
          <rPr>
            <sz val="9"/>
            <rFont val="微软雅黑"/>
            <family val="2"/>
            <charset val="134"/>
          </rPr>
          <t>发端于衰亡的帝国和失落的王国
一枚白金币价值十枚金币</t>
        </r>
      </text>
    </comment>
    <comment ref="FJ11" authorId="0" shapeId="0" xr:uid="{00000000-0006-0000-1100-000007000000}">
      <text>
        <r>
          <rPr>
            <sz val="9"/>
            <rFont val="微软雅黑"/>
            <family val="2"/>
            <charset val="134"/>
          </rPr>
          <t>发端于衰亡的帝国和失落的王国
一枚白金币价值十枚金币</t>
        </r>
      </text>
    </comment>
    <comment ref="FS11" authorId="0" shapeId="0" xr:uid="{00000000-0006-0000-1100-000008000000}">
      <text>
        <r>
          <rPr>
            <sz val="9"/>
            <rFont val="微软雅黑"/>
            <family val="2"/>
            <charset val="134"/>
          </rPr>
          <t>发端于衰亡的帝国和失落的王国
一枚白金币价值十枚金币</t>
        </r>
      </text>
    </comment>
    <comment ref="HE11" authorId="0" shapeId="0" xr:uid="{00000000-0006-0000-1100-000009000000}">
      <text>
        <r>
          <rPr>
            <sz val="9"/>
            <rFont val="微软雅黑"/>
            <family val="2"/>
            <charset val="134"/>
          </rPr>
          <t>发端于衰亡的帝国和失落的王国
一枚白金币价值十枚金币</t>
        </r>
      </text>
    </comment>
    <comment ref="HN11" authorId="0" shapeId="0" xr:uid="{00000000-0006-0000-1100-00000A000000}">
      <text>
        <r>
          <rPr>
            <sz val="9"/>
            <rFont val="微软雅黑"/>
            <family val="2"/>
            <charset val="134"/>
          </rPr>
          <t>发端于衰亡的帝国和失落的王国
一枚白金币价值十枚金币</t>
        </r>
      </text>
    </comment>
    <comment ref="Y12" authorId="0" shapeId="0" xr:uid="{00000000-0006-0000-1100-00000B000000}">
      <text>
        <r>
          <rPr>
            <sz val="9"/>
            <rFont val="微软雅黑"/>
            <family val="2"/>
            <charset val="134"/>
          </rPr>
          <t>发端于衰亡的帝国和失落的王国
一枚金银币价值五枚银币</t>
        </r>
      </text>
    </comment>
    <comment ref="AH12" authorId="0" shapeId="0" xr:uid="{00000000-0006-0000-1100-00000C000000}">
      <text>
        <r>
          <rPr>
            <sz val="9"/>
            <rFont val="微软雅黑"/>
            <family val="2"/>
            <charset val="134"/>
          </rPr>
          <t>发端于衰亡的帝国和失落的王国
一枚金银币价值五枚银币</t>
        </r>
      </text>
    </comment>
    <comment ref="BT12" authorId="0" shapeId="0" xr:uid="{00000000-0006-0000-1100-00000D000000}">
      <text>
        <r>
          <rPr>
            <sz val="9"/>
            <rFont val="微软雅黑"/>
            <family val="2"/>
            <charset val="134"/>
          </rPr>
          <t>发端于衰亡的帝国和失落的王国
一枚金银币价值五枚银币</t>
        </r>
      </text>
    </comment>
    <comment ref="CC12" authorId="0" shapeId="0" xr:uid="{00000000-0006-0000-1100-00000E000000}">
      <text>
        <r>
          <rPr>
            <sz val="9"/>
            <rFont val="微软雅黑"/>
            <family val="2"/>
            <charset val="134"/>
          </rPr>
          <t>发端于衰亡的帝国和失落的王国
一枚金银币价值五枚银币</t>
        </r>
      </text>
    </comment>
    <comment ref="DO12" authorId="0" shapeId="0" xr:uid="{00000000-0006-0000-1100-00000F000000}">
      <text>
        <r>
          <rPr>
            <sz val="9"/>
            <rFont val="微软雅黑"/>
            <family val="2"/>
            <charset val="134"/>
          </rPr>
          <t>发端于衰亡的帝国和失落的王国
一枚金银币价值五枚银币</t>
        </r>
      </text>
    </comment>
    <comment ref="DX12" authorId="0" shapeId="0" xr:uid="{00000000-0006-0000-1100-000010000000}">
      <text>
        <r>
          <rPr>
            <sz val="9"/>
            <rFont val="微软雅黑"/>
            <family val="2"/>
            <charset val="134"/>
          </rPr>
          <t>发端于衰亡的帝国和失落的王国
一枚金银币价值五枚银币</t>
        </r>
      </text>
    </comment>
    <comment ref="FJ12" authorId="0" shapeId="0" xr:uid="{00000000-0006-0000-1100-000011000000}">
      <text>
        <r>
          <rPr>
            <sz val="9"/>
            <rFont val="微软雅黑"/>
            <family val="2"/>
            <charset val="134"/>
          </rPr>
          <t>发端于衰亡的帝国和失落的王国
一枚金银币价值五枚银币</t>
        </r>
      </text>
    </comment>
    <comment ref="FS12" authorId="0" shapeId="0" xr:uid="{00000000-0006-0000-1100-000012000000}">
      <text>
        <r>
          <rPr>
            <sz val="9"/>
            <rFont val="微软雅黑"/>
            <family val="2"/>
            <charset val="134"/>
          </rPr>
          <t>发端于衰亡的帝国和失落的王国
一枚金银币价值五枚银币</t>
        </r>
      </text>
    </comment>
    <comment ref="HE12" authorId="0" shapeId="0" xr:uid="{00000000-0006-0000-1100-000013000000}">
      <text>
        <r>
          <rPr>
            <sz val="9"/>
            <rFont val="微软雅黑"/>
            <family val="2"/>
            <charset val="134"/>
          </rPr>
          <t>发端于衰亡的帝国和失落的王国
一枚金银币价值五枚银币</t>
        </r>
      </text>
    </comment>
    <comment ref="HN12" authorId="0" shapeId="0" xr:uid="{00000000-0006-0000-1100-000014000000}">
      <text>
        <r>
          <rPr>
            <sz val="9"/>
            <rFont val="微软雅黑"/>
            <family val="2"/>
            <charset val="134"/>
          </rPr>
          <t>发端于衰亡的帝国和失落的王国
一枚金银币价值五枚银币</t>
        </r>
      </text>
    </comment>
    <comment ref="Y13" authorId="0" shapeId="0" xr:uid="{00000000-0006-0000-1100-000015000000}">
      <text>
        <r>
          <rPr>
            <sz val="9"/>
            <rFont val="微软雅黑"/>
            <family val="2"/>
            <charset val="134"/>
          </rPr>
          <t>金币是度量财富的标准单位</t>
        </r>
      </text>
    </comment>
    <comment ref="AH13" authorId="0" shapeId="0" xr:uid="{00000000-0006-0000-1100-000016000000}">
      <text>
        <r>
          <rPr>
            <sz val="9"/>
            <rFont val="微软雅黑"/>
            <family val="2"/>
            <charset val="134"/>
          </rPr>
          <t>金币是度量财富的标准单位</t>
        </r>
      </text>
    </comment>
    <comment ref="BT13" authorId="0" shapeId="0" xr:uid="{00000000-0006-0000-1100-000017000000}">
      <text>
        <r>
          <rPr>
            <sz val="9"/>
            <rFont val="微软雅黑"/>
            <family val="2"/>
            <charset val="134"/>
          </rPr>
          <t>金币是度量财富的标准单位</t>
        </r>
      </text>
    </comment>
    <comment ref="CC13" authorId="0" shapeId="0" xr:uid="{00000000-0006-0000-1100-000018000000}">
      <text>
        <r>
          <rPr>
            <sz val="9"/>
            <rFont val="微软雅黑"/>
            <family val="2"/>
            <charset val="134"/>
          </rPr>
          <t>金币是度量财富的标准单位</t>
        </r>
      </text>
    </comment>
    <comment ref="DO13" authorId="0" shapeId="0" xr:uid="{00000000-0006-0000-1100-000019000000}">
      <text>
        <r>
          <rPr>
            <sz val="9"/>
            <rFont val="微软雅黑"/>
            <family val="2"/>
            <charset val="134"/>
          </rPr>
          <t>金币是度量财富的标准单位</t>
        </r>
      </text>
    </comment>
    <comment ref="DX13" authorId="0" shapeId="0" xr:uid="{00000000-0006-0000-1100-00001A000000}">
      <text>
        <r>
          <rPr>
            <sz val="9"/>
            <rFont val="微软雅黑"/>
            <family val="2"/>
            <charset val="134"/>
          </rPr>
          <t>金币是度量财富的标准单位</t>
        </r>
      </text>
    </comment>
    <comment ref="FJ13" authorId="0" shapeId="0" xr:uid="{00000000-0006-0000-1100-00001B000000}">
      <text>
        <r>
          <rPr>
            <sz val="9"/>
            <rFont val="微软雅黑"/>
            <family val="2"/>
            <charset val="134"/>
          </rPr>
          <t>金币是度量财富的标准单位</t>
        </r>
      </text>
    </comment>
    <comment ref="FS13" authorId="0" shapeId="0" xr:uid="{00000000-0006-0000-1100-00001C000000}">
      <text>
        <r>
          <rPr>
            <sz val="9"/>
            <rFont val="微软雅黑"/>
            <family val="2"/>
            <charset val="134"/>
          </rPr>
          <t>金币是度量财富的标准单位</t>
        </r>
      </text>
    </comment>
    <comment ref="HE13" authorId="0" shapeId="0" xr:uid="{00000000-0006-0000-1100-00001D000000}">
      <text>
        <r>
          <rPr>
            <sz val="9"/>
            <rFont val="微软雅黑"/>
            <family val="2"/>
            <charset val="134"/>
          </rPr>
          <t>金币是度量财富的标准单位</t>
        </r>
      </text>
    </comment>
    <comment ref="HN13" authorId="0" shapeId="0" xr:uid="{00000000-0006-0000-1100-00001E000000}">
      <text>
        <r>
          <rPr>
            <sz val="9"/>
            <rFont val="微软雅黑"/>
            <family val="2"/>
            <charset val="134"/>
          </rPr>
          <t>金币是度量财富的标准单位</t>
        </r>
      </text>
    </comment>
    <comment ref="Y14" authorId="0" shapeId="0" xr:uid="{00000000-0006-0000-1100-00001F000000}">
      <text>
        <r>
          <rPr>
            <sz val="9"/>
            <rFont val="微软雅黑"/>
            <family val="2"/>
            <charset val="134"/>
          </rPr>
          <t>普通人间最流行的硬币
一枚金币值十枚银币</t>
        </r>
      </text>
    </comment>
    <comment ref="AH14" authorId="0" shapeId="0" xr:uid="{00000000-0006-0000-1100-000020000000}">
      <text>
        <r>
          <rPr>
            <sz val="9"/>
            <rFont val="微软雅黑"/>
            <family val="2"/>
            <charset val="134"/>
          </rPr>
          <t>普通人间最流行的硬币
一枚金币值十枚银币</t>
        </r>
      </text>
    </comment>
    <comment ref="BT14" authorId="0" shapeId="0" xr:uid="{00000000-0006-0000-1100-000021000000}">
      <text>
        <r>
          <rPr>
            <sz val="9"/>
            <rFont val="微软雅黑"/>
            <family val="2"/>
            <charset val="134"/>
          </rPr>
          <t>普通人间最流行的硬币
一枚金币值十枚银币</t>
        </r>
      </text>
    </comment>
    <comment ref="CC14" authorId="0" shapeId="0" xr:uid="{00000000-0006-0000-1100-000022000000}">
      <text>
        <r>
          <rPr>
            <sz val="9"/>
            <rFont val="微软雅黑"/>
            <family val="2"/>
            <charset val="134"/>
          </rPr>
          <t>普通人间最流行的硬币
一枚金币值十枚银币</t>
        </r>
      </text>
    </comment>
    <comment ref="DO14" authorId="0" shapeId="0" xr:uid="{00000000-0006-0000-1100-000023000000}">
      <text>
        <r>
          <rPr>
            <sz val="9"/>
            <rFont val="微软雅黑"/>
            <family val="2"/>
            <charset val="134"/>
          </rPr>
          <t>普通人间最流行的硬币
一枚金币值十枚银币</t>
        </r>
      </text>
    </comment>
    <comment ref="DX14" authorId="0" shapeId="0" xr:uid="{00000000-0006-0000-1100-000024000000}">
      <text>
        <r>
          <rPr>
            <sz val="9"/>
            <rFont val="微软雅黑"/>
            <family val="2"/>
            <charset val="134"/>
          </rPr>
          <t>普通人间最流行的硬币
一枚金币值十枚银币</t>
        </r>
      </text>
    </comment>
    <comment ref="FJ14" authorId="0" shapeId="0" xr:uid="{00000000-0006-0000-1100-000025000000}">
      <text>
        <r>
          <rPr>
            <sz val="9"/>
            <rFont val="微软雅黑"/>
            <family val="2"/>
            <charset val="134"/>
          </rPr>
          <t>普通人间最流行的硬币
一枚金币值十枚银币</t>
        </r>
      </text>
    </comment>
    <comment ref="FS14" authorId="0" shapeId="0" xr:uid="{00000000-0006-0000-1100-000026000000}">
      <text>
        <r>
          <rPr>
            <sz val="9"/>
            <rFont val="微软雅黑"/>
            <family val="2"/>
            <charset val="134"/>
          </rPr>
          <t>普通人间最流行的硬币
一枚金币值十枚银币</t>
        </r>
      </text>
    </comment>
    <comment ref="HE14" authorId="0" shapeId="0" xr:uid="{00000000-0006-0000-1100-000027000000}">
      <text>
        <r>
          <rPr>
            <sz val="9"/>
            <rFont val="微软雅黑"/>
            <family val="2"/>
            <charset val="134"/>
          </rPr>
          <t>普通人间最流行的硬币
一枚金币值十枚银币</t>
        </r>
      </text>
    </comment>
    <comment ref="HN14" authorId="0" shapeId="0" xr:uid="{00000000-0006-0000-1100-000028000000}">
      <text>
        <r>
          <rPr>
            <sz val="9"/>
            <rFont val="微软雅黑"/>
            <family val="2"/>
            <charset val="134"/>
          </rPr>
          <t>普通人间最流行的硬币
一枚金币值十枚银币</t>
        </r>
      </text>
    </comment>
    <comment ref="Y15" authorId="0" shapeId="0" xr:uid="{00000000-0006-0000-1100-000029000000}">
      <text>
        <r>
          <rPr>
            <sz val="9"/>
            <rFont val="微软雅黑"/>
            <family val="2"/>
            <charset val="134"/>
          </rPr>
          <t>在乞丐和苦力中十分常见
一枚银币值十枚铜币</t>
        </r>
      </text>
    </comment>
    <comment ref="AH15" authorId="0" shapeId="0" xr:uid="{00000000-0006-0000-1100-00002A000000}">
      <text>
        <r>
          <rPr>
            <sz val="9"/>
            <rFont val="微软雅黑"/>
            <family val="2"/>
            <charset val="134"/>
          </rPr>
          <t>在乞丐和苦力中十分常见
一枚银币值十枚铜币</t>
        </r>
      </text>
    </comment>
    <comment ref="BT15" authorId="0" shapeId="0" xr:uid="{00000000-0006-0000-1100-00002B000000}">
      <text>
        <r>
          <rPr>
            <sz val="9"/>
            <rFont val="微软雅黑"/>
            <family val="2"/>
            <charset val="134"/>
          </rPr>
          <t>在乞丐和苦力中十分常见
一枚银币值十枚铜币</t>
        </r>
      </text>
    </comment>
    <comment ref="CC15" authorId="0" shapeId="0" xr:uid="{00000000-0006-0000-1100-00002C000000}">
      <text>
        <r>
          <rPr>
            <sz val="9"/>
            <rFont val="微软雅黑"/>
            <family val="2"/>
            <charset val="134"/>
          </rPr>
          <t>在乞丐和苦力中十分常见
一枚银币值十枚铜币</t>
        </r>
      </text>
    </comment>
    <comment ref="DO15" authorId="0" shapeId="0" xr:uid="{00000000-0006-0000-1100-00002D000000}">
      <text>
        <r>
          <rPr>
            <sz val="9"/>
            <rFont val="微软雅黑"/>
            <family val="2"/>
            <charset val="134"/>
          </rPr>
          <t>在乞丐和苦力中十分常见
一枚银币值十枚铜币</t>
        </r>
      </text>
    </comment>
    <comment ref="DX15" authorId="0" shapeId="0" xr:uid="{00000000-0006-0000-1100-00002E000000}">
      <text>
        <r>
          <rPr>
            <sz val="9"/>
            <rFont val="微软雅黑"/>
            <family val="2"/>
            <charset val="134"/>
          </rPr>
          <t>在乞丐和苦力中十分常见
一枚银币值十枚铜币</t>
        </r>
      </text>
    </comment>
    <comment ref="FJ15" authorId="0" shapeId="0" xr:uid="{00000000-0006-0000-1100-00002F000000}">
      <text>
        <r>
          <rPr>
            <sz val="9"/>
            <rFont val="微软雅黑"/>
            <family val="2"/>
            <charset val="134"/>
          </rPr>
          <t>在乞丐和苦力中十分常见
一枚银币值十枚铜币</t>
        </r>
      </text>
    </comment>
    <comment ref="FS15" authorId="0" shapeId="0" xr:uid="{00000000-0006-0000-1100-000030000000}">
      <text>
        <r>
          <rPr>
            <sz val="9"/>
            <rFont val="微软雅黑"/>
            <family val="2"/>
            <charset val="134"/>
          </rPr>
          <t>在乞丐和苦力中十分常见
一枚银币值十枚铜币</t>
        </r>
      </text>
    </comment>
    <comment ref="HE15" authorId="0" shapeId="0" xr:uid="{00000000-0006-0000-1100-000031000000}">
      <text>
        <r>
          <rPr>
            <sz val="9"/>
            <rFont val="微软雅黑"/>
            <family val="2"/>
            <charset val="134"/>
          </rPr>
          <t>在乞丐和苦力中十分常见
一枚银币值十枚铜币</t>
        </r>
      </text>
    </comment>
    <comment ref="HN15" authorId="0" shapeId="0" xr:uid="{00000000-0006-0000-1100-000032000000}">
      <text>
        <r>
          <rPr>
            <sz val="9"/>
            <rFont val="微软雅黑"/>
            <family val="2"/>
            <charset val="134"/>
          </rPr>
          <t>在乞丐和苦力中十分常见
一枚银币值十枚铜币</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<sst xmlns="http://schemas.openxmlformats.org/spreadsheetml/2006/main" count="13235" uniqueCount="8903">
  <si>
    <t>人物背景 Background</t>
  </si>
  <si>
    <t>角色</t>
  </si>
  <si>
    <t>个性</t>
  </si>
  <si>
    <t>玩家</t>
  </si>
  <si>
    <t>背景</t>
  </si>
  <si>
    <t>理想</t>
  </si>
  <si>
    <t>故乡</t>
  </si>
  <si>
    <t>羁绊</t>
  </si>
  <si>
    <t>信仰</t>
  </si>
  <si>
    <t>缺点</t>
  </si>
  <si>
    <t>背景原因</t>
  </si>
  <si>
    <t>发色</t>
  </si>
  <si>
    <t>瞳色</t>
  </si>
  <si>
    <t>肤色</t>
  </si>
  <si>
    <t>职业原因</t>
  </si>
  <si>
    <t>其他</t>
  </si>
  <si>
    <t>人物
衣装
外貌
描述</t>
  </si>
  <si>
    <t>出生预兆</t>
  </si>
  <si>
    <t>龙类纽带</t>
  </si>
  <si>
    <t>背景故事</t>
  </si>
  <si>
    <t>人物形象</t>
  </si>
  <si>
    <t>语言</t>
  </si>
  <si>
    <t>DND 5E 人物卡 &lt;New Edition v1.0.0&gt;</t>
  </si>
  <si>
    <t>推荐在电脑上使用Excel2010及以后版本打开本卡</t>
  </si>
  <si>
    <t>小工具</t>
  </si>
  <si>
    <t>经验</t>
  </si>
  <si>
    <t>1级</t>
  </si>
  <si>
    <t>2级</t>
  </si>
  <si>
    <t>3级</t>
  </si>
  <si>
    <t>4级</t>
  </si>
  <si>
    <t>5级</t>
  </si>
  <si>
    <t>6级</t>
  </si>
  <si>
    <t>7级</t>
  </si>
  <si>
    <t>8级</t>
  </si>
  <si>
    <t>9级</t>
  </si>
  <si>
    <t>10级</t>
  </si>
  <si>
    <t>主职</t>
  </si>
  <si>
    <t>生命值小工具</t>
  </si>
  <si>
    <t>种族</t>
  </si>
  <si>
    <t>性别</t>
  </si>
  <si>
    <t>兼职</t>
  </si>
  <si>
    <t>11级</t>
  </si>
  <si>
    <t>12级</t>
  </si>
  <si>
    <t>13级</t>
  </si>
  <si>
    <t>14级</t>
  </si>
  <si>
    <t>15级</t>
  </si>
  <si>
    <t>16级</t>
  </si>
  <si>
    <t>17级</t>
  </si>
  <si>
    <t>18级</t>
  </si>
  <si>
    <t>19级</t>
  </si>
  <si>
    <t>20级</t>
  </si>
  <si>
    <t>亚种</t>
  </si>
  <si>
    <t>年龄</t>
  </si>
  <si>
    <t>身高</t>
  </si>
  <si>
    <t>阵营</t>
  </si>
  <si>
    <t>熟练</t>
  </si>
  <si>
    <t>调整值</t>
  </si>
  <si>
    <t>角色等级</t>
  </si>
  <si>
    <t>生命总值</t>
  </si>
  <si>
    <t>仅需填入每级生命骰结果
自动结算各项调整值</t>
  </si>
  <si>
    <t>体重</t>
  </si>
  <si>
    <t>赠礼</t>
  </si>
  <si>
    <t>&lt;</t>
  </si>
  <si>
    <t>属性</t>
  </si>
  <si>
    <t>属性分布</t>
  </si>
  <si>
    <t>总值</t>
  </si>
  <si>
    <t>初始值</t>
  </si>
  <si>
    <t>成长</t>
  </si>
  <si>
    <t>修正</t>
  </si>
  <si>
    <t>豁免</t>
  </si>
  <si>
    <t>临时</t>
  </si>
  <si>
    <t>力量</t>
  </si>
  <si>
    <t>&gt;</t>
  </si>
  <si>
    <t>敏捷</t>
  </si>
  <si>
    <t>体质</t>
  </si>
  <si>
    <t>智力</t>
  </si>
  <si>
    <t>感知</t>
  </si>
  <si>
    <t>魅力</t>
  </si>
  <si>
    <t>战斗</t>
  </si>
  <si>
    <t>Now</t>
  </si>
  <si>
    <t>Max</t>
  </si>
  <si>
    <t>先攻</t>
  </si>
  <si>
    <t>HP</t>
  </si>
  <si>
    <t>/</t>
  </si>
  <si>
    <t>临时
HP</t>
  </si>
  <si>
    <t>AC</t>
  </si>
  <si>
    <t>HD</t>
  </si>
  <si>
    <t>+</t>
  </si>
  <si>
    <t>持盾</t>
  </si>
  <si>
    <t>死亡豁免成功</t>
  </si>
  <si>
    <t>失败</t>
  </si>
  <si>
    <t>画像</t>
  </si>
  <si>
    <t>DC</t>
  </si>
  <si>
    <t>抗性</t>
  </si>
  <si>
    <t>免疫</t>
  </si>
  <si>
    <t>技能分布</t>
  </si>
  <si>
    <t>DC属性</t>
  </si>
  <si>
    <t>体型</t>
  </si>
  <si>
    <t>速度</t>
  </si>
  <si>
    <t>优势</t>
  </si>
  <si>
    <t>被动察觉</t>
  </si>
  <si>
    <t>特殊能力</t>
  </si>
  <si>
    <t>劣势</t>
  </si>
  <si>
    <t>技能</t>
  </si>
  <si>
    <t>装备</t>
  </si>
  <si>
    <t>快捷战斗</t>
  </si>
  <si>
    <t>力量系</t>
  </si>
  <si>
    <t>护甲</t>
  </si>
  <si>
    <t>同调</t>
  </si>
  <si>
    <t>名称</t>
  </si>
  <si>
    <t>特性</t>
  </si>
  <si>
    <t>重量</t>
  </si>
  <si>
    <t>基础AC</t>
  </si>
  <si>
    <t>最大敏捷</t>
  </si>
  <si>
    <t>护盾</t>
  </si>
  <si>
    <t>运动</t>
  </si>
  <si>
    <t>沉重</t>
  </si>
  <si>
    <t/>
  </si>
  <si>
    <t>敏捷系</t>
  </si>
  <si>
    <t>武器</t>
  </si>
  <si>
    <t>命中骰</t>
  </si>
  <si>
    <t>加值</t>
  </si>
  <si>
    <t>基础伤害</t>
  </si>
  <si>
    <t>类型</t>
  </si>
  <si>
    <t>弹药</t>
  </si>
  <si>
    <t>计重</t>
  </si>
  <si>
    <t>体操</t>
  </si>
  <si>
    <t>钝击</t>
  </si>
  <si>
    <t>箭</t>
  </si>
  <si>
    <t>巧手</t>
  </si>
  <si>
    <t>吹</t>
  </si>
  <si>
    <t>隐匿</t>
  </si>
  <si>
    <t>矢</t>
  </si>
  <si>
    <t>智力系</t>
  </si>
  <si>
    <t>投</t>
  </si>
  <si>
    <t>奥秘</t>
  </si>
  <si>
    <t>弹</t>
  </si>
  <si>
    <t>历史</t>
  </si>
  <si>
    <t>异常状态及选开属性</t>
  </si>
  <si>
    <t>调查</t>
  </si>
  <si>
    <t>身体</t>
  </si>
  <si>
    <t>普通服装</t>
  </si>
  <si>
    <t>法术</t>
  </si>
  <si>
    <t>异常</t>
  </si>
  <si>
    <t>自然</t>
  </si>
  <si>
    <t>施法关键属性</t>
  </si>
  <si>
    <t>法术DC</t>
  </si>
  <si>
    <t>目盲</t>
  </si>
  <si>
    <t>魅惑</t>
  </si>
  <si>
    <t>耳聋</t>
  </si>
  <si>
    <t>恐慌</t>
  </si>
  <si>
    <t>擒抱</t>
  </si>
  <si>
    <t>宗教</t>
  </si>
  <si>
    <t>失能</t>
  </si>
  <si>
    <t>隐形</t>
  </si>
  <si>
    <t>麻痹</t>
  </si>
  <si>
    <t>石化</t>
  </si>
  <si>
    <t>中毒</t>
  </si>
  <si>
    <t>感知系</t>
  </si>
  <si>
    <t>倒地</t>
  </si>
  <si>
    <t>束缚</t>
  </si>
  <si>
    <t>震慑</t>
  </si>
  <si>
    <t>昏迷</t>
  </si>
  <si>
    <t>驯兽</t>
  </si>
  <si>
    <t>准备法术</t>
  </si>
  <si>
    <t>职业</t>
  </si>
  <si>
    <t>数量</t>
  </si>
  <si>
    <t>法术位</t>
  </si>
  <si>
    <t>状态</t>
  </si>
  <si>
    <t>描述</t>
  </si>
  <si>
    <t>洞悉</t>
  </si>
  <si>
    <t>力竭</t>
  </si>
  <si>
    <t>医药</t>
  </si>
  <si>
    <t>毒药</t>
  </si>
  <si>
    <t>察觉</t>
  </si>
  <si>
    <t>疯狂</t>
  </si>
  <si>
    <t>求生</t>
  </si>
  <si>
    <t>随身钱币</t>
  </si>
  <si>
    <t>伤患</t>
  </si>
  <si>
    <t>魅力系</t>
  </si>
  <si>
    <t>负重规则</t>
  </si>
  <si>
    <t>——负重&amp;财产——</t>
  </si>
  <si>
    <t>PP</t>
  </si>
  <si>
    <t>选开异常</t>
  </si>
  <si>
    <t>欺瞒</t>
  </si>
  <si>
    <t>背包1</t>
  </si>
  <si>
    <t>背包2</t>
  </si>
  <si>
    <t>总负重</t>
  </si>
  <si>
    <t>EP</t>
  </si>
  <si>
    <t>荣誉</t>
  </si>
  <si>
    <t>心慌</t>
  </si>
  <si>
    <t>惊恐</t>
  </si>
  <si>
    <t>威吓</t>
  </si>
  <si>
    <t>GP</t>
  </si>
  <si>
    <t>理智</t>
  </si>
  <si>
    <t>缴械</t>
  </si>
  <si>
    <t>表演</t>
  </si>
  <si>
    <t>最大轻载</t>
  </si>
  <si>
    <t>最大重载</t>
  </si>
  <si>
    <t>次元袋</t>
  </si>
  <si>
    <t>SP</t>
  </si>
  <si>
    <t>游说</t>
  </si>
  <si>
    <t>CP</t>
  </si>
  <si>
    <t>魔宠或宠物</t>
  </si>
  <si>
    <t>——————货币换算——————</t>
  </si>
  <si>
    <t>铜币CP</t>
  </si>
  <si>
    <t>银币SP</t>
  </si>
  <si>
    <t>银金币EP</t>
  </si>
  <si>
    <t>金币GP</t>
  </si>
  <si>
    <t>铂金币PP</t>
  </si>
  <si>
    <t>名字</t>
  </si>
  <si>
    <t>类别</t>
  </si>
  <si>
    <t>已准备的法术</t>
  </si>
  <si>
    <t>专注</t>
  </si>
  <si>
    <t>已准备法术的效果</t>
  </si>
  <si>
    <t>Lv</t>
  </si>
  <si>
    <t>法术名称</t>
  </si>
  <si>
    <t>法术名</t>
  </si>
  <si>
    <t>等级</t>
  </si>
  <si>
    <t>系别</t>
  </si>
  <si>
    <t>施法距离</t>
  </si>
  <si>
    <t>酸液飞溅</t>
  </si>
  <si>
    <t>施法时间</t>
  </si>
  <si>
    <t>持续时间</t>
  </si>
  <si>
    <t>法术成分</t>
  </si>
  <si>
    <t>法术效果说明</t>
  </si>
  <si>
    <t>感官</t>
  </si>
  <si>
    <t>动作</t>
  </si>
  <si>
    <t>职业能力</t>
  </si>
  <si>
    <t>种族特性</t>
  </si>
  <si>
    <t>次数</t>
  </si>
  <si>
    <t>生命骰</t>
  </si>
  <si>
    <t>属性值加成</t>
  </si>
  <si>
    <t>护甲熟练项</t>
  </si>
  <si>
    <t>武器熟练项</t>
  </si>
  <si>
    <t>工具熟练项</t>
  </si>
  <si>
    <t>豁免熟练项</t>
  </si>
  <si>
    <t>技能熟练项</t>
  </si>
  <si>
    <t>属性值提升</t>
  </si>
  <si>
    <t>背景特性</t>
  </si>
  <si>
    <t>专长</t>
  </si>
  <si>
    <t>版本选择</t>
  </si>
  <si>
    <t>PHB</t>
  </si>
  <si>
    <t>DMG</t>
  </si>
  <si>
    <t>MM</t>
  </si>
  <si>
    <t>SCAG</t>
  </si>
  <si>
    <t>VGM</t>
  </si>
  <si>
    <t>XGE</t>
  </si>
  <si>
    <t>MTF</t>
  </si>
  <si>
    <t>GTR</t>
  </si>
  <si>
    <t>ERLW</t>
  </si>
  <si>
    <t>EGTW</t>
  </si>
  <si>
    <t>ACQ</t>
  </si>
  <si>
    <t>MOT</t>
  </si>
  <si>
    <t>TCE</t>
  </si>
  <si>
    <t>VRGR</t>
  </si>
  <si>
    <t>FTD</t>
  </si>
  <si>
    <t>SCC</t>
  </si>
  <si>
    <t>MotM</t>
  </si>
  <si>
    <t>你的角色可能</t>
  </si>
  <si>
    <t>显示</t>
  </si>
  <si>
    <t>其他特性</t>
  </si>
  <si>
    <t>笔记</t>
  </si>
  <si>
    <t>背包 Inventory</t>
  </si>
  <si>
    <t>背包</t>
  </si>
  <si>
    <t>小包</t>
  </si>
  <si>
    <t>杂物袋1</t>
  </si>
  <si>
    <t>杂物袋2</t>
  </si>
  <si>
    <t>×</t>
  </si>
  <si>
    <t>无效</t>
  </si>
  <si>
    <t>霍华德的便利袋</t>
  </si>
  <si>
    <t>书页标签</t>
  </si>
  <si>
    <t>法术书</t>
  </si>
  <si>
    <t>法术书1</t>
  </si>
  <si>
    <t>页码</t>
  </si>
  <si>
    <t>优先读取</t>
  </si>
  <si>
    <t>法术书2</t>
  </si>
  <si>
    <t>法术书3</t>
  </si>
  <si>
    <t>版本控制</t>
  </si>
  <si>
    <t>生命值计算</t>
  </si>
  <si>
    <t>经验条</t>
  </si>
  <si>
    <t>种类</t>
  </si>
  <si>
    <t>购点计算</t>
  </si>
  <si>
    <t>你还有呼吸的力气</t>
  </si>
  <si>
    <t>一动不动</t>
  </si>
  <si>
    <t>应该还算活着</t>
  </si>
  <si>
    <t>蚂蚁的智力都不可能是1</t>
  </si>
  <si>
    <t>你是怎么活到现在的</t>
  </si>
  <si>
    <t>用脸就能恐惧敌人</t>
  </si>
  <si>
    <t>异怪</t>
  </si>
  <si>
    <t>连一枚金币都拿不起来</t>
  </si>
  <si>
    <t>残疾人士</t>
  </si>
  <si>
    <t>固有Buff：病弱</t>
  </si>
  <si>
    <t>连说话都困难</t>
  </si>
  <si>
    <t>迷惘的人啊</t>
  </si>
  <si>
    <t>你出生的时候居然没被掐死</t>
  </si>
  <si>
    <t>野兽</t>
  </si>
  <si>
    <t>鸡的力量都比你强</t>
  </si>
  <si>
    <t>无法行动自如</t>
  </si>
  <si>
    <t>突然挂掉都不是奇怪的事情</t>
  </si>
  <si>
    <t>目不识丁</t>
  </si>
  <si>
    <t>上错过厕所</t>
  </si>
  <si>
    <t>路边的狗可能会冲过来咬你</t>
  </si>
  <si>
    <t>天界生物</t>
  </si>
  <si>
    <t>手无抓鸡之力</t>
  </si>
  <si>
    <t>腿脚不灵活</t>
  </si>
  <si>
    <t>您的每一天都是上天的恩赐</t>
  </si>
  <si>
    <t>你能看得懂这行字？</t>
  </si>
  <si>
    <t>经常迷路</t>
  </si>
  <si>
    <t>容易被排斥</t>
  </si>
  <si>
    <t>构装生物</t>
  </si>
  <si>
    <t>恭喜你超越了鸡的力量</t>
  </si>
  <si>
    <t>平地摔是你的家常便饭</t>
  </si>
  <si>
    <t>常年病痛缠身</t>
  </si>
  <si>
    <t>阿库娅与你同在</t>
  </si>
  <si>
    <t>在楼房里面找不到房间</t>
  </si>
  <si>
    <t>可能会被人刁难</t>
  </si>
  <si>
    <t>龙类</t>
  </si>
  <si>
    <t>拿多点东西都气喘吁吁</t>
  </si>
  <si>
    <t>经常莫名其妙的撞上什么</t>
  </si>
  <si>
    <t>经常需要躺下休息</t>
  </si>
  <si>
    <t>学不下什么东西</t>
  </si>
  <si>
    <t>东西放在眼前就是找不到</t>
  </si>
  <si>
    <t>可能会受到种种审视</t>
  </si>
  <si>
    <t>元素生物</t>
  </si>
  <si>
    <t>穿脱衣服都有些吃力</t>
  </si>
  <si>
    <t>走在平地上都会摔倒</t>
  </si>
  <si>
    <t>可能有贫血什么的</t>
  </si>
  <si>
    <t>没有受过太多的教育</t>
  </si>
  <si>
    <t>偶尔会犯迷糊</t>
  </si>
  <si>
    <t>所有的人都觉得可以轻而易举地说服你</t>
  </si>
  <si>
    <t>精类</t>
  </si>
  <si>
    <t>你揍人就像在给对方按摩</t>
  </si>
  <si>
    <t>不上不下真尴尬</t>
  </si>
  <si>
    <t>健康状况堪忧</t>
  </si>
  <si>
    <t>你可能会怀疑你是不是健忘</t>
  </si>
  <si>
    <t>关键时刻掉链子</t>
  </si>
  <si>
    <t>你的说服力还是可以的</t>
  </si>
  <si>
    <t>邪魔</t>
  </si>
  <si>
    <t>比正常人稍微差一点</t>
  </si>
  <si>
    <t>思维比别人慢一拍</t>
  </si>
  <si>
    <t>巨人</t>
  </si>
  <si>
    <t>EGtW</t>
  </si>
  <si>
    <t>有正常人的力量</t>
  </si>
  <si>
    <t>普通人的水准</t>
  </si>
  <si>
    <t>正常人的体质</t>
  </si>
  <si>
    <t>正常人的智力</t>
  </si>
  <si>
    <t>你醒啦，你很正常</t>
  </si>
  <si>
    <t>讨价还价的能力不错</t>
  </si>
  <si>
    <t>类人生物</t>
  </si>
  <si>
    <t>Acq Inc.</t>
  </si>
  <si>
    <t>在这个档次，做到欺软怕硬是没有问题的</t>
  </si>
  <si>
    <t>可以徒手抓住苍蝇</t>
  </si>
  <si>
    <t>疾病对于您来说，应该是偶发事故</t>
  </si>
  <si>
    <t>可以耍耍小聪明</t>
  </si>
  <si>
    <t>找东西的时候方便一些</t>
  </si>
  <si>
    <t>可以很容易地虎躯一震</t>
  </si>
  <si>
    <t>怪兽</t>
  </si>
  <si>
    <t>经常锻炼的人能够达到的水平，可以很轻松地连续做上50个俯卧撑</t>
  </si>
  <si>
    <t>可以用筷子夹住苍蝇</t>
  </si>
  <si>
    <t>基本上没有吃过什么药，不是说不得病，但基本上抗一抗就过去了</t>
  </si>
  <si>
    <t>人才啊</t>
  </si>
  <si>
    <t>可以注意到别人注意不到的细节</t>
  </si>
  <si>
    <t>勉勉强强可以放出一丝王霸之气</t>
  </si>
  <si>
    <t>泥怪</t>
  </si>
  <si>
    <t>一拳一个小朋友</t>
  </si>
  <si>
    <t>很不错的反应能力，可以在旋转的硬币落下的一瞬间看出是哪面落地</t>
  </si>
  <si>
    <t>一般的磕磕碰碰都不放在眼里</t>
  </si>
  <si>
    <t>可以很轻松地取得别人要刻苦努力才能得到的成绩</t>
  </si>
  <si>
    <t>可以推断出一些别人不知道的东西</t>
  </si>
  <si>
    <t>人们更容易接受你的意见</t>
  </si>
  <si>
    <t>植物</t>
  </si>
  <si>
    <t>不死生物</t>
  </si>
  <si>
    <t>超乎常人的力度</t>
  </si>
  <si>
    <t>左右横跳</t>
  </si>
  <si>
    <t>你从来就不知道什么叫生病</t>
  </si>
  <si>
    <t>就是个天才</t>
  </si>
  <si>
    <t>身边的一切风吹草动都逃不出您的敏锐的目光</t>
  </si>
  <si>
    <t>您不经意间的一举一动都有可能吸引着其他人</t>
  </si>
  <si>
    <t>MOD</t>
  </si>
  <si>
    <t>达到人类极限力量</t>
  </si>
  <si>
    <t>超越人类的敏捷</t>
  </si>
  <si>
    <t>生命力旺盛，被人打趴数次还可以站起来继续的那种</t>
  </si>
  <si>
    <t>睿智的目光</t>
  </si>
  <si>
    <t>这个世界上的一切联系都可以被您所感知</t>
  </si>
  <si>
    <t>请注意你的其他属性，因为你很容易被犯罪</t>
  </si>
  <si>
    <t>超越人类极限的力量</t>
  </si>
  <si>
    <t>你跑步的样子像香港记者</t>
  </si>
  <si>
    <t>天生的肉盾</t>
  </si>
  <si>
    <t>超凡的智慧</t>
  </si>
  <si>
    <t>你开始注意到一些本来不该是人类所注意的东西了</t>
  </si>
  <si>
    <t>红颜祸水指的就是你</t>
  </si>
  <si>
    <t>货币换算</t>
  </si>
  <si>
    <t>弹药计重</t>
  </si>
  <si>
    <t>熊的力量！</t>
  </si>
  <si>
    <t>无与伦比的运动神经</t>
  </si>
  <si>
    <t>或许有复数血条</t>
  </si>
  <si>
    <t>你可以改变世界</t>
  </si>
  <si>
    <t>所有的谎言在你面前无所遁形</t>
  </si>
  <si>
    <t>沉鱼落雁，闭月羞花</t>
  </si>
  <si>
    <t>货币计重</t>
  </si>
  <si>
    <t>怪物之力</t>
  </si>
  <si>
    <t>跑得比香港记者还快</t>
  </si>
  <si>
    <t>大概只有天灾才杀死这种人</t>
  </si>
  <si>
    <t>或许是参透法则之人</t>
  </si>
  <si>
    <t>路过坟墓你就能看见鬼魂，经过战场你就能听见哀号</t>
  </si>
  <si>
    <t>您的敌人也可能会倾向于你</t>
  </si>
  <si>
    <t>吃饭的时候经常不小心捏碎十几个盘子</t>
  </si>
  <si>
    <t>只要你想要，世界上没什么你弄不到东西</t>
  </si>
  <si>
    <t>被杀不一定会死</t>
  </si>
  <si>
    <t>用睿智这个词来形容你都已经是一种侮辱了</t>
  </si>
  <si>
    <t>敌人的隐形和变形对你来说毫无意义</t>
  </si>
  <si>
    <t>你很少动刀动枪，因为只要有你的存在就能化解绝大多数的纷争</t>
  </si>
  <si>
    <t>经常不小心将别人摸成骨折，当地的骨科医生都很喜欢你</t>
  </si>
  <si>
    <t>几乎没有东西有足够的速度能伤害到你</t>
  </si>
  <si>
    <t>最受欢迎的肉盾</t>
  </si>
  <si>
    <t>你一眼就能看清事物的本质，再没有任何事物能够引起你的好奇</t>
  </si>
  <si>
    <t>任何生物在你眼中他的一生命运都历历在目，任何非生物的历史你也一目了然</t>
  </si>
  <si>
    <t>只有意志最坚定的人才能直视你</t>
  </si>
  <si>
    <t>你付账的时候从口袋里掏出来的，往往不是金币而是被巨大的力量捏成一坨的金块</t>
  </si>
  <si>
    <t>战斗的时候，敌人最头痛的就是你，因为他根本砍不到你</t>
  </si>
  <si>
    <t>强壮的体质使你在冒险团队中所向无敌</t>
  </si>
  <si>
    <t>世间的一切在你眼中都索然无味</t>
  </si>
  <si>
    <t>世界上所有的神祗都在要求你做他们的使徒</t>
  </si>
  <si>
    <t>你的一个眼神、一个动作，都可能轻易的左右其他人的思想，决定国家的存亡</t>
  </si>
  <si>
    <t>因为你的存在，你所居住的小镇已经很多年没有买过起重机了</t>
  </si>
  <si>
    <t>你从别人身边走过，别人会以为只是一阵风吹过</t>
  </si>
  <si>
    <t>传奇肉盾</t>
  </si>
  <si>
    <t>完全可以去客串半神巫妖</t>
  </si>
  <si>
    <t>你能够直接倾听神祗的话语与神交流，你就是真正的神使</t>
  </si>
  <si>
    <t>天上的众神为了争夺你打的不可开交，深渊中的恶魔因为你的存在而不愿破坏世界</t>
  </si>
  <si>
    <t>AcqInc.</t>
  </si>
  <si>
    <t>种族备选</t>
  </si>
  <si>
    <t>亚种选项</t>
  </si>
  <si>
    <t>待选特性</t>
  </si>
  <si>
    <t>已选特性</t>
  </si>
  <si>
    <t>行</t>
  </si>
  <si>
    <t>最小列</t>
  </si>
  <si>
    <t>最大列</t>
  </si>
  <si>
    <t>通用特性</t>
  </si>
  <si>
    <t>阿斯莫向导特质</t>
  </si>
  <si>
    <t>阿斯莫天界特性</t>
  </si>
  <si>
    <t>蜥蜴人怪癖</t>
  </si>
  <si>
    <t>斑猫人追求</t>
  </si>
  <si>
    <t>斑猫人怪癖</t>
  </si>
  <si>
    <t>梭螺鱼人怪癖</t>
  </si>
  <si>
    <t>精灵饰品</t>
  </si>
  <si>
    <t>精灵冒险动机</t>
  </si>
  <si>
    <t>卓尔冒险动机</t>
  </si>
  <si>
    <t>卓尔家族专业</t>
  </si>
  <si>
    <t>雅灵联系季节</t>
  </si>
  <si>
    <t>秋季人格特点</t>
  </si>
  <si>
    <t>秋季缺陷</t>
  </si>
  <si>
    <t>冬季人格特点</t>
  </si>
  <si>
    <t>冬季缺陷</t>
  </si>
  <si>
    <t>春季人格特点</t>
  </si>
  <si>
    <t>春季缺陷</t>
  </si>
  <si>
    <t>夏季人格特点</t>
  </si>
  <si>
    <t>夏季缺陷</t>
  </si>
  <si>
    <t>离梦人癖好</t>
  </si>
  <si>
    <t>兽人外出理由</t>
  </si>
  <si>
    <t>机关人怪癖</t>
  </si>
  <si>
    <t>矮人离开原因</t>
  </si>
  <si>
    <t>侏儒的计画</t>
  </si>
  <si>
    <t>半精灵起源</t>
  </si>
  <si>
    <t>半身人怪癖</t>
  </si>
  <si>
    <t>人类起源</t>
  </si>
  <si>
    <t>半血裔饥渴</t>
  </si>
  <si>
    <t>半血裔起源</t>
  </si>
  <si>
    <t>巫咒之子起源</t>
  </si>
  <si>
    <t>重生者遗失的记忆</t>
  </si>
  <si>
    <t>仙灵精类特征</t>
  </si>
  <si>
    <t>化兽者兽化人先祖</t>
  </si>
  <si>
    <t>矮人</t>
  </si>
  <si>
    <t>丘陵矮人</t>
  </si>
  <si>
    <t>山地矮人</t>
  </si>
  <si>
    <t>微型</t>
  </si>
  <si>
    <t>体质+2，感知+1</t>
  </si>
  <si>
    <t>中型</t>
  </si>
  <si>
    <t>基础步行速度为25尺，你的速度不会因穿着重甲而减慢</t>
  </si>
  <si>
    <t>和矮人语</t>
  </si>
  <si>
    <t>书生气的，教条主义的</t>
  </si>
  <si>
    <t>锈蚀金属色、白色或木炭色的雀斑</t>
  </si>
  <si>
    <t>你讨厌浪费，而且没有理由不清理吃光死掉的敌人。手指美味又方便！</t>
  </si>
  <si>
    <t>一位神祇或者位面存在</t>
  </si>
  <si>
    <t>你想念你的热带家乡，对寒冷的天气抱怨不休，哪怕是在夏天。</t>
  </si>
  <si>
    <t>你所说的话即是需要服从的命令。</t>
  </si>
  <si>
    <t>一个小笔记本，任何写在上面的东西都会在一小时内消失。</t>
  </si>
  <si>
    <t>你相信让精灵与科瑞隆重新团聚的秘密在世界上的某处而不在精灵社区之中，而你下定决心要找到这个秘密。</t>
  </si>
  <si>
    <t>你打听到了你的家族中一位成员试图毒杀你，因而你从幽暗地域逃脱以保命。你在闯出足以让你身边有着一群忠诚的佣兵护卫前不会回去。</t>
  </si>
  <si>
    <t>精金武器</t>
  </si>
  <si>
    <t>秋是和平与善意的季节，众生分享着夏季的丰收。</t>
  </si>
  <si>
    <t>如果有人需要你的帮助，你会毫无保留地伸出援手。</t>
  </si>
  <si>
    <t>你不暇思索地相信别人。</t>
  </si>
  <si>
    <t>最坏的情况总是最可能发生的。</t>
  </si>
  <si>
    <t>万物终有一死。为何还要麻烦地建造那些长存的事物呢？</t>
  </si>
  <si>
    <t>每一天都是你生命中最美好的一天。</t>
  </si>
  <si>
    <t>你常常酗酒。</t>
  </si>
  <si>
    <t>你相信单刀直入是解决问题的最佳方式。</t>
  </si>
  <si>
    <t>你很顽固。“改变”这种事让别人去做吧。</t>
  </si>
  <si>
    <t>你试图了解敌人的动机和感受</t>
  </si>
  <si>
    <t>你和护门者有联系，而你正要执行在阴影湿地外对抗一个与恶魔有关的威胁的委托。</t>
  </si>
  <si>
    <t>你大声分析遇见的每个人可能会带来的潜在威胁。</t>
  </si>
  <si>
    <t>与敌对氏族之间的宿怨已经失控，最好是在事情平静下来的时候离开几十年。</t>
  </si>
  <si>
    <t>你的家人正在研究一种新的元素绑定形式，但是他们需要很多凯博尔龙晶。</t>
  </si>
  <si>
    <t>你是一个主要城市的科拉瓦社区的关键人物，主持团结餐会，并与城市中每一个半精灵保持联系。</t>
  </si>
  <si>
    <t>你常常惊讶於五国人民认为理所当然的事情。</t>
  </si>
  <si>
    <t>来自安黛尔的贫穷法师，努力证明你和其他安黛尔法师一样聪明</t>
  </si>
  <si>
    <t>饥渴</t>
  </si>
  <si>
    <t>你是吸血鬼暴君祖先的转世。</t>
  </si>
  <si>
    <t>想要有个孩子，你的父母和鬼婆进行了交易，而你就是那场交易的产物。</t>
  </si>
  <si>
    <t>你回想起身体承受的巨大痛苦，你身上与之相关的伤痕或印记是什么样的？</t>
  </si>
  <si>
    <t>你的翅膀如同鸟类的翅膀。</t>
  </si>
  <si>
    <t>熊人</t>
  </si>
  <si>
    <t>精灵</t>
  </si>
  <si>
    <t>高等精灵</t>
  </si>
  <si>
    <t>木精灵</t>
  </si>
  <si>
    <t>黑暗精灵</t>
  </si>
  <si>
    <t>小型</t>
  </si>
  <si>
    <t>体质+2，力量+2</t>
  </si>
  <si>
    <t>富有同情心的，给人以希望的</t>
  </si>
  <si>
    <t>金属般的、发光的或黑暗的眼睛</t>
  </si>
  <si>
    <t>你把大部分身体泡在水里的时候睡得最香。</t>
  </si>
  <si>
    <t>一只怪物</t>
  </si>
  <si>
    <t>除非绝对必要，你从不穿同样的衣服两次。</t>
  </si>
  <si>
    <t>你动不动就夸耀你的文明的伟大。</t>
  </si>
  <si>
    <t>一个用象牙与黄金制成的水晶透镜，透过它，任何东西看起来都会变得色彩缤纷</t>
  </si>
  <si>
    <t>你的同胞血亲被一个疯狂的怪物杀死了，你在击败它、杀死它前绝不停息。</t>
  </si>
  <si>
    <t>你因为试图毒杀你有权有势的竞争对手而被奴役作为惩罚，但你逃脱了奴役并逃至地表。若你回归，你将被再次奴役。</t>
  </si>
  <si>
    <t>暗杀</t>
  </si>
  <si>
    <t>冬是冥想与悲伤的季节，生机勃勃的世界蛰伏了。</t>
  </si>
  <si>
    <t>你会分享你的所有，而不考虑你自己的需求。</t>
  </si>
  <si>
    <t>你倾尽所有给予别人，却连必要的补给都不留给自己。</t>
  </si>
  <si>
    <t>你会把你的所有都保存起来。今天挨饿明天饱餐总比反过来的情况好。</t>
  </si>
  <si>
    <t>你不看重任何事，所以你允许让人引导你的行动。</t>
  </si>
  <si>
    <t>你做任何事都饱含热情，即使是最乏味的家务事。</t>
  </si>
  <si>
    <t>苦工是苦力的活。安逸是你的生活。</t>
  </si>
  <si>
    <t>压倒性的力量可以解决任何事。问题越困难，就该用更大的力量。</t>
  </si>
  <si>
    <t>最好的选择是一个人出手迅速、出人意料并且势不可挡。</t>
  </si>
  <si>
    <t>你喜欢通过心灵感应而不是大声说话来交流</t>
  </si>
  <si>
    <t>萨拉释克家族从沼泽中中招募你，在终末之战中充当雇佣军。</t>
  </si>
  <si>
    <t>你经常误解情绪表现。</t>
  </si>
  <si>
    <t>你来自一个大家庭，没有位置让你展露光芒，所以你希望让自己在更广阔的世界出名。</t>
  </si>
  <si>
    <t>你有一个匿名联系人通过短讯术给你发送任务。如果你按照要求去做，你会得到丰厚的回报。</t>
  </si>
  <si>
    <t>你在一个由人类主宰的小镇上长大。你不认识任何其他半精灵，你尽了最大努力去融入他们。</t>
  </si>
  <si>
    <t>你模仿一种恐龙的行为。</t>
  </si>
  <si>
    <t>一个来自布鲁兰的街头盗贼，只想永远逃离萨恩的喧嚣</t>
  </si>
  <si>
    <t>血液</t>
  </si>
  <si>
    <t>你与一位具有掠夺性的神祇，邪魔，精类或灵魂缔结了契约，共享它们的饥渴。</t>
  </si>
  <si>
    <t>精类绑架者把你和你父母的孩子进行了替换。</t>
  </si>
  <si>
    <t>回忆使你热泪盈眶。是苦涩的回忆还是甜美的回忆？现在回想起来你的感受是否还如当初一样？</t>
  </si>
  <si>
    <t>你的皮肤闪闪发光，五彩缤纷。</t>
  </si>
  <si>
    <t>野猪人</t>
  </si>
  <si>
    <t>半身人</t>
  </si>
  <si>
    <t>轻足半身人</t>
  </si>
  <si>
    <t>敦实半身人</t>
  </si>
  <si>
    <t>灰矮人</t>
  </si>
  <si>
    <t>自选两项属性分别+2/+1或自选三项属性+1</t>
  </si>
  <si>
    <t>基础步行速度为30尺</t>
  </si>
  <si>
    <t>，以及任意一门自选语言</t>
  </si>
  <si>
    <t>实际主义的，使人轻松的</t>
  </si>
  <si>
    <t>多种颜色层叠的头发</t>
  </si>
  <si>
    <t>金钱对你来说毫无意义。</t>
  </si>
  <si>
    <t>一个失落的文明</t>
  </si>
  <si>
    <t>你有轻微的恐水症，讨厌被水弄湿。</t>
  </si>
  <si>
    <t>你习得了过时版本的通用语，并将“汝”用在你的话中。</t>
  </si>
  <si>
    <t>一个核桃大小的金色金字塔，其上刻有精灵符文</t>
  </si>
  <si>
    <t>一只渡鸦带来了你的一位需要援助的老友的密信，但密信中关于你这位老友的位置信息相当模糊。你正尝试花上数年时间来追踪、拯救你的老友。</t>
  </si>
  <si>
    <t>你是一位罗丝高阶女祭司的情人，你以此作为你地位的保证。当她厌倦了你时，失去地位对你而言是个耻辱，所以你离开了。</t>
  </si>
  <si>
    <t>基于魔法控制的巨蜘蛛养殖</t>
  </si>
  <si>
    <t>春是快乐与庆祝的季节，欢喜随冬之悲伤的离去而来。</t>
  </si>
  <si>
    <t>这里没有饱腹的简餐，只有奢华的盛宴。</t>
  </si>
  <si>
    <t>每个人都是你的朋友或者潜在的朋友。</t>
  </si>
  <si>
    <t>生活充满了危险，但你已做好准备。</t>
  </si>
  <si>
    <t>你的需求是第一位。在寒冬，每个人都必须照顾好自己。</t>
  </si>
  <si>
    <t>你热爱音乐与歌唱。如果没人能为你写歌，你会为自己谱曲。</t>
  </si>
  <si>
    <t>美人能将你轻易俘虏，但你的热情来得快去得也快。</t>
  </si>
  <si>
    <t>你站得强健而挺拔，以便让他人能依靠你。</t>
  </si>
  <si>
    <t>比起动口，你会先动手。</t>
  </si>
  <si>
    <t>你有一种保护无辜者的强烈冲动</t>
  </si>
  <si>
    <t>你是一个孤狼猎手，但你已经决定寻找进一步的机会或是湿地外世界的真正挑战。</t>
  </si>
  <si>
    <t>你极力保护自己的朋友。</t>
  </si>
  <si>
    <t>你的氏族已经为你的婚姻和未来做了安排，你已经决定在安定下来之前进行一些冒险活动。</t>
  </si>
  <si>
    <t>你继承了夸巴拉的一块地。如果你在一年内不访问，你将失去所有权。</t>
  </si>
  <si>
    <t>你住在埃鲁登原野的一个小科拉瓦社区，你试图成为东部人类农民和西部德鲁伊教和野人之间的桥梁。</t>
  </si>
  <si>
    <t>你非常好奇，总是在寻找新的经历。</t>
  </si>
  <si>
    <t>一名流离失所的赛尔战士，哀伤咏叹期间在赛尔外参与了战争，现在被困在了没有家的地方</t>
  </si>
  <si>
    <t>生肉</t>
  </si>
  <si>
    <t>你从一位吸血鬼的攻击中幸存了下来，但是也被永远的改变了。</t>
  </si>
  <si>
    <t>一个鬼婆集会失去了一名成员。你被创造出来填补缺失的空位。</t>
  </si>
  <si>
    <t>你回想起孩童时期的事情。那时候的什么事件或人物至今仍在影响着你？</t>
  </si>
  <si>
    <t>你有着特别大的耳朵。</t>
  </si>
  <si>
    <t>鼠人</t>
  </si>
  <si>
    <t>人类</t>
  </si>
  <si>
    <t>人类变体</t>
  </si>
  <si>
    <t>大型</t>
  </si>
  <si>
    <t>序号</t>
  </si>
  <si>
    <t>增值</t>
  </si>
  <si>
    <t>警戒龙纹</t>
  </si>
  <si>
    <t>体质+2，智力+1</t>
  </si>
  <si>
    <t>狂热的，报复心猛烈的</t>
  </si>
  <si>
    <t>你的影子有不寻常的色调</t>
  </si>
  <si>
    <t>你认为世界上只有两种人：蜥蜴人和食用肉。</t>
  </si>
  <si>
    <t>一名法师的秘密</t>
  </si>
  <si>
    <t>你的尾巴总是背叛你内心的想法。</t>
  </si>
  <si>
    <t>你认为人们都在告诉你当地风俗习惯和期望的真相。</t>
  </si>
  <si>
    <t>一个蝴蝶形的，用搪瓷制成的斗篷针；当你取下它时，它会变成一只真正的蝴蝶，在你准备把它戴回去前又会再变成针。</t>
  </si>
  <si>
    <t>一个美丽的精灵赢得了，又打碎了你的心。如果你通过冒险挣得了足够的金钱与荣誉，你或许可以让你的爱人回心转意。</t>
  </si>
  <si>
    <t>你在一场出于公开侮辱你的决斗中杀死了更有权势的家族的卓尔。死者的家族发誓要摧毁你的家族，除非你人头落地。你的血亲们强迫你离开他们。你想着他们为什么会变成这样。</t>
  </si>
  <si>
    <t>致幻物质</t>
  </si>
  <si>
    <t>夏是大胆与进犯的季节，为无拘无束的精力所填满。</t>
  </si>
  <si>
    <t>你将上好的食物存储起来。因为你不喜欢连这点舒适的用品都失去。</t>
  </si>
  <si>
    <t>你在物质享受上穷奢极欲。</t>
  </si>
  <si>
    <t>花了一便士就是永远弄丢了一便士。</t>
  </si>
  <si>
    <t>你只会指出他人计划中的瑕疵。</t>
  </si>
  <si>
    <t>你总是心浮气躁、坐立不安。</t>
  </si>
  <si>
    <t>任何值得做的事情都值得不断地重复之。</t>
  </si>
  <si>
    <t>你往往会先加以恐吓，因为你觉得通过展示力量来避免战斗总好过伤害别人。</t>
  </si>
  <si>
    <t>你的怒火载着你披荆斩棘。</t>
  </si>
  <si>
    <t>你会把梦中的逻辑应用到日常生活中</t>
  </si>
  <si>
    <t>你的村庄被来自卓姆的怪物摧毁了，因而你开始在世界中找寻一个新的落脚点。</t>
  </si>
  <si>
    <t>你试图将战时纪律运用到每一种情况中。</t>
  </si>
  <si>
    <t>你在与一个私人对手进行仇杀，试图在战斗或商业中击败他们。</t>
  </si>
  <si>
    <t>由於不寻常的三团议会法律的扭曲，你与许多其他的孩子共享相同的名字，你在法律上被认为是同一个人。</t>
  </si>
  <si>
    <t>你们的小科拉瓦社区只有在萨恩的贫民窟里才得以生存，你们互相给予了亲密的、像家人一样的支持。</t>
  </si>
  <si>
    <t>你喜欢自吹自擂，你总是夸大自己的奇遇。</t>
  </si>
  <si>
    <t>一个来自恶魔荒原的野蛮人从残酷的生活中忏悔，并希望为过去的罪恶赎罪</t>
  </si>
  <si>
    <t>脑脊液</t>
  </si>
  <si>
    <t>一条寄生虫寄生在你体内，你听任于它的饥渴。</t>
  </si>
  <si>
    <t>孩童时期你遭受了诅咒。与森林中的精魂们打交道导致你被转变为巫咒之子，并且这种诅咒无法被解除。</t>
  </si>
  <si>
    <t>回忆中传来过去一位亲近你的人的声音。他们是怎么指导你的？</t>
  </si>
  <si>
    <t>一层闪闪发光的雾一直环绕着你。</t>
  </si>
  <si>
    <t>虎人</t>
  </si>
  <si>
    <t>龙裔</t>
  </si>
  <si>
    <t>巨型</t>
  </si>
  <si>
    <t>敏捷+2，智力+1</t>
  </si>
  <si>
    <t>和精灵语</t>
  </si>
  <si>
    <t>严厉的，主观判断的</t>
  </si>
  <si>
    <t>你的头部环绕着鬼魂般的光环</t>
  </si>
  <si>
    <t>你学会了笑。你用这个天赋来回应所有的情绪状况，以更好地适应你的同伴。</t>
  </si>
  <si>
    <t>一件平凡的东西</t>
  </si>
  <si>
    <t>当你高兴时会发出响亮的咕噜声。</t>
  </si>
  <si>
    <t>陆上世界是个奇妙的地方，你把它的所有细节都记在了一本日记里。</t>
  </si>
  <si>
    <t>一个金色的罗盘，它会指向10里内最近的通往妖精荒原的传送点</t>
  </si>
  <si>
    <t>你的父亲认为你太弱小了，没有办法作为一个冒险者生存下来，但是他错了，而你会证明这一点。</t>
  </si>
  <si>
    <t>你的一位密友被怀疑为伊莉丝翠的信徒。她圈子里的所有人都被怀疑。逃跑便是默认了指控，尽管你对此一无所知，但若你留在此处，你会被献祭给罗丝。</t>
  </si>
  <si>
    <t>高品质奴隶与活祭</t>
  </si>
  <si>
    <t>你在与梦族商量事情时会不自觉地大声说出</t>
  </si>
  <si>
    <t>作为黄泉巨龙会的信徒，你相信，杀死强大的敌人是唯一的通往深藏在地底空心世界中的天堂的道路。为了寻找有价值的敌人，你冒险越过了湿地。</t>
  </si>
  <si>
    <t>你不知道怎么控制自己的情绪，容易产生急剧的情绪爆发。</t>
  </si>
  <si>
    <t>你在寻找一个传说中的矮人神器，几个世纪前被一个坎纳斯贵族偷走了。</t>
  </si>
  <si>
    <t>你已经获得了一个包含大量奇怪代码文本的法术碎片。</t>
  </si>
  <si>
    <t>你是瑟雷恩社区的一员，他们对银焰教会的热爱使你将团结餐会扩展到非科拉瓦。</t>
  </si>
  <si>
    <t>你戴着一个面具，你相信它保存着你以前恐龙坐骑的灵魂。你喜欢和它说话。</t>
  </si>
  <si>
    <t>一个来自埃鲁登原野的善良德鲁伊他想了解科瓦雷地区的植物和动物</t>
  </si>
  <si>
    <t>心灵能量</t>
  </si>
  <si>
    <t>一场惨剧中止了你转变为不朽者的进程。</t>
  </si>
  <si>
    <t>你原本是一位精类生物，一场事故改变了你，并迫使你离开了家乡。</t>
  </si>
  <si>
    <t>你回想起一件你过去曾享受，但现在却无法忍受的事物。它是什么？为什么你现在不喜欢了？</t>
  </si>
  <si>
    <t>你的额头上有一根灵体角，就像小型的独角兽角。</t>
  </si>
  <si>
    <t>狼人（类似狼）</t>
  </si>
  <si>
    <t>侏儒</t>
  </si>
  <si>
    <t>森林侏儒</t>
  </si>
  <si>
    <t>岩侏儒</t>
  </si>
  <si>
    <t>超巨型</t>
  </si>
  <si>
    <t>敏捷+2，感知+1</t>
  </si>
  <si>
    <t>仁慈的，父母般的</t>
  </si>
  <si>
    <t>你的皮肤上闪烁着彩虹</t>
  </si>
  <si>
    <t>你还是不懂隐喻是怎么起作用的。不过这并不妨碍你在每一个机会上使用它们。</t>
  </si>
  <si>
    <t>一件魔法物品</t>
  </si>
  <si>
    <t>你让一个小毛线球缠在手上并不断地摆弄着。</t>
  </si>
  <si>
    <t>你误以为陆上住民都知道你的种族的历史并且印象深刻。</t>
  </si>
  <si>
    <t>一个银色的小陀螺，一旦它开始转动，那么在被人为打断前就会一直转下去</t>
  </si>
  <si>
    <t>只有那些成就伟业者才会在他们死后被长久铭记。诗人们将会为你的丰功伟绩而喝彩。</t>
  </si>
  <si>
    <t>你是一组被埋伏了的地表突击队的队员之一，然后你被抓住了。在被监禁的几年里，你知道了罗丝的祭司告诉你的关于地表世界的一切都是谎言，现在你要自己体验这里的真相。</t>
  </si>
  <si>
    <t>从对地表突袭中获得的物品</t>
  </si>
  <si>
    <t>你压抑自己的情绪，依靠逻辑办事</t>
  </si>
  <si>
    <t>你的家族与萨拉释克家族合作，你被招募为赏金猎人或调查员，即使你并非家族成员。</t>
  </si>
  <si>
    <t>你无法理解衣服除了实用性质以外的意义，并认为一个生物的穿着代表着他的功能。</t>
  </si>
  <si>
    <t>你想聚集可以帮助你探索古老废墟下祖先家园的勇士们。</t>
  </si>
  <si>
    <t>你知道一个被通缉的战犯的位置，你一直在决定是把他们交出来，还是用你的沉默来换取什麽。</t>
  </si>
  <si>
    <t>你的科拉瓦社区是一艘拉扎尔船的船员。</t>
  </si>
  <si>
    <t>你不了解“事实”的概念。对你来说，每件事都是一个故事，而真相就在你如何讲述它。</t>
  </si>
  <si>
    <t>一个来自坎纳斯的牧师，他渴望学习死灵术--当然是为了最崇高的目标</t>
  </si>
  <si>
    <t>梦</t>
  </si>
  <si>
    <t>你是一位被削弱的异界存在，满足你的饥饿感能加快你的恢复。</t>
  </si>
  <si>
    <t>一个被侮慢的德鲁伊转变了你，并将你与一棵神圣的树绑定，只要这棵树还结果，你就只能以这样的姿态活下去。</t>
  </si>
  <si>
    <t>回忆起生动的气味和感觉。你要做些什么事情来重现这一经历呢？</t>
  </si>
  <si>
    <t>你有着昆虫的腿。</t>
  </si>
  <si>
    <t>狼人（类似犬）</t>
  </si>
  <si>
    <t>半精灵</t>
  </si>
  <si>
    <t>敏捷+2，魅力+1</t>
  </si>
  <si>
    <t>你欣赏软弱的类人生物意识到需要用链甲和剑才配得上你与生俱来的礼物。</t>
  </si>
  <si>
    <t>一处场所</t>
  </si>
  <si>
    <t>你总是在负债，因为你把你的黄金都花在豪华的聚会上和送给朋友了。</t>
  </si>
  <si>
    <t>一只用搪瓷，金丝与奇石制成的鸣鸟，当你用精灵语说出这只鸣鸟的名字时，它会开始歌唱。</t>
  </si>
  <si>
    <t>你私底下爱上了队伍中的一位成员，你不能忍受哪怕只是想到那个人会受伤。</t>
  </si>
  <si>
    <t>你在一生中都对你同胞的残忍行径感到陌生与害怕。你得到的第一个机会是自愿参加一次对地表的突袭，然后你抛弃了队伍并留在了后面。现在你不管到哪里去都被憎恨着、厌恶着，但至少你找到了一小组信任并支持彼此的冒险同伴。</t>
  </si>
  <si>
    <t>低价类人奴隶</t>
  </si>
  <si>
    <t>你周围的情绪会强烈地影响到你</t>
  </si>
  <si>
    <t>你们家族的首领对另一个家族犯了大错，这个家族现在发誓要消灭你们家族的每一个成员。还有什么比现在更好的看外面世界的时机呢？</t>
  </si>
  <si>
    <t>你对自己的外表很在意，总是在擦亮自己的装甲和向他人吹嘘。</t>
  </si>
  <si>
    <t>你拒绝了你的氏族对异变魔魔法的态度，招致了强大矮人的敌意。</t>
  </si>
  <si>
    <t>你一直在卖假的藏宝图，但现在你可能找到了一张真的。</t>
  </si>
  <si>
    <t>你是位於坎纳斯的一个小科拉瓦社区的一员，这个社区对死亡和你艾伦诺祖先的做法很着迷，把你的团结餐会变成了对死亡的残酷庆祝。</t>
  </si>
  <si>
    <t>你会为那些为小型人们设计的建筑和工具而烦恼。</t>
  </si>
  <si>
    <t>一个来自拉扎尔邦联的海盗吟游诗人，他热爱海中的棚屋，但也想让歌曲中伟大英雄的事蹟永垂不朽</t>
  </si>
  <si>
    <t>生命精华</t>
  </si>
  <si>
    <t>你双亲中的一位是吸血鬼。</t>
  </si>
  <si>
    <t>你闻起来像是刚出炉的布朗尼。</t>
  </si>
  <si>
    <t>半兽人</t>
  </si>
  <si>
    <t>雅灵</t>
  </si>
  <si>
    <t>你喜欢在你的食物还在蠕动的时候吃了它。</t>
  </si>
  <si>
    <t>一个传说或者故事</t>
  </si>
  <si>
    <t>当谈论你追求的东西时，你说话飞快，从不停顿，让别人没法明白你。</t>
  </si>
  <si>
    <t>一只用搪瓷制作的花朵，当它被放进一个人的头发里时，它会变成活的花并用一支真的花藤系住穿戴者的头发。摘下这支藤蔓上的花会让它再次变成非活物。</t>
  </si>
  <si>
    <t>当你出生之时，你的祖母预言你会统治一个人类王国。你正在追寻这个命运。</t>
  </si>
  <si>
    <t>在灰矮人为奴隶与财宝袭击队伍时，你是那支往其它卓尔城市传递外交信息的使节团的一员。只有你和另一个守卫逃脱了。如果你回家，你会被毒死或因失败遭到更可怕的处罚，成为一名佣兵是你最好的选择。</t>
  </si>
  <si>
    <t>幽暗地域的地图</t>
  </si>
  <si>
    <t>只要有可能，你更倾向于通过非暴力手段解决问题</t>
  </si>
  <si>
    <t>作为一名调查员，你的工作让你踏上了一条远离湿地的神秘之路。</t>
  </si>
  <si>
    <t>战争是对你来说唯一有意义的事，所以你一直都在追求战斗。</t>
  </si>
  <si>
    <t>你想知道其他科瓦雷人--尤其是哥布林和兽人--是如何与异变魔作战的。</t>
  </si>
  <si>
    <t>你获得了一个龙晶矿坑的控股权，这个矿坑很久以前就被废弃了。但是为什麽呢?狗头人吗?异怪?真相只有一个!</t>
  </si>
  <si>
    <t>你是一个微型科拉瓦社区的一部分，生活在一个意想不到的地方，比如卓姆、达贡，甚至是恶魔荒原。你的人民努力寻找与当地人的共同点。</t>
  </si>
  <si>
    <t>你要为你百姓所受的恶报仇。</t>
  </si>
  <si>
    <t>一个被训练在夸巴拉丛林狩猎的游侠，对龙怀恨在心。</t>
  </si>
  <si>
    <t>一场极端的实验改变了你的身体，让你以他人的生命体液维生。</t>
  </si>
  <si>
    <t>一种明显的、无害的寒意环绕着你。</t>
  </si>
  <si>
    <t>提夫林</t>
  </si>
  <si>
    <t>海精灵</t>
  </si>
  <si>
    <t>你按耐不住地想要独吞你感兴趣的东西。</t>
  </si>
  <si>
    <t>你被勇士的精神体所影响，会为了任何高尚的事业而奋斗</t>
  </si>
  <si>
    <t>你的家庭正面临经济崩溃，他们给你买了保险。只有在你非自然死亡时才能理赔，他们鼓励你去寻找更危险的冒险。</t>
  </si>
  <si>
    <t>你与林兰德家族或梅丹尼家族有联系，但你更感兴趣的是家族在支持科拉瓦社区方面所扮演的角色，而不是其公会的工作。</t>
  </si>
  <si>
    <t>你永远不会忘记一个侮辱或伤害。</t>
  </si>
  <si>
    <t>一个来自阴影湿地的契术师走了过来，在神智清醒的边缘摇摇欲坠，同时凝视着异变魔</t>
  </si>
  <si>
    <t>影灵</t>
  </si>
  <si>
    <t>你说话的时候会将你发现过的传说与故事当梗用到你的话里。</t>
  </si>
  <si>
    <t>运输用爬行动物</t>
  </si>
  <si>
    <t>你被梦境之暗的阴谋纠缠</t>
  </si>
  <si>
    <t>你在兜售一个延长寿命的计划，让客户被梅杜莎石化，然後再恢复。</t>
  </si>
  <si>
    <t>你在维伦那旅行，希望有一天能证明你配得上一个守护灵祖先。</t>
  </si>
  <si>
    <t>你把一切都归因於灵魂的工作。</t>
  </si>
  <si>
    <t>一个瑟雷恩的银焰教会圣骑士，他在寻找一些东西来证明支撑信仰的真理。</t>
  </si>
  <si>
    <t>阴影龙纹</t>
  </si>
  <si>
    <t>苍白精灵</t>
  </si>
  <si>
    <t>基础步行速度为25尺</t>
  </si>
  <si>
    <t>和半身人语</t>
  </si>
  <si>
    <t>敏捷+2，体质+1</t>
  </si>
  <si>
    <t>重复特性</t>
  </si>
  <si>
    <t>动物强化</t>
  </si>
  <si>
    <t>鬼智半身人</t>
  </si>
  <si>
    <t>亚种错误</t>
  </si>
  <si>
    <t>未选亚种</t>
  </si>
  <si>
    <t>互斥特性</t>
  </si>
  <si>
    <t>医疗龙纹</t>
  </si>
  <si>
    <t>熊地精</t>
  </si>
  <si>
    <t>大地精</t>
  </si>
  <si>
    <t>半木精灵</t>
  </si>
  <si>
    <t>初级</t>
  </si>
  <si>
    <t>招待龙纹</t>
  </si>
  <si>
    <t>半日月精灵</t>
  </si>
  <si>
    <t>莲源半身人</t>
  </si>
  <si>
    <t>半卓尔精灵</t>
  </si>
  <si>
    <t>高级</t>
  </si>
  <si>
    <t>全部属性+1</t>
  </si>
  <si>
    <t>半水生精灵</t>
  </si>
  <si>
    <t>自选两项不同属性各+1</t>
  </si>
  <si>
    <t>吉斯洋基人</t>
  </si>
  <si>
    <t>吉斯泽莱人</t>
  </si>
  <si>
    <t>提夫林变体</t>
  </si>
  <si>
    <t>探索龙纹</t>
  </si>
  <si>
    <t>感知+2，体质+1</t>
  </si>
  <si>
    <t>阿斯莫</t>
  </si>
  <si>
    <t>畜牧龙纹</t>
  </si>
  <si>
    <t>感知+2，自选一项其他属性+1</t>
  </si>
  <si>
    <t>狗头人</t>
  </si>
  <si>
    <t>创造龙纹</t>
  </si>
  <si>
    <t>智力+2，自选一项其他属性+1</t>
  </si>
  <si>
    <t>化兽者</t>
  </si>
  <si>
    <t>通行龙纹</t>
  </si>
  <si>
    <t>敏捷+2，自选一项其他属性+1</t>
  </si>
  <si>
    <t>守护龙纹</t>
  </si>
  <si>
    <t>加渥尼</t>
  </si>
  <si>
    <t>凯锡革</t>
  </si>
  <si>
    <t>敏捷+1，感知+1</t>
  </si>
  <si>
    <t>涅非利亚</t>
  </si>
  <si>
    <t>智力+1，魅力+1</t>
  </si>
  <si>
    <t>史顿襄</t>
  </si>
  <si>
    <t>力量+1，体质+1</t>
  </si>
  <si>
    <t>力量+2，魅力+1</t>
  </si>
  <si>
    <t>和龙语</t>
  </si>
  <si>
    <t>龙国血统</t>
  </si>
  <si>
    <t>智力+2，魅力+1</t>
  </si>
  <si>
    <t>气元素裔</t>
  </si>
  <si>
    <t>土元素裔</t>
  </si>
  <si>
    <t>火元素裔</t>
  </si>
  <si>
    <t>水元素裔</t>
  </si>
  <si>
    <t>瑞雯奈特</t>
  </si>
  <si>
    <t>力量+2，体质+1</t>
  </si>
  <si>
    <t>色彩龙血统</t>
  </si>
  <si>
    <t>宝石龙血统</t>
  </si>
  <si>
    <t>金属龙血统</t>
  </si>
  <si>
    <t>智力+2，敏捷+1</t>
  </si>
  <si>
    <t>和侏儒语</t>
  </si>
  <si>
    <t>智力+2，体质+1</t>
  </si>
  <si>
    <t>地底侏儒</t>
  </si>
  <si>
    <t>抄录龙纹</t>
  </si>
  <si>
    <t>魅力+2，自选两项其他属性各+1</t>
  </si>
  <si>
    <t>和精灵语，以及任意一门自选语言</t>
  </si>
  <si>
    <t>绿色人鱼</t>
  </si>
  <si>
    <t>蓝色人鱼</t>
  </si>
  <si>
    <t>半月精灵</t>
  </si>
  <si>
    <t>依夏兰</t>
  </si>
  <si>
    <t>赞迪卡</t>
  </si>
  <si>
    <t>半日精灵</t>
  </si>
  <si>
    <t>侦测龙纹</t>
  </si>
  <si>
    <t>暴风龙纹</t>
  </si>
  <si>
    <t>魅力+2，敏捷+1</t>
  </si>
  <si>
    <t>和兽人语</t>
  </si>
  <si>
    <t>阿芒凯牛头怪</t>
  </si>
  <si>
    <t>和牛头人语</t>
  </si>
  <si>
    <t>黑暗视觉</t>
  </si>
  <si>
    <t>矮人体魄</t>
  </si>
  <si>
    <t>矮人战斗训练</t>
  </si>
  <si>
    <t>石中精妙</t>
  </si>
  <si>
    <t>矮人刚毅</t>
  </si>
  <si>
    <t>矮人护甲训练</t>
  </si>
  <si>
    <t>增强黑暗视觉</t>
  </si>
  <si>
    <t>灵能坚韧</t>
  </si>
  <si>
    <t>灰矮人魔法</t>
  </si>
  <si>
    <t>龙纹法术</t>
  </si>
  <si>
    <t>守卫直觉</t>
  </si>
  <si>
    <t>保护与封锁</t>
  </si>
  <si>
    <t>智力+1，魅力+2</t>
  </si>
  <si>
    <t>和炼狱语</t>
  </si>
  <si>
    <t>在微光光照下，你身边60尺内可以视为等同于明亮光照。而在黑暗中，该范围内可视为等同于微光光照。你无法在黑暗中分辨颜色，只能看到有灰度的黑白画面</t>
  </si>
  <si>
    <t>你进行对抗中毒的豁免时具有优势，你对毒素伤害具有抗性</t>
  </si>
  <si>
    <t>你具有战斧，手斧，轻锤和战锤的武器熟练项</t>
  </si>
  <si>
    <t>你从以下工具中选择一项获得熟练项：铁匠工具、酿酒工具或石匠工具</t>
  </si>
  <si>
    <t>每当你对一件石制品的起源做智力（历史）检定时，你视为具有历史技能的熟练项，并可以在检定中加上双倍的熟练加值</t>
  </si>
  <si>
    <t>你的生命值最大值加1，且此后每次升级时再加1</t>
  </si>
  <si>
    <t>你具有轻甲和中甲的护甲熟练项</t>
  </si>
  <si>
    <t>你的黑暗视觉感官范围提升至120尺</t>
  </si>
  <si>
    <t>你进行对抗魅惑和震慑的豁免时具有优势</t>
  </si>
  <si>
    <t>第3级起，你可以用此特质对自己施展一次变巨/缩小术
第5级起，你可以用此特质施展一次变巨/缩小术或隐形术
你必须完成一次长休后才能再次启用该能力。你也可以通过法术位正常施展该特性中的法术，该法术的施法关键属性为智力、感知或魅力并在最初选择种族时决定
当你使用该特质施展这些法术时，无需法术成分</t>
  </si>
  <si>
    <t>如果你拥有施法或契约魔法职业能力，将以下龙纹法术加入施法职业法术列表中：
1环：警报术，艾嘉西斯之铠
2环：秘法锁，敲击术
3环：守卫刻文，防护法阵
4环：李欧蒙秘藏箱，摩登肯忠犬
5环：防活物护罩</t>
  </si>
  <si>
    <t>当你进行智力（调查）检定或使用盗贼工具进行属性检定时，你能掷一个d4，并把结果加到属性检定的结果上</t>
  </si>
  <si>
    <t>你能够施展警报术和法师护甲法术，从3级起，你还能施展秘法锁。一旦你使用此特性施展了前述法术，你将无法再次使用此特性，直到完成一次长休。智力是你在施展这些法术时的关键属性，你无需为这些法术提供材料成分</t>
  </si>
  <si>
    <t>智力+1，敏捷+2</t>
  </si>
  <si>
    <t>敏锐感官</t>
  </si>
  <si>
    <t>精类血统</t>
  </si>
  <si>
    <t>出神</t>
  </si>
  <si>
    <t>精灵武器训练</t>
  </si>
  <si>
    <t>戏法</t>
  </si>
  <si>
    <t>额外语言</t>
  </si>
  <si>
    <t>轻捷步伐</t>
  </si>
  <si>
    <t>野性面具</t>
  </si>
  <si>
    <t>日照敏感</t>
  </si>
  <si>
    <t>卓尔魔法</t>
  </si>
  <si>
    <t>卓尔武器训练</t>
  </si>
  <si>
    <t>精类步</t>
  </si>
  <si>
    <t>游泳</t>
  </si>
  <si>
    <t>海之子</t>
  </si>
  <si>
    <t>海之友</t>
  </si>
  <si>
    <t>黯蚀抗性</t>
  </si>
  <si>
    <t>鸦后的祝福</t>
  </si>
  <si>
    <t>狡诈直觉</t>
  </si>
  <si>
    <t>阴影塑形</t>
  </si>
  <si>
    <t>增强敏锐感官</t>
  </si>
  <si>
    <t>月织者的祝福</t>
  </si>
  <si>
    <t>巴尔泽布</t>
  </si>
  <si>
    <t>魅力+2，智力+1</t>
  </si>
  <si>
    <t>你拥有察觉的技能熟练项</t>
  </si>
  <si>
    <t>你进行对抗魅惑的豁免时具有优势，并且不会因魔法效应而陷入睡眠</t>
  </si>
  <si>
    <t>你具有长剑、短剑、短弓和长弓的武器熟练项</t>
  </si>
  <si>
    <t>你掌握一个法师法术列表中自选戏法</t>
  </si>
  <si>
    <t>你能额外说、读、写一门额外的自选语言</t>
  </si>
  <si>
    <t>基础步行速度提升至35尺</t>
  </si>
  <si>
    <t>你从树丛，大雨，落雪，雾气或其他自然现象中获得轻度遮蔽时，就可以尝试执行躲藏</t>
  </si>
  <si>
    <t>你进行攻击检定和依赖视觉的感知（察觉）检定时，如果你本人、你的攻击目标或你尝试察觉的东西位于阳光直射下，则你所进行的相应检定具有劣势</t>
  </si>
  <si>
    <t>你习得戏法舞光术。达到3级后，你可以每日使用一次法术妖火。达到5级后，你可以每日使用一次法术黑暗术。这些每日施展一次的法术其施法关键属性是魅力。你必须完成一次长休才能再次以该特质施展这些法术</t>
  </si>
  <si>
    <t>你具有刺剑、短剑和手弩的武器熟练项</t>
  </si>
  <si>
    <t>以一个附赠动作，你能使用魔法传送到30尺内你可见的一处未被占据的空间。你可以使用该特质的次数等于你的熟练加值，当你完成一次长休后，你重新获得所有消耗的次数
从3级开始，你的精类步得到了基于你季节的额外效果。如果该效果需要进行一次豁免，则难度等级为8+你的熟练加值+你的智力、感知或魅力调整值并在最初选择种族时决定：
秋。你使用精类步后，可以立刻选择10尺内你可见的至多两个生物，其必须通过一次感知豁免，否则被你魅惑1分钟，直到你或你的伙伴对其造成任何伤害
冬。你使用精类步时，你指定的一只传送前于你5尺内的生物必须通过一次感知豁免，否则将在你下回合结束之前对你恐慌
春。你使用精类步时，可以触摸5尺内一只自愿的生物，他将取代你进行传送，出现于30尺内你选择的对你可见的一处未被占据的空间
夏。你使用精类步后，5尺内你选择的每一只你可见的生物将受到等同于你熟练加值的火焰伤害（至少1点）</t>
  </si>
  <si>
    <t>你拥有等于步行速度的游泳速度</t>
  </si>
  <si>
    <t>你对冷冻伤害具有抗性，并且你可以在空气和水中呼吸</t>
  </si>
  <si>
    <t>你可以向任何拥有游泳速度的野兽传达简单的想法。它们可以理解你的话的意思，虽然你没有特殊的能力来明白它们的回应</t>
  </si>
  <si>
    <t>你对黯蚀伤害具有抗性</t>
  </si>
  <si>
    <t>以一个附赠动作，你能使用魔法传送到30尺内你可见的一处未被占据的空间。你可以使用该特质的次数等于你的熟练加值，当你完成一次长休后，你重新获得所有消耗的次数
从3级开始，你将在你以此能力传送之后得到对于所有伤害的抗性。该抗性将持续到你你的下回合开始。在此期间，你的身体呈现出如幽魂般的半透明</t>
  </si>
  <si>
    <t>如果你拥有施法或契约魔法职业能力，将以下龙纹法术加入施法职业法术列表中：
1环：易容术，无声幻影
2环：黑暗术，行动无踪
3环：鹰眼术，高等幻影
4环：高等隐形术，幻景
5环：假象术</t>
  </si>
  <si>
    <t>当你进行魅力（表演）或敏捷（隐匿）检定时，你能掷一个d4，并把结果加到属性检定的结果上</t>
  </si>
  <si>
    <t>你习得戏法次级幻影。从第3级起，你能够通过此特性施展隐形术。一旦你使用此特性施展了前述法术，你将无法再次使用此特性，直到完成一次长休。魅力是你在施展这些法术时的关键属性</t>
  </si>
  <si>
    <t>你在智力（调查）和感知（洞悉）检定上具有优势</t>
  </si>
  <si>
    <t>你习得戏法光亮术。当你抵达3级时，你能通过本特质释放一次睡眠术，当你完成一次长休后可重获释放次数。当你抵达5级时，你能释放一次隐形术（只能对自身释放），当你完成一次长休后可重获释放次数。通过本特质释放的这些法术不需要材料成分。感知是你释放这些法术的施法属性</t>
  </si>
  <si>
    <t>迪斯帕特</t>
  </si>
  <si>
    <t>幸运</t>
  </si>
  <si>
    <t>勇气</t>
  </si>
  <si>
    <t>半身人灵巧</t>
  </si>
  <si>
    <t>天生善匿</t>
  </si>
  <si>
    <t>敦实体魄</t>
  </si>
  <si>
    <t>鬼灵言语</t>
  </si>
  <si>
    <t>医疗直觉</t>
  </si>
  <si>
    <t>医疗之触</t>
  </si>
  <si>
    <t>永远热情好客</t>
  </si>
  <si>
    <t>旅店老板的魔法</t>
  </si>
  <si>
    <t>树林之子</t>
  </si>
  <si>
    <t>木行</t>
  </si>
  <si>
    <t>菲尔娜</t>
  </si>
  <si>
    <t>魅力+2，感知+1</t>
  </si>
  <si>
    <t>当攻击检定、属性检定以及豁免检定掷出1时，你可以再重掷一次，但必须使用重掷的结果</t>
  </si>
  <si>
    <t>你进行对抗恐慌的豁免时具有优势</t>
  </si>
  <si>
    <t>你可以穿越任何体形比你大的生物所在空间</t>
  </si>
  <si>
    <t>当你从体型比自己大的生物获得遮蔽时，可以尝试执行躲藏动作</t>
  </si>
  <si>
    <t>你可以向你30尺内的任何生物如同心灵感应般进行沟通。生物必须与你共同知晓一种语言才能理解你的发言。你通过这个方式每次只能和一名生物进行心灵沟通</t>
  </si>
  <si>
    <t>如果你拥有施法或契约魔法职业能力，将以下龙纹法术加入施法职业法术列表中：
1环：疗伤术，治愈真言
2环：次级复原术，治疗祷言
3环：活力灵光，群体治愈真言
4环：净化灵光，生命灵光
5环：高等复原术</t>
  </si>
  <si>
    <t>当你进行感知（医药）检定时，你能掷一个d4，并把结果加到属性检定的结果上</t>
  </si>
  <si>
    <t>你能够通过此特性施展疗伤术，从第3级起，你还能施展次级复原术。一旦你使用此特性施展了前述法术，你将无法再次使用此特性，直到完成一次长休。感知是你在施展这些法术时的关键属性</t>
  </si>
  <si>
    <t>如果你拥有施法或契约魔法职业能力，将以下龙纹法术加入施法职业法术列表中：
1环：神莓术，睡眠术
2环：援助术，安定心神
3环：造粮术，李欧蒙小屋
4环：净化灵光，摩登肯私人密室
5环：圣居</t>
  </si>
  <si>
    <t>当你进行魅力（游说）检定或者使用酿酒工具或厨师工具进行属性检定时，你能掷一个d4，并把结果加到属性检定的结果上</t>
  </si>
  <si>
    <t>你习得戏法魔法伎俩。同时，你能够通过此特性施展净化食粮和隐形仆役。一旦你使用此特性施展了前述法术，你将无法再次使用此特性，直到完成一次长休。魅力是你在施展这些法术时的关键属性</t>
  </si>
  <si>
    <t>你习得戏法德鲁伊伎俩。当你抵达3级时，你能通过本特质释放一次纠缠术，当你完成一次长休后可重获释放次数。当你抵达5级时，你能释放一次荆棘丛生，当你完成一次长休后可重获释放次数。通过本特质释放的这些法术不需要材料成分。感知是你释放这些法术的施法属性</t>
  </si>
  <si>
    <t>对你进行追踪的属性检定具有劣势，并且你在通过由非魔法的植物和灌木丛形成的困难地形时，不需要花费额外移动力</t>
  </si>
  <si>
    <t>格莱西雅</t>
  </si>
  <si>
    <t>猎人直觉</t>
  </si>
  <si>
    <t>寻者魔法</t>
  </si>
  <si>
    <t>野性直觉</t>
  </si>
  <si>
    <t>调教能手</t>
  </si>
  <si>
    <t>原始链接</t>
  </si>
  <si>
    <t>它们不过是大了点</t>
  </si>
  <si>
    <t>工匠直觉</t>
  </si>
  <si>
    <t>匠师天赋</t>
  </si>
  <si>
    <t>魔力制造</t>
  </si>
  <si>
    <t>快递员之速</t>
  </si>
  <si>
    <t>运动直觉</t>
  </si>
  <si>
    <t>魔法通道</t>
  </si>
  <si>
    <t>哨兵直觉</t>
  </si>
  <si>
    <t>哨兵之盾</t>
  </si>
  <si>
    <t>警觉的护卫</t>
  </si>
  <si>
    <t>森之住民</t>
  </si>
  <si>
    <t>健步如飞</t>
  </si>
  <si>
    <t>脚踏实地</t>
  </si>
  <si>
    <t>跳跃攻击</t>
  </si>
  <si>
    <t>知识呼吸</t>
  </si>
  <si>
    <t>威风堂堂</t>
  </si>
  <si>
    <t>莱维斯图斯</t>
  </si>
  <si>
    <t>魅力+2，体质+1</t>
  </si>
  <si>
    <t>你获得一项自选的技能作为熟练项</t>
  </si>
  <si>
    <t>你获得一项自选的专长</t>
  </si>
  <si>
    <t>如果你拥有施法或契约魔法职业能力，将以下龙纹法术加入施法职业法术列表中：
1环：妖火，大步奔行
2环：动植物定位术，物件定位术
3环：鹰眼术，植物交谈
4环：预言术，生物定位术
5环：问道自然</t>
  </si>
  <si>
    <t>当你进行感知（察觉）或感知（求生）检定时，你能掷一个d4，并把结果加到属性检定的结果上</t>
  </si>
  <si>
    <t>你能通过此特性施展猎人印记法术。从第3级起，你还能施展物件定位术。一旦你使用此特性施展了前述法术，你将无法再次使用此特性，直到完成一次长休。感知是你在施展这些法术时的关键属性</t>
  </si>
  <si>
    <t>如果你拥有施法或契约魔法职业能力，将以下龙纹法术加入施法职业法术列表中：
1环：化兽为友，动物交谈
2环：野兽知觉，安定心神
3环：希望信标，召唤动物
4环：生命灵光，支配野兽
5环：启蒙术</t>
  </si>
  <si>
    <t>当你进行感知（驯兽）或智力（自然）检定时，你能掷一个d4，并把结果加到属性检定的结果上</t>
  </si>
  <si>
    <t>你能够对30英尺（取代通常的5英尺）内的友方动物伙伴或坐骑使用协助动作</t>
  </si>
  <si>
    <t>你能够通过此特性施展化兽为友和动物交谈，且无需材料成分。一旦你使用此特性施展了前述法术，你将无法再次使用此特性，直到完成一次长休。感知是你在施展这些法术时的关键属性</t>
  </si>
  <si>
    <t>当你施展只对动物有效的法术时，该法术同时也能对智力3或以下的怪物生效</t>
  </si>
  <si>
    <t>如果你拥有施法或契约魔法职业能力，将以下龙纹法术加入施法职业法术列表中：
1环：鉴定术，谭森浮碟术
2环：不灭明焰，魔化武器
3环：召唤箭雨，元素武器
4环：鬼斧神工，塑石术
5环：造物术</t>
  </si>
  <si>
    <t>当你用工匠工具进行属性检定时，你能掷一个d4，并把结果加到属性检定的结果上</t>
  </si>
  <si>
    <t>你选择一种工匠工具，获得其熟练项</t>
  </si>
  <si>
    <t>你习得戏法修复术。同时，你能够通过此特性施展魔化武器，当你这么做时，该法术持续1小时，无需专注。一旦你使用此特性施展了前述法术，你将无法再次使用此特性，直到完成一次长休。智力是你在施展这些法术时的关键属性</t>
  </si>
  <si>
    <t>如果你拥有施法或契约魔法职业能力，将以下龙纹法术加入施法职业法术列表中：
1环：脚底抹油，跳跃术
2环：迷踪步，行动无踪
3环：闪现术，魅影驹
4环：任意门，行动自如
5环：传送法阵</t>
  </si>
  <si>
    <t>当你进行力量（运动）检定或者为了操作或维护陆运载具而进行属性检定时，你能掷一个d4，并把结果加到属性检定的结果上</t>
  </si>
  <si>
    <t>你能够通过此特性施展迷踪步。一旦你使用此特性施展了前述法术，你将无法再次使用此特性，直到完成一次长休。敏捷是你在施展这些法术时的关键属性</t>
  </si>
  <si>
    <t>如果你拥有施法或契约魔法职业能力，将以下龙纹法术加入施法职业法术列表中：
1环：强令对决，虔诚护盾
2环：守护之链，诚实之域
3环：法术反制，防护能量伤害
4环：防死结界，信仰守卫
5环：毕格比之手</t>
  </si>
  <si>
    <t>当你进行感知（洞悉）或感知（察觉）检定时，你能掷一个d4，并把结果加到属性检定的结果上</t>
  </si>
  <si>
    <t>你能够通过此特性施展护盾术，在完成一次长休后，你能再次施展此法术。感知是你在施展这些法术时的关键属性</t>
  </si>
  <si>
    <t>当距离你5尺内的可见生物被攻击命中时，你能以一个反应动作与该生物交换位置，同时你代替该生物被击中。这么做后，你将无法再次使用此特性，直到完成一次长休</t>
  </si>
  <si>
    <t>你拥有求生的技能熟练项</t>
  </si>
  <si>
    <t>基础步行速度提升至40尺</t>
  </si>
  <si>
    <t>当你进行疾冲动作的时候，困难地形不会使用你本回合的额外移动力</t>
  </si>
  <si>
    <t>如果你本回合对一个生物发动了近战攻击，不论你是否命中，在本回合剩下的行动中你不会引发借机攻击</t>
  </si>
  <si>
    <t>你获得任意四种技能或者四种工具的熟练</t>
  </si>
  <si>
    <t>你拥有威吓的技能熟练项</t>
  </si>
  <si>
    <t>马曼</t>
  </si>
  <si>
    <t>龙族血统</t>
  </si>
  <si>
    <t>吐息武器</t>
  </si>
  <si>
    <t>伤害抗性</t>
  </si>
  <si>
    <t>盛气凌人</t>
  </si>
  <si>
    <t>复仇突击</t>
  </si>
  <si>
    <t>龙族抗性</t>
  </si>
  <si>
    <t>繁彩防护</t>
  </si>
  <si>
    <t>灵能心智</t>
  </si>
  <si>
    <t>宝石之翼</t>
  </si>
  <si>
    <t>金属龙吐息</t>
  </si>
  <si>
    <t>衰弱吐息</t>
  </si>
  <si>
    <t>排斥吐息</t>
  </si>
  <si>
    <t>墨菲斯托菲利斯</t>
  </si>
  <si>
    <t>你拥有巨龙的血统。并基于所选龙种，决定你吐息的形式及其他优势特征</t>
  </si>
  <si>
    <t>你可以使用动作呼出破坏性的能量。你的龙族血统决定了吐息的范围、形状以及其伤害类型
使用吐息时，你吐息范围内的每个生物都必须进行一次豁免，其豁免类型取决于你的龙族血统。该豁免的DC等于8+你的体质调整值+你的熟练加值。豁免失败者将受到2d6点伤害。豁免成功则伤害减半。其伤害值在6级时增加到3d6，11级增加到4d6，16级增加到5d6
使用吐息后，你必须完成一次长休或短休后才能再次使用
黑龙血统：你的吐息的范围为30尺长5尺宽、形状为线状，伤害类型为强酸，豁免类型为敏捷
蓝龙血统：你的吐息的范围为30尺长5尺宽、形状为线状，伤害类型为闪电，豁免类型为敏捷
黄铜龙血统：你的吐息的范围为30尺长5尺宽、形状为线状，伤害类型为火焰，豁免类型为敏捷
青铜龙血统：你的吐息的范围为30尺长5尺宽、形状为线状，伤害类型为闪电，豁免类型为敏捷
赤铜龙血统：你的吐息的范围为30尺长5尺宽、形状为线状，伤害类型为强酸，豁免类型为敏捷
金龙血统：你的吐息的范围为15尺、形状为锥状，伤害类型为火焰，豁免类型为敏捷
绿龙血统：你的吐息的范围为15尺、形状为锥状，伤害类型为毒素，豁免类型为体质
红龙血统：你的吐息的范围为15尺、形状为锥状，伤害类型为火焰，豁免类型为敏捷
银龙血统：你的吐息的范围为15尺、形状为锥状，伤害类型为冷冻，豁免类型为体质
白龙血统：你的吐息的范围为15尺、形状为锥状，伤害类型为冷冻，豁免类型为体质</t>
  </si>
  <si>
    <t>你的龙族血统为你带来对某类伤害类型的伤害抗性
黑龙/赤铜龙血统：强酸
蓝龙/青铜龙血统：闪电
黄铜龙/金龙/红龙血统：火焰
绿龙血统：毒素
银龙/白龙血统：冷冻</t>
  </si>
  <si>
    <t>当你进行一次魅力（威吓或游说）检定时，你可以获得优势。一旦使用了本特质，直到完成一次短休或长休后你才能再次使用</t>
  </si>
  <si>
    <t>当一个生物对你造出伤害时，如果它在你所持用的武器的射程之内，你能用你的反应动作使用该武器对那个生物进行一次攻击。一旦使用了本特质，直到完成一次短休或长休后你才能再次使用</t>
  </si>
  <si>
    <t>你可以使用动作呼出一道30尺长、5尺宽矩形的魔法能量。你的龙族血统决定了吐息的伤害类型
使用吐息时，你吐息范围内的每个生物都必须进行一次敏捷豁免，该豁免的DC等于8+你的体质调整值+你的熟练加值。豁免失败者将受到1D10点伤害。豁免成功则伤害减半。其伤害值在5级时增加到2D10，11级增加到3D10，17级增加到4D10
你可以使用该特性的次数等同于你的熟练加值，你在完成一次长休后重获所有已使用的次数
黑龙血统：强酸
蓝龙血统：闪电
绿龙血统：毒素
红龙血统：火焰
白龙血统：冷冻</t>
  </si>
  <si>
    <t>你的龙族血统为你带来对某类伤害类型的伤害抗性
黑龙血统：强酸
蓝龙血统：闪电
红龙血统：火焰
绿龙血统：毒素
白龙血统：冷冻</t>
  </si>
  <si>
    <t>第5级起，以一个动作你可以引导自己的龙族能量，1分钟内，你对某类伤害类型免疫。在你使用此特性后，你在完成一次长休之前不能再次使用
黑龙血统：强酸
蓝龙血统：闪电
红龙血统：火焰
绿龙血统：毒素
白龙血统：冷冻</t>
  </si>
  <si>
    <t>你可以使用动作呼出一道15尺锥状的魔法能量。你的龙族血统决定了吐息的伤害类型
使用吐息时，你吐息范围内的每个生物都必须进行一次敏捷豁免，该豁免的DC等于8+你的体质调整值+你的熟练加值。豁免失败者将受到1D10点伤害。豁免成功则伤害减半。其伤害值在5级时增加到2D10，11级增加到3D10，17级增加到4D10
你可以使用该特性的次数等同于你的熟练加值，你在完成一次长休后重获所有已使用的次数
紫水晶龙血统：力场
水晶龙血统：光耀
翡翠龙血统：心灵
蓝宝石龙血统：雷鸣
黄玉龙血统：暗蚀</t>
  </si>
  <si>
    <t>你的龙族血统为你带来对某类伤害类型的伤害抗性
紫水晶龙血统：力场
水晶龙血统：光耀
翡翠龙血统：心灵
蓝宝石龙血统：雷鸣
黄玉龙血统：暗蚀</t>
  </si>
  <si>
    <t>你可以与身边30尺内任意你能看见的生物通过心灵感应方式进行交流。你无须懂得该生物的语言也能使其理解你通过心灵感应所传达的话语，但它必须至少会一种语言来理解你传达的信息</t>
  </si>
  <si>
    <t>第5级起，你可以用附赠动作在身上显形一对幽光翅膀，持续1分钟。你在持续时间内获得等同你步行速度的飞行速度，并且可以悬浮。使用此特性后，你在完成一次长休前不能再次使用</t>
  </si>
  <si>
    <t>你可以使用动作呼出一道15尺锥状的魔法能量。你的龙族血统决定了吐息的伤害类型
使用吐息时，你吐息范围内的每个生物都必须进行一次敏捷豁免，该豁免的DC等于8+你的体质调整值+你的熟练加值。豁免失败者将受到1D10点伤害。豁免成功则伤害减半。其伤害值在5级时增加到2D10，11级增加到3D10，17级增加到4D10
你可以使用该特性的次数等同于你的熟练加值，你在完成一次长休后重获所有已使用的次数
黄铜龙血统：火焰
青铜龙血统：闪电
赤铜龙血统：强酸
金龙血统：火焰
银龙血统：冷冻</t>
  </si>
  <si>
    <t>你的龙族血统为你带来对某类伤害类型的伤害抗性
黄铜龙血统：火焰
青铜龙血统：闪电
赤铜龙血统：强酸
金龙血统：火焰
银龙血统：冷冻</t>
  </si>
  <si>
    <t>第5级起，你可以使用衰弱吐息或排斥吐息，一旦使用了其中一种，直到完成一次长休后你才能再次使用</t>
  </si>
  <si>
    <t>第5级起，你可以使用动作呼出一道15尺锥状的魔法气体。使用吐息时，你吐息范围内的每个生物都必须进行一次体制豁免，该豁免的DC等于8+你的体质调整值+你的熟练加值。豁免失败者将陷入失能，直到你的下个回合开始</t>
  </si>
  <si>
    <t>第5级起，你可以使用动作呼出一道15尺锥状的魔法气体。使用吐息时，你吐息范围内的每个生物都必须进行一次力量豁免，该豁免的DC等于8+你的体质调整值+你的熟练加值。豁免失败者将被推离20尺并倒地</t>
  </si>
  <si>
    <t>扎瑞尔</t>
  </si>
  <si>
    <t>魅力+2，力量+1</t>
  </si>
  <si>
    <t>侏儒狡黠</t>
  </si>
  <si>
    <t>自然幻术师</t>
  </si>
  <si>
    <t>小型野兽交谈</t>
  </si>
  <si>
    <t>工匠学识</t>
  </si>
  <si>
    <t>修补匠</t>
  </si>
  <si>
    <t>发条玩具</t>
  </si>
  <si>
    <t>打火机</t>
  </si>
  <si>
    <t>音乐盒</t>
  </si>
  <si>
    <t>斯涅布力伪装</t>
  </si>
  <si>
    <t>斯涅布力赠礼</t>
  </si>
  <si>
    <t>天才抄写员</t>
  </si>
  <si>
    <t>抄写员的领悟</t>
  </si>
  <si>
    <t>中型或小型。在你选择种族时选择体型</t>
  </si>
  <si>
    <t>你进行对抗魔法的智力、感知和魅力的豁免时具有优势</t>
  </si>
  <si>
    <t>你习得戏法次级幻影。其施法关键属性为智力</t>
  </si>
  <si>
    <t>你可以通过声音和手势与小型或更小的野兽进行简单沟通</t>
  </si>
  <si>
    <t>当你进行关于魔法物品、炼金物品或是工艺元件的智力（历史）检定时，你可以在检定中加上双倍的熟练加值</t>
  </si>
  <si>
    <t>你拥有工匠工具（修理工具）的熟练项。使用这些工具时，你可以花费1小时时间和10gp材料制作一个超小型的发条机械装置（AC5，HP1）。该装置在24小时后将自动停止运作（除非你再花费1小时来修理它让它保持运作），你也可以使用你的动作主动使其停止运作。它停止运作后，你将收回用来制造它的材料。你最多可以同时激活三个这样的装置</t>
  </si>
  <si>
    <t>该玩具是个机械的动物、怪物或人，例如青蛙、老鼠、鸟、龙或者士兵。当被放在地上时，该玩具能在你的回合里随机向一个方向移动5尺。此外该玩具还会模范所模拟生物发出声响</t>
  </si>
  <si>
    <t>该装置可以产生微小的火焰。你可以用它来点蜡烛，火把或营火。使用该装置需要花费动作</t>
  </si>
  <si>
    <t>音乐盒打开时，将以适中的音量奏响固定的一首的歌曲。音乐播放完毕，或音乐盒被关闭时，音乐盒将停止发声</t>
  </si>
  <si>
    <t>当你进行隐匿检定时，你可以使该次检定具有优势。你可以使用此特质的次数等于你的熟练加值，当你完成一次长休后，你重新获得所有消耗的次数</t>
  </si>
  <si>
    <t>第3级起，你可以用此特质施展一次易容术
第5级起，你可以用此特质施展一次易容术或回避侦测
你必须完成一次长休后才能再次启用该能力。你也可以通过法术位正常施展该特性中的法术，该法术的施法关键属性为智力、感知或魅力并在最初选择种族时决定
当你使用该特质施展这些法术时，无需法术成分</t>
  </si>
  <si>
    <t>如果你拥有施法或契约魔法职业能力，将以下龙纹法术加入施法职业法术列表中：
1环：通晓语言，迷幻手稿
2环：动物信使，沉默术
3环：短讯术，巧言术
4环：秘法眼，困惑术
5环：托梦术</t>
  </si>
  <si>
    <t>你当你进行智力（历史）检定或使用书法工具进行属性检定时，你能掷一个d4，并把结果加到属性检定的结果上</t>
  </si>
  <si>
    <t>你习得戏法传讯术。同时，你能够通过此特性施展通晓语言，在完成一次短休或长休后，你能再次施展此法术。从第3级起，你还能通过此特性施展魔嘴术，在完成一次长休后，你能再次施展此法术。智力是你在施展这些法术时的关键属性</t>
  </si>
  <si>
    <t>费尔伯格人</t>
  </si>
  <si>
    <t>推理直觉</t>
  </si>
  <si>
    <t>魔法侦测</t>
  </si>
  <si>
    <t>驭风者直觉</t>
  </si>
  <si>
    <t>暴风之祝福</t>
  </si>
  <si>
    <t>逆风行事</t>
  </si>
  <si>
    <t>歌利亚</t>
  </si>
  <si>
    <t>你获得两项自选技能的熟练项</t>
  </si>
  <si>
    <t>基础游泳速度为30尺</t>
  </si>
  <si>
    <t>如果你拥有施法或契约魔法职业能力，将以下龙纹法术加入施法职业法术列表中：
1环：侦测善恶，侦测毒性和疾病
2环：侦测思想，寻找陷阱
3环：鹰眼术，回避侦测
4环：秘法眼，预言术
5环：通晓传奇</t>
  </si>
  <si>
    <t>当你进行智力（调查）或感知（洞悉）检定时，你能够掷一个d4，将结果加到你的属性检定结果中</t>
  </si>
  <si>
    <t>你能够施展侦测魔法与侦测毒性和疾病法术，从3级起，你还能施展识破隐形。一旦你使用此特性施展了前述法术，你将无法再次使用此特性，直到完成一次长休。智力是你在施展这些法术时的关键属性，你无需为这些法术提供材料成分</t>
  </si>
  <si>
    <t>如果你拥有施法或契约魔法职业能力，将以下龙纹法术加入施法职业法术列表中：
1环：羽落术，云雾术
2环：造风术，浮空术
3环：雪雨暴，风墙术
4环：召唤次级元素生物，操控水体
5环：召唤元素生物</t>
  </si>
  <si>
    <t>当你进行敏捷（体操）检定或任何使用领航工具的属性检定时，你能掷一个d4，并把结果加到属性检定的结果上</t>
  </si>
  <si>
    <t>你对闪电伤害具有抗性</t>
  </si>
  <si>
    <t>你习得戏法舞风术。从第3级起，你能够通过此特性施展造风术。一旦你使用此特性施展了前述法术，你将无法再次使用此特性，直到完成一次长休。魅力是你在施展这些法术时的关键属性</t>
  </si>
  <si>
    <t>天狗</t>
  </si>
  <si>
    <t>凶恶</t>
  </si>
  <si>
    <t>坚韧不屈</t>
  </si>
  <si>
    <t>凶蛮攻击</t>
  </si>
  <si>
    <t>天生武器</t>
  </si>
  <si>
    <t>蜥蜴人</t>
  </si>
  <si>
    <t>当你生命值降至0而没有立即死亡时，可以改为使生命值降至1。此特质生效后必须完成一次长休后才能再次生效</t>
  </si>
  <si>
    <t>使用近战武器攻击造成重击时，你可以额外掷一个该武器的伤害骰，并将其数值加入到重击的额外伤害中</t>
  </si>
  <si>
    <t>你头上的弯羊角是一件天生武器，可以用来进行徒手攻击。如果你击中了目标，你造成1d6+你的力量调整值的钝击伤害</t>
  </si>
  <si>
    <t>斑猫人</t>
  </si>
  <si>
    <t>炎狱抗性</t>
  </si>
  <si>
    <t>马拉多米尼之遗赠</t>
  </si>
  <si>
    <t>迪斯遗赠</t>
  </si>
  <si>
    <t>福莱格索斯的遗赠</t>
  </si>
  <si>
    <t>马尔伯吉之遗赠</t>
  </si>
  <si>
    <t>斯泰吉亚之遗赠</t>
  </si>
  <si>
    <t>弥瑙洛斯之遗赠</t>
  </si>
  <si>
    <t>卡尼亚遗赠</t>
  </si>
  <si>
    <t>阿弗纳斯之遗赠</t>
  </si>
  <si>
    <t>梭螺鱼人</t>
  </si>
  <si>
    <t>你对火焰伤害具有抗性</t>
  </si>
  <si>
    <t>你习得戏法奇术。第3级时，你可以每日施展一次二环的炼狱叱喝。第5级时，你可以每日施展一次黑暗术。花费掉的法术次数将在完成一次长休后恢复。与该特质相关的施法关键属性为魅力</t>
  </si>
  <si>
    <t>你习得戏法恶言相加。当你到达3级时，你可以施展一次魅惑人类作为一个二环法术。当你到达5级时，你可以施展一次注目术。你必须完成一次长休息才能再次从这个特性中施展这些法术。魅力是你的施法主属性</t>
  </si>
  <si>
    <t>你习得戏法奇术。第3级时，你可以每日施展一次二环的燃烧之手。第5级时，你可以每日施展一次黑暗术。花费掉的法术次数将在完成一次长休后恢复。与该特质相关的施法关键属性为魅力</t>
  </si>
  <si>
    <t>当你不着装重甲时，你得到30尺飞行速度</t>
  </si>
  <si>
    <t>你习得戏法奇术。第3级时，你可以每日施展一次2环的致病射线。第5级，你可以每日施展一次疯狂冠冕。花费掉的法术次数将在一次长休后恢复。与该特质相关的施法关键属性为魅力</t>
  </si>
  <si>
    <t>你习得戏法奇术。第3级时，你可以每日施展一次易容术。第5级，你可以每日施展一次侦测思想。花费掉的法术次数将在一次长休后恢复。与该特质相关的施法关键属性为魅力</t>
  </si>
  <si>
    <t>你习得戏法交友术。第3级时，你可以每日施展一次2环的魅惑人类。第5级，你可以每日施展一次暗示术。花费掉的法术次数将在一次长休后恢复。与该特质相关的施法关键属性为魅力</t>
  </si>
  <si>
    <t>你习得戏法次级幻影。第3级时，你可以每日施展一次2环的易容术。第5级，你可以每日施展一次隐形术。花费掉的法术次数将在一次长休后恢复。与该特质相关的施法关键属性为魅力</t>
  </si>
  <si>
    <t>你习得戏法冷冻射线。第3级时，你可以每日施展一次2环的艾嘉西斯之铠。第5级，你可以每日施展一次黑暗术。花费掉的法术次数将在一次长休后恢复。与该特质相关的施法关键属性为魅力</t>
  </si>
  <si>
    <t>你习得戏法法师之手。第3级时，你可以施展一次谭森浮碟术，你在一次短休或长休后可以重新施展此法术。第5级，你可以施展一次秘法锁而不需要材料成分，你在一次长休后可以重新施展此法术。与该特质相关的施法关键属性为魅力</t>
  </si>
  <si>
    <t>你习得戏法法师之手。第3级时，你可以每日施展一次2环的燃烧之手。第5级，你可以每日施展一次火焰刀。花费掉的法术次数将在一次长休后恢复。与该特质相关的施法关键属性为魅力</t>
  </si>
  <si>
    <t>你习得戏法奇术。第3级时，你可以每日施展一次2环的炽焰斩。第5级，你可以每日施展一次印记斩。花费掉的法术次数将在一次长休后恢复。与该特质相关的施法关键属性为魅力</t>
  </si>
  <si>
    <t>地精</t>
  </si>
  <si>
    <t>天界抗力</t>
  </si>
  <si>
    <t>治愈之手</t>
  </si>
  <si>
    <t>光辉掌者</t>
  </si>
  <si>
    <t>你对光耀和黯蚀伤害具有抗性</t>
  </si>
  <si>
    <t>以一个动作，你可以触碰一个生物并使他恢复等同于你熟练加值数量的D4骰的生命值。一旦你使用了这个特性，在下次长休息完成之前你不能再次使用</t>
  </si>
  <si>
    <t>你习得戏法光亮术。其施法关键属性为魅力</t>
  </si>
  <si>
    <t>从3级起，你可以使用一个附赠动作来释放你内在的神圣能量
你的转变持续一分钟或直到你以一个附赠动作中止。在这期间，你得到等同于步行速度的飞行速度，并且每个你的回合中一次，当你的攻击或法术成功造成伤害，你将对一个目标造成等于你熟练加值的额外的光耀伤害
一旦你使用这个特性，在下次长休息完成之前你不能再次使用</t>
  </si>
  <si>
    <t>从3级起，你可以使用一个附赠动作使你体内的神圣能量解除拘束
你的转变持续一分钟或直到你以一个附赠动作中止。在这期间，明亮的光辉会照亮你周围10尺并给予额外10尺的微光照明。并且，每个你的回合结束，你和你周围10尺内的每个生物都将受到等同于你熟练加值的光耀伤害。此外，每个你的回合中一次，当你的攻击或法术成功造成伤害，你将对一个目标造成等于你熟练加值的额外光耀伤害
一旦你使用这个特性，在下次长休息完成之前你不能再次使用</t>
  </si>
  <si>
    <t>从3级起，你可以使用一个动作来解放你内在的腐败力量
在你进行转变的同时，你所指定周围10尺内能看见你的生物必须通过魅力豁免检定（DC=8+你的熟练值+你的魅力调整值），否则直到你的下回合结束之前他们将对你恐惧
你的转变持续一分钟或直到你以一个附赠动作中止。在这期间，每个你的回合中一次，当你的攻击或法术成功造成伤害，你将对一个目标造成等于你熟练加值的额外的黯蚀伤害
一旦你使用这个特性，在下次长休息完成之前你不能再次使用</t>
  </si>
  <si>
    <t>费尔伯格人魔法</t>
  </si>
  <si>
    <t>神隐步</t>
  </si>
  <si>
    <t>强健体格</t>
  </si>
  <si>
    <t>兽与叶之语</t>
  </si>
  <si>
    <t>你可以用此特质施展一次侦测魔法或易容术
你必须完成一次长休后才能再次启用该能力。你也可以通过法术位正常施展该特性中的法术，该法术的施法关键属性为智力、感知或魅力并在最初选择种族时决定
当你施展这个版本的易容术时，你可以看起来比平时高或矮3尺</t>
  </si>
  <si>
    <t>以一个附赠动作，你能如魔法般变为隐形，直到你的下一回合开始，或者直到你攻击，进行一次伤害骰，或者强迫某人进行一次豁免检定。你可以使用该特质的次数等于你的熟练加值，当你完成一次长休后，你重新获得所有消耗的次数</t>
  </si>
  <si>
    <t>你的负重、推动、拉动及抬起物品的能力视同为体型大一级的生物</t>
  </si>
  <si>
    <t>你有能力以有限的方式与野兽以及植物交流。它们可以理解你的话的意思，虽然你没有特殊的能力来明白它们的回应。你在所有试图影响它们的魅力检定上有优势</t>
  </si>
  <si>
    <t>小型巨人</t>
  </si>
  <si>
    <t>石之坚韧</t>
  </si>
  <si>
    <t>生于高山</t>
  </si>
  <si>
    <t>你拥有运动的技能熟练项，并且你的负重、推动、拉动及抬起物品的能力视同为体型大一级的生物</t>
  </si>
  <si>
    <t>受到伤害时，你可以用自己的反应骰一次d12，再将骰值加上你的体质调整。你所受的实际伤害将减去该总值
你可以使用此特质的次数等于你的熟练加值，当你完成一次长休后，你重新获得所有消耗的次数</t>
  </si>
  <si>
    <t>你对冷冻伤害具有抗性</t>
  </si>
  <si>
    <t>兽人</t>
  </si>
  <si>
    <t>复制专家</t>
  </si>
  <si>
    <t>天狗回想</t>
  </si>
  <si>
    <t>拟声</t>
  </si>
  <si>
    <t>原体蛇人</t>
  </si>
  <si>
    <t>你可以仿造其他生物的笔迹和工艺。你在为伪造文书和复制现存物体进行的任何检定中获得优势</t>
  </si>
  <si>
    <t>你任选两项技能获得熟练项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</si>
  <si>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你可以模仿你听到的声音，包括人的嗓音。听到声音的生物需要通过DC为8+你的熟练加值+你的魅力调整值的洞悉检定，若成功将发现是模仿的</t>
  </si>
  <si>
    <t>啃咬</t>
  </si>
  <si>
    <t>屏息</t>
  </si>
  <si>
    <t>天生护甲</t>
  </si>
  <si>
    <t>自然直觉</t>
  </si>
  <si>
    <t>饥渴之喉</t>
  </si>
  <si>
    <t>你的尖牙是一件天生武器，可以用来进行徒手攻击。如果你击中了目标，你造成1d6+你的力量调整值的挥砍伤害</t>
  </si>
  <si>
    <t>你能屏住你的呼吸15分钟</t>
  </si>
  <si>
    <t>当你没有穿戴盔甲或穿戴的盔甲给予你的AC较低时，你的AC是13+你的敏捷调整值。你在使用你的天生护甲时，仍能获得盾牌的好处</t>
  </si>
  <si>
    <t>你从以下技能中选择两项获得熟练项：医药、自然、察觉、隐匿或求生</t>
  </si>
  <si>
    <t>在战斗中，你能以一个附赠动作，用你的啃咬攻击做一次特殊攻击，如果攻击命中，造成正常的伤害，同时你获得等同于你熟练加值的临生命值。你可以使用此特质的次数等于你的熟练加值，当你完成一次长休后，你重新获得所有消耗的次数</t>
  </si>
  <si>
    <t>人马</t>
  </si>
  <si>
    <t>基础步行速度为40尺</t>
  </si>
  <si>
    <t>攀爬</t>
  </si>
  <si>
    <t>猫之利爪</t>
  </si>
  <si>
    <t>猫之天性</t>
  </si>
  <si>
    <t>猫之迅捷</t>
  </si>
  <si>
    <t>牛头人</t>
  </si>
  <si>
    <t>你获得等于你步行速度的攀爬速度</t>
  </si>
  <si>
    <t>你能够以爪子进行徒手攻击。如果你击中了目标，你造成1d6+你的力量调整值的挥砍伤害</t>
  </si>
  <si>
    <t>你拥有察觉和隐匿的技能熟练项</t>
  </si>
  <si>
    <t>当你在战斗中移动时，你可以让你的速度增加一倍，直到回合结束。一旦你使用了这个特性，除非你在你的一个回合移动了0尺，否则你不能再使用它</t>
  </si>
  <si>
    <t>吉斯人</t>
  </si>
  <si>
    <t>象族</t>
  </si>
  <si>
    <t>和象族语</t>
  </si>
  <si>
    <t>两栖</t>
  </si>
  <si>
    <t>控风操水</t>
  </si>
  <si>
    <t>海之使者</t>
  </si>
  <si>
    <t>海渊守卫</t>
  </si>
  <si>
    <t>析米克混生体</t>
  </si>
  <si>
    <t>体质+2，自选一项其他属性+1</t>
  </si>
  <si>
    <t>和维多肯语或精灵语</t>
  </si>
  <si>
    <t>你能在空气中或水中呼吸</t>
  </si>
  <si>
    <t>你可以用此特质施展一次云雾术
第3级起，你可以用此特质施展一次云雾术或造风术
第5级起，你可以用此特质施展一次云雾术或造风术或水上行走
你必须完成一次长休后才能再次启用该能力。你也可以通过法术位正常施展该特性中的法术，该法术的施法关键属性为智力、感知或魅力并在最初选择种族时决定</t>
  </si>
  <si>
    <t>你可以与具有游泳速度的野兽、元素或怪兽沟通。它们能够理解你的话的意思，虽然你没有特殊的能力来明白它们的回应</t>
  </si>
  <si>
    <t>维多肯</t>
  </si>
  <si>
    <t>智力+2，感知+1</t>
  </si>
  <si>
    <t>和维多肯语，以及任意一门自选语言</t>
  </si>
  <si>
    <t>小型生物的怒火</t>
  </si>
  <si>
    <t>迅捷逃生</t>
  </si>
  <si>
    <t>长肢</t>
  </si>
  <si>
    <t>强力体格</t>
  </si>
  <si>
    <t>隐秘</t>
  </si>
  <si>
    <t>突袭攻击</t>
  </si>
  <si>
    <t>精类赠礼</t>
  </si>
  <si>
    <t>集众之运</t>
  </si>
  <si>
    <t>灵巧攀爬者</t>
  </si>
  <si>
    <t>砂砾</t>
  </si>
  <si>
    <t>幻身灵</t>
  </si>
  <si>
    <t>你进行对抗魅惑的豁免时具有优势</t>
  </si>
  <si>
    <t>当你对比你大型的生物使用攻击或魔法，并造成伤害时，你可以对它造成等于你熟练加值的额外伤害
你可以使用此特质的次数等于你的熟练加值，当你完成一次长休后，你重新获得所有消耗的次数。并且你一回合不能使用该特质超过一次</t>
  </si>
  <si>
    <t>你可在自己的回合，以一个附赠动作进行撤离或者躲藏动作</t>
  </si>
  <si>
    <t>当你在你的回合使用近战攻击时，你的触及范围增加5尺</t>
  </si>
  <si>
    <t>你拥有隐匿的技能熟练项。此外，当你通过或停留在仅供容纳小型生物的空间时不需要挤身</t>
  </si>
  <si>
    <t>如果你的攻击检定命中了一个战斗开始后还没开始过自己回合的生物，这次攻击额外造成2d6伤害</t>
  </si>
  <si>
    <t>你可以使用该特质以一个附赠动作进行协助动作，而你可以使用此特质的次数等于你的熟练加值。当你完成一次长休后，你重新获得所有消耗的次数
第3级起，每当你使用该特质进行协助动作时，从下列选项中选择一项：
好客：你与受你协助的生物都获得等于1d6加你的熟练加值的临时生命值
通行：你与受你协助的生物的步行速度都增加10尺，直到你下一个的回合开始
恶意：直到你下一个的回合开始，当受你协助的生物首次使用攻击检定命中目标，该目标在下一分钟内的下一次攻击检定具有劣势</t>
  </si>
  <si>
    <t>如果你在一次攻击检定没有命中，或是在一次属性检定或豁免检定中失败，你将会获得骰值加值，此次加值的数目等同于你30尺内能见的友方数目（最多+3）。你可以使用此特质的次数等于你的熟练加值，当你完成一次长休后，你重新获得所有消耗的次数</t>
  </si>
  <si>
    <t>你的攀爬速度为25尺，当你身穿中型或重型护甲时你无法使用自己的攀爬速度。（如果你的游戏中使用规则变体：负重，如果你处于重载，你不能使用攀爬速度</t>
  </si>
  <si>
    <t>你对强酸和火焰伤害具有抗性，另外在你不穿护甲时，你的AC为11+你的敏捷加值</t>
  </si>
  <si>
    <t>离梦人</t>
  </si>
  <si>
    <t>感知+2，魅力+1</t>
  </si>
  <si>
    <t>和梦族语，以及任意一门自选语言</t>
  </si>
  <si>
    <t>龙吼</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</si>
  <si>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</si>
  <si>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你从以下技能中选择一项获得熟练项：奥秘、调查、医药、巧手或求生</t>
  </si>
  <si>
    <t>你学会一项术士法术列表中的戏法。该法术的施法关键属性为智力、感知或魅力并在最初选择种族时决定</t>
  </si>
  <si>
    <t>机关人</t>
  </si>
  <si>
    <t>应激冲刺</t>
  </si>
  <si>
    <t>阿兰寇拉鹰人</t>
  </si>
  <si>
    <t>你可以用附赠动作进行疾走动作。你可以使用此特质的次数等于你的熟练加值，当你完成一次长休后，你重新获得所有消耗的次数。并且你一回合不能使用该特质超过一次
      每当你使用该特质时，你获得等于你熟练加值的临时生命值</t>
  </si>
  <si>
    <t>基础步行速度为35尺</t>
  </si>
  <si>
    <t>魔法抗性</t>
  </si>
  <si>
    <t>毒素抗性</t>
  </si>
  <si>
    <t>毒蛇魔法</t>
  </si>
  <si>
    <t>你进行对抗法术的豁免时具有优势</t>
  </si>
  <si>
    <t>你学会毒气喷溅
你能无限次施展化兽为友，不过目标只能是蛇
第3级起，你可以用此特质施展一次暗示术
你必须完成一次长休后才能再次启用该能力。你也可以通过法术位正常施展该特性中的法术，该法术的施法关键属性为智力、感知或魅力并在最初选择种族时决定</t>
  </si>
  <si>
    <t>心灵抗性</t>
  </si>
  <si>
    <t>星界知识</t>
  </si>
  <si>
    <t>吉斯洋基灵能</t>
  </si>
  <si>
    <t>精神灵术</t>
  </si>
  <si>
    <t>吉斯泽莱灵能</t>
  </si>
  <si>
    <t>你对心灵伤害具有抗性</t>
  </si>
  <si>
    <t>当你结束长休时，你能够获得一项你未拥有的技能熟练项及一项武器或工具熟练项，直到你完成下次长休</t>
  </si>
  <si>
    <t>你学会法师之手，当你使用该特质施展该戏法时，这只手是隐形的
第3级起，你可以用此特质施展一次跳跃术
第5级起，你可以用此特质施展一次跳跃术或迷踪步
你必须完成一次长休后才能再次启用该能力。你也可以通过法术位正常施展该特性中的法术，该法术的施法关键属性为智力、感知或魅力并在最初选择种族时决定
当你使用该特质施展这些法术时，无需法术成分</t>
  </si>
  <si>
    <t>你进行对抗魅惑和恐慌的豁免时具有优势</t>
  </si>
  <si>
    <t>你学会法师之手，当你使用该特质施展该戏法时，这只手是隐形的
第3级起，你可以用此特质施展一次护盾术
第5级起，你可以用此特质施展一次护盾术或侦测思想
你必须完成一次长休后才能再次启用该能力。你也可以通过法术位正常施展该特性中的法术，该法术的施法关键属性为智力、感知或魅力并在最初选择种族时决定
当你使用该特质施展这些法术时，无需法术成分</t>
  </si>
  <si>
    <t>龟人</t>
  </si>
  <si>
    <t>精类生物</t>
  </si>
  <si>
    <t>冲锋</t>
  </si>
  <si>
    <t>蹄击</t>
  </si>
  <si>
    <t>马体构造</t>
  </si>
  <si>
    <t>自然亲和</t>
  </si>
  <si>
    <t>元素裔</t>
  </si>
  <si>
    <t>佛丹人</t>
  </si>
  <si>
    <t>体质+1，魅力+2</t>
  </si>
  <si>
    <t>1-4级为小型，5级后为中型</t>
  </si>
  <si>
    <t>和地精语，以及任意一门自选语言</t>
  </si>
  <si>
    <t>你的生物类型是精类，而非类人</t>
  </si>
  <si>
    <t>如果你向着目标直线移动了至少30尺，并在同一轮内以近战武器攻击命中了目标，你可以紧跟着此次攻击使用附赠动作，使用你的马蹄攻击此目标</t>
  </si>
  <si>
    <t>你的马蹄视作天生近战武器，你可以用来做徒手攻击。如果你以蹄击中目标，将造成1d6+力量调整值的钝击伤害</t>
  </si>
  <si>
    <t>在决定你的载重与推拉抬极限时，视你为大一级的体型。另外，因为你的马腿，任何需要手脚并用的攀爬对你而言尤其困难。当你进行这样的攀爬时，每移动1尺需要花费额外4尺移动力，而非额外1尺</t>
  </si>
  <si>
    <t>你从以下技能中选择一项获得熟练项：驯兽、医药、自然或求生</t>
  </si>
  <si>
    <t>狮族</t>
  </si>
  <si>
    <t>体质+2，力量+1</t>
  </si>
  <si>
    <t>和狮族语</t>
  </si>
  <si>
    <t>角击</t>
  </si>
  <si>
    <t>猛抵冲撞</t>
  </si>
  <si>
    <t>角锤</t>
  </si>
  <si>
    <t>迷宫追忆</t>
  </si>
  <si>
    <t>半羊人</t>
  </si>
  <si>
    <t>你的角是天生近战武器，你可以用它进行徒手攻击。当你以角击中目标时，将造成1d6+力量调整值的穿刺伤害</t>
  </si>
  <si>
    <t>在你于你的回合中使用疾走动作，并至少移动了20尺之后，你可以立即以附赠动作用你的角击进行一次近战攻击</t>
  </si>
  <si>
    <t>在你于你的回合中以近战武器攻击作为攻击动作的一部分击中一个生物后，你可以使用一个附赠动作尝试以角推撞之。目标生物不能比你大超过一级体型，并且需要在你5尺之内。目标必须进行一次难度等级为8+你的熟练加值+你的力量调整值的力量豁免检定，若其失败，你将其推离你10尺</t>
  </si>
  <si>
    <t>你总是能知道哪个方向是北方， 同时你在任何为导航和追踪所进行的求生检定具有优势</t>
  </si>
  <si>
    <t>半血裔</t>
  </si>
  <si>
    <t>中型或小型。在你获得该族系时选择体型</t>
  </si>
  <si>
    <t>身强体壮</t>
  </si>
  <si>
    <t>象之宁静</t>
  </si>
  <si>
    <t>象鼻</t>
  </si>
  <si>
    <t>敏锐嗅觉</t>
  </si>
  <si>
    <t>巫咒之子</t>
  </si>
  <si>
    <t>你进行对抗恐慌和魅惑的豁免时具有优势</t>
  </si>
  <si>
    <t>当你没有穿戴盔甲或穿戴的盔甲给予你的AC较低时，你的AC是12+你的体质调整值。你在使用你的天生护甲时，仍能获得盾牌的好处</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</si>
  <si>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
你的象鼻不能使用武器或盾牌或任何需要手动操作的事情，比如使用工具或魔法物品或作为一个法术的姿势成分</t>
  </si>
  <si>
    <t>仰仗你敏感的鼻子，你在依赖嗅觉进行的感知（察觉），感知（求生）和智力（调查）检定上具有优势</t>
  </si>
  <si>
    <t>重生者</t>
  </si>
  <si>
    <t>枭人</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</si>
  <si>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</si>
  <si>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</si>
  <si>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</si>
  <si>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</si>
  <si>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</si>
  <si>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</si>
  <si>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仙灵</t>
  </si>
  <si>
    <t>维多肯式冷静</t>
  </si>
  <si>
    <t>追求卓越，不知疲倦</t>
  </si>
  <si>
    <t>部分两栖</t>
  </si>
  <si>
    <t>兔人</t>
  </si>
  <si>
    <t>你进行对抗所有智力、感知和魅力的豁免时具有优势</t>
  </si>
  <si>
    <t>你从以下技能中选择一项获得熟练项：奥秘、历史、调查、医药、表演或巧手。并同时获得任意一种工具的熟练项</t>
  </si>
  <si>
    <t>通过用皮肤吸收氧气，你可以水下呼吸一小时，一旦超过时限，你就无法再次使用本特性直到完成一次长休</t>
  </si>
  <si>
    <t>洛卡鱼人</t>
  </si>
  <si>
    <t>力量+2，敏捷+1</t>
  </si>
  <si>
    <t>基础步行速度为30尺，基础游泳速度为30尺</t>
  </si>
  <si>
    <t>和水族语</t>
  </si>
  <si>
    <t>变形生物</t>
  </si>
  <si>
    <t>幻身灵本能</t>
  </si>
  <si>
    <t>阿芒凯那伽</t>
  </si>
  <si>
    <t>智力+1，体质+2</t>
  </si>
  <si>
    <t>和娜伽语</t>
  </si>
  <si>
    <t>使用一个动作，你可以改变你的外表和声音。你决定这些变化的特征，包括你的肤色、发长和性别。你也可以调整你的身高和体重，并可以在中型和小型之中改变你的体型。你能够让自己看上去像是其他种族的一员，但这并不会改变你的游戏数据。你不能复制一个你从没见过的生物的外表，而你也必须选择一个和你基本肢体相同的生物。你的衣服和装备不能被这个能力变化
你将一直保持这个形态，直到你用一个动作变回你的真实形态或者你死亡</t>
  </si>
  <si>
    <t>你从以下技能中选择两项获得熟练项：欺瞒、洞悉、威吓、表演或游说</t>
  </si>
  <si>
    <t>魅力+1，感知+2</t>
  </si>
  <si>
    <t>和人鱼语，以及任意一门自选语言</t>
  </si>
  <si>
    <t>双重灵魂</t>
  </si>
  <si>
    <t>心灵训练</t>
  </si>
  <si>
    <t>心灵链接</t>
  </si>
  <si>
    <t>隔离梦境</t>
  </si>
  <si>
    <t>魅力+1，智力+2</t>
  </si>
  <si>
    <t>你进行对抗所有感知的豁免时具有优势</t>
  </si>
  <si>
    <t>你能够对10倍等级数尺内任何你能看到的生物通过心灵感应说话。你不必须懂得该生物的语言也能使其理解你通过心灵感应所传达的话语，但目标必须至少能够理解一种语言
当你对一个生物通过心灵感应说话时，你能以一个动作赋予该生物通过心灵感应向你说话的能力1小时或者你使用一个动作提前终止。为了使用这个能力，这个生物必须能看见你并且在该特性的范围内。你只能同时将该能力作用于一个生物：作用于另一人时，上一个人的该能力就被转移</t>
  </si>
  <si>
    <t>你对会让你做梦的法术或魔法效应免疫，但是会让你陷入睡眠的法术或效果对你正常生效</t>
  </si>
  <si>
    <t>野兽本能</t>
  </si>
  <si>
    <t>化形</t>
  </si>
  <si>
    <t>你从以下技能中选择一项获得熟练项：体操、运动、威吓或求生</t>
  </si>
  <si>
    <t>以一个附赠动作，你可以展现出更为野兽化的姿态。这个变形持续一分钟，直到你死亡，或你以一附赠动作变回正常形态。当你化形时，你获得等同于你熟练加值×2的临时生命值。此外你也会依据你最初选择的形态获得其他好处
你可以使用此特质的次数等于你的熟练加值。当你完成一次长休后，你重新获得所有消耗的次数</t>
  </si>
  <si>
    <t>当你化形时，你额外获得1d6的临时生命值，另外当你处于化形状态时，你的AC+1</t>
  </si>
  <si>
    <t>当你使用化形时，以及在其后的每个处于化形形态的其他回合里，你可以以用你的长牙以一附赠动作发动一次徒手攻击。若命中，你造成1d6+力量调整值的穿刺伤害</t>
  </si>
  <si>
    <t>当你处于化形状态时，你的移动速度增加10尺。另外，当一生物在其回合进入你的5尺范围内时，你可以以一反应移动最多10尺，且这样的移动不会触发借机攻击</t>
  </si>
  <si>
    <t>当你处于化形状态时，你在感知检定中具有优势。并且，除非你处于失能状态，否则任何在你30尺范围内的生物均无法在攻击检定中对你取得优势</t>
  </si>
  <si>
    <t>塞连</t>
  </si>
  <si>
    <t>魅力+2</t>
  </si>
  <si>
    <t>和塞连语</t>
  </si>
  <si>
    <t>构装体耐力</t>
  </si>
  <si>
    <t>哨兵式休息</t>
  </si>
  <si>
    <t>一体化防护</t>
  </si>
  <si>
    <t>专业设计</t>
  </si>
  <si>
    <t>当你进行长休息时，你必须花费6小时处于一种静止的、非激活的状态，以代替睡眠。处于该状态时，你变得迟缓，但不会失去意识，并能够保持正常的视力和听力</t>
  </si>
  <si>
    <t>你的防护等级（AC）+1
你仅能装备你具有熟练的护甲。为了穿着这件护甲，你必须花费1个小时的时间将它组装进你的身体，在此期间你必须与该护甲保持接触。为了脱卸这件护甲，你同样要花费1小时来将其移除。你能在以此法穿着或脱卸护甲时进行休息
只要你还活着，你所穿着的护甲就不能在违背你意愿的情况下被卸下</t>
  </si>
  <si>
    <t>你选择一项技能和一种工具，获得其熟练项</t>
  </si>
  <si>
    <t>人鱼</t>
  </si>
  <si>
    <t>飞行</t>
  </si>
  <si>
    <t>禽爪</t>
  </si>
  <si>
    <t>呼风者</t>
  </si>
  <si>
    <t>当你不着装中甲或重甲时，你得到等于步行速度的飞行速度</t>
  </si>
  <si>
    <t>你的禽爪是天生武器，你可以用来进行徒手打击。如果你击中了目标，你造成1d6+你的力量调整值的挥砍伤害</t>
  </si>
  <si>
    <t>第3级起，你可以用此特质施展一次造风术
你必须完成一次长休后才能再次启用该能力。你也可以通过法术位正常施展该法术，该法术的施法关键属性为智力、感知或魅力并在最初选择种族时决定
当你使用该特质施展该法术时，无需法术成分</t>
  </si>
  <si>
    <t>魔息</t>
  </si>
  <si>
    <t>闪电抗性</t>
  </si>
  <si>
    <t>融入清风</t>
  </si>
  <si>
    <t>土行</t>
  </si>
  <si>
    <t>混入大地</t>
  </si>
  <si>
    <t>火焰抗性</t>
  </si>
  <si>
    <t>烈焰之触</t>
  </si>
  <si>
    <t>强酸抗性</t>
  </si>
  <si>
    <t>水陆两栖</t>
  </si>
  <si>
    <t>呼唤波浪</t>
  </si>
  <si>
    <t>吸血鬼</t>
  </si>
  <si>
    <t>只要你未陷入失能，就可以一直保持憋气</t>
  </si>
  <si>
    <t>你学会电爪
第3级起，你可以用此特质施展一次羽落术
第5级起，你可以用此特质施展一次羽落术或浮空术
你必须完成一次长休后才能再次启用该能力。你也可以通过法术位正常施展该特性中的法术，该法术的施法关键属性为智力、感知或魅力并在最初选择种族时决定
当你使用该特质施展这些法术时，无需法术成分</t>
  </si>
  <si>
    <t>你在使用自己的步行速度穿越土地与地板上的困难地形时可以不消耗额外的移动力</t>
  </si>
  <si>
    <t>你学会剑刃防护，你可以像通常一样地施展它，你也同样可以使用一个附赠动作施展该戏法，你可以以此施展等于你熟练加值的次数。当你完成一次长休后，你重新获得所有消耗的次数
第5级起，你可以用此特质施展一次行动无踪
你必须完成一次长休后才能再次启用该能力。你也可以通过法术位正常施展该法术，该法术的施法关键属性为智力、感知或魅力并在最初选择种族时决定
当你使用该特质施展该法术时，无需法术成分</t>
  </si>
  <si>
    <t>你学会燃火术
第3级起，你可以用此特质施展一次燃烧之手
第5级起，你可以用此特质施展一次燃烧之手或火焰刀
你必须完成一次长休后才能再次启用该能力。你也可以通过法术位正常施展该特性中的法术，该法术的施法关键属性为智力、感知或魅力并在最初选择种族时决定
当你使用该特质施展这些法术时，无需法术成分</t>
  </si>
  <si>
    <t>你对强酸伤害具有抗性</t>
  </si>
  <si>
    <t>你学会酸液飞溅
第3级起，你可以用此特质施展一次造水/枯水术
第5级起，你可以用此特质施展一次造水/枯水术或水墙术
你必须完成一次长休后才能再次启用该能力。你也可以通过法术位正常施展该特性中的法术，该法术的施法关键属性为智力、感知或魅力并在最初选择种族时决定
当你使用该特质施展这些法术时，无需法术成分</t>
  </si>
  <si>
    <t>利爪</t>
  </si>
  <si>
    <t>ﾠ屏息ﾠ</t>
  </si>
  <si>
    <t>龟壳防御</t>
  </si>
  <si>
    <t>你的爪子是一件天生武器，可以用来进行徒手攻击。如果你击中了目标，你造成1d6+你的力量调整值的挥砍伤害</t>
  </si>
  <si>
    <t>你能屏住呼吸长达1小时</t>
  </si>
  <si>
    <t>你无法穿戴护甲，你的AC是17。你在使用你的天生护甲时，仍能获得盾牌的好处</t>
  </si>
  <si>
    <t>你从以下技能中选择一项获得熟练项：驯兽、医药、自然、察觉、隐匿或求生</t>
  </si>
  <si>
    <t>你能采取一个动作缩回壳内。直到你出壳，你获得+4的AC加值，在力量豁免与体质豁免具有优势。当你在龟壳内时，你处于倒地状态，速度为0且不能增加。你的敏捷豁免具有劣势，你不能执行反应，你唯一能执行的动作是以一个附赠动作从壳中出来</t>
  </si>
  <si>
    <t>黑血治疗</t>
  </si>
  <si>
    <t>有限的心灵感应</t>
  </si>
  <si>
    <t>说服力</t>
  </si>
  <si>
    <t>心灵感应的洞察力</t>
  </si>
  <si>
    <t>当你在短休结束时掷出一个1或2的骰子时，你可以重新掷出这个骰子，并且必须使用新的骰子</t>
  </si>
  <si>
    <t>你可以用心灵感应的方式和任何你能在30尺内看到的生物说话。你不需要与该生物共享一种语言，因为它能理解你的心灵感应，但它必须能理解至少一种语言。这个沟通的过程是缓慢和有限的，只允许你传输和接收简单的想法和直观的概念</t>
  </si>
  <si>
    <t>你拥有游说的技能熟练项</t>
  </si>
  <si>
    <t>你进行对抗所有感知和魅力的豁免时具有优势</t>
  </si>
  <si>
    <t>爪击</t>
  </si>
  <si>
    <t>猎手本能</t>
  </si>
  <si>
    <t>畏惧咆哮</t>
  </si>
  <si>
    <t>你的爪子是天生武器，可以用来进行徒手攻击。如果你击中了目标，你造成1d4+你的力量调整值的钝击伤害</t>
  </si>
  <si>
    <t>你从以下技能中选择一项获得熟练项：运动、威吓、游说或求生</t>
  </si>
  <si>
    <t>你可以用一个附赠动作来发出一阵特别危险的咆哮。指定身边10尺内能听到你声音的生物必须进行一次感知豁免，否则他将因此陷入恐慌，并持续至你的下回合结束。该DC等于8+你的熟练加值+你的体质调整值。一旦你使用了此特性，直到你完成一次长休或短休才能再次使用</t>
  </si>
  <si>
    <t>顶撞</t>
  </si>
  <si>
    <t>欢喜之跃</t>
  </si>
  <si>
    <t>贪欢者</t>
  </si>
  <si>
    <t>你可以使用你的头和角来进行徒手打击。如果你使用它们，你造成等同于1d6+你力量调整值的钝击伤害</t>
  </si>
  <si>
    <t>无论何时你进行一次跳远或跳高时，你可以掷一枚d8，并将掷骰结果的数字加到你所跳跃的尺数——即使是进行一次立定跳远。这段额外的距离像通常的情况一样花费移动力</t>
  </si>
  <si>
    <t>你拥有表演和游说的技能熟练项以及一项你所选择的乐器的熟练项</t>
  </si>
  <si>
    <t>先祖遗赠</t>
  </si>
  <si>
    <t>不死本质</t>
  </si>
  <si>
    <t>蛛行</t>
  </si>
  <si>
    <t>吸血啃咬</t>
  </si>
  <si>
    <t>你获得两项自选的技能作为熟练项或保留原种族的技能熟练以及攀爬、飞行、游泳速度</t>
  </si>
  <si>
    <t>你不需要呼吸</t>
  </si>
  <si>
    <t>你具有等于行走速度的攀爬速度。第3级起，你能够在垂直表面任意行走，或是倒挂在天花板上，并且不需要双手进行攀援</t>
  </si>
  <si>
    <t>你的獠牙撕咬是天生武器，能够视为你熟练的简易近战武器使用。你将你的体质调整值加到啃咬进行的攻击和伤害检定中，而不是力量调整值。你的啃咬命中时造成1d4穿刺伤害。当你失去一半或一半以上生命值时，你使用该啃咬进行的攻击具有优势
当你使用啃咬命中一个并非构装生物和不死生物的生物时，你能够以以下选择的方式增强自身：
·恢复相当于啃咬造成的穿刺伤害的生命值
·在下一次你所进行的属性检定或攻击检定中获得加值，加值等同于你啃咬造成的穿刺伤害
你能使用啃咬增强自身的次数等同于你的熟练次数，你在结束一次长休后会获得所有消耗的次数</t>
  </si>
  <si>
    <t>怪诞徽记</t>
  </si>
  <si>
    <t>心灵传讯</t>
  </si>
  <si>
    <t>远端访问</t>
  </si>
  <si>
    <t>巫咒魔法</t>
  </si>
  <si>
    <t>以一个附赠动作，你能无害地拔下自己的一片指甲、一颗牙齿或者一缕长发。该徽记充满魔力，直到你完成一次长休后消散。当徽记通过这种方式注魔时，你能采取以下的动作：心灵传讯、远端访问
 一旦你使用本特质创造了徽记，直到完成一次长休前不能再使用本特质释放该法术，当你长休结束时，你失去的身体部分会重新长出来</t>
  </si>
  <si>
    <t>以一个动作，你能向一个持有该徽记的生物进行心灵传讯，只要你们两者之间的距离不超过10里。该讯息至多为25个单词</t>
  </si>
  <si>
    <t>如果你在徽记的10里之内，你能以一个动作进入出神状态。出神持续一分钟，你能提前主动解除（不需要动作），或是陷入失能时解除。在出神状态时，你能看见和听见徽记所处地点的事物，如同你本人也在那一般。当你使用感官感知徽记的地点时，你对自身周围处于目盲和耳聋状态。当出神结束时，徽记会被无害的摧毁。</t>
  </si>
  <si>
    <t>你能通过本特质使用易容术和脆弱诅咒。一旦你通过本特质使用了其中任何一个法术，直到你完成一次长休前你不能再使用本特质释放该法术。你也能用你拥有的任何法术位来释放这些法术</t>
  </si>
  <si>
    <t>往昔学识</t>
  </si>
  <si>
    <t>你在对抗疾病和中毒的豁免中具有优势，并且你具有毒素伤害的抗性
你的死亡豁免具有优势
你无需饮食和呼吸
你无需睡觉，而魔法亦不能让你陷入睡眠。你可以通过保持4小时静止不动的有意识状态来完成长休</t>
  </si>
  <si>
    <t>当你进行一次使用技能的属性检定时，在看到d20的数字后，你能立即投掷一个d6并将结果加到检定中。你能使用该特性的次数等于你的熟练次数，而你在完成一次长休后获得所有消耗的使用次数</t>
  </si>
  <si>
    <t>无声羽毛</t>
  </si>
  <si>
    <t>当你不着装中甲或重甲时，你得到等同步行速度的飞行速度</t>
  </si>
  <si>
    <t>你拥有隐匿的技能熟练项</t>
  </si>
  <si>
    <t>仙灵魔法</t>
  </si>
  <si>
    <t>你学会德鲁伊伎俩
第3级起，你可以用此特质施展一次妖火
第5级起，你可以用此特质施展一次妖火或变巨/缩小术
你必须完成一次长休后才能再次启用该能力。你也可以通过法术位正常施展该特性中的法术，该法术的施法关键属性为智力、感知或魅力并在最初选择种族时决定
当你使用该特质施展这些法术时，无需法术成分</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</si>
  <si>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</si>
  <si>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</si>
  <si>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</si>
  <si>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</si>
  <si>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</si>
  <si>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</si>
  <si>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以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</si>
  <si>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敏锐&amp;矫健</t>
  </si>
  <si>
    <t>利维坦意志</t>
  </si>
  <si>
    <t>有限两栖</t>
  </si>
  <si>
    <t>当你没有穿戴盔甲或穿戴的盔甲给予你的AC较低时，你的AC是12+你的敏捷调整值。你在使用你的天生护甲时，仍能获得盾牌的好处</t>
  </si>
  <si>
    <t>你拥有运动和察觉的技能熟练项</t>
  </si>
  <si>
    <t>你进行对抗魅惑、恐慌、麻痹、中毒、震慑和昏迷的豁免时具有优势</t>
  </si>
  <si>
    <t>你可以在空气和水中呼吸，但你需要至少每四个小时把自己浸入水中一次来避免窒息</t>
  </si>
  <si>
    <t>疾驰</t>
  </si>
  <si>
    <t>毒免疫</t>
  </si>
  <si>
    <t>作为一个奖励动作，如果你双手空置，直到你自己的回合结束前你增加额外5尺速度</t>
  </si>
  <si>
    <t>你的利齿和绞缠的蛇型躯干是天生的武器，你可以用它们来进行徒手攻击。若你的啃咬命中，则造成1d4＋力量调整值的穿刺伤害，目标必须同时做出体质豁免检定(DC8+你的熟练加值＋你的体质调整值)，失败则额外造成1d4的毒素伤害。若你的绞缠攻击命中，则造成1d6＋力量调整值的钝击伤害，目标被束缚(逃脱DC8+您的熟练加值+你的体质调整值)，在此期间你不能同时束缚其他目标</t>
  </si>
  <si>
    <t>你免疫毒素伤害，也不会中毒</t>
  </si>
  <si>
    <t>荒野面具</t>
  </si>
  <si>
    <t>通晓水域</t>
  </si>
  <si>
    <t>当你仅处于包括微光光照、薄雾笼罩、适中的植物覆盖等轻度遮蔽的环境时，你可以尝试躲藏</t>
  </si>
  <si>
    <t>你掌握一个德鲁伊法术列表中自选戏法</t>
  </si>
  <si>
    <t>你拥有历史和自然的技能熟练项</t>
  </si>
  <si>
    <t>吸血鬼抗性</t>
  </si>
  <si>
    <t>嗜血</t>
  </si>
  <si>
    <t>鲜血盛宴</t>
  </si>
  <si>
    <t>转化躯壳</t>
  </si>
  <si>
    <t>你可以从一个自愿的生物，陷入被你擒抱、失能或束缚状态的生物身上抽取血液和生命能量。对目标进行一次近战攻击。如果命中，对目标造成1点穿刺和1d6点黯蚀伤害。目标的生命值上限承受等同于该黯蚀伤害的减损，你回复等量的生命值。减损效应持续至目标目标完成一次长休。如果该攻击将目标生命值上限降至0，则目标死亡</t>
  </si>
  <si>
    <t>当你以嗜血能力抽取血液时，你会感受到活力涌动。此后1分钟内，你的移动速度增加10尺，在进行力量和敏捷检定或豁免检定时具有优势</t>
  </si>
  <si>
    <t>被你的嗜血能力杀死的类人生物转化为僵尸</t>
  </si>
  <si>
    <t>塞连之歌</t>
  </si>
  <si>
    <t>你拥有30尺的飞行速度。在你着装中型或重型护甲时你不能使用飞行速度。（如果你的游戏中使用规则变体：负重，如果你处于重载，你不能使用飞行速度</t>
  </si>
  <si>
    <t>你习得戏法交友术，并且可以不需要法术材料成分释放它</t>
  </si>
  <si>
    <t>流派</t>
  </si>
  <si>
    <t>兼职护甲熟练项</t>
  </si>
  <si>
    <t>兼职武器熟练项</t>
  </si>
  <si>
    <t>兼职工具熟练项</t>
  </si>
  <si>
    <t>兼职技能熟练项</t>
  </si>
  <si>
    <t>职业等级</t>
  </si>
  <si>
    <t>施法等级</t>
  </si>
  <si>
    <t>兼职1条件</t>
  </si>
  <si>
    <t>兼职2条件</t>
  </si>
  <si>
    <t>子职标记</t>
  </si>
  <si>
    <t>备选</t>
  </si>
  <si>
    <t>列</t>
  </si>
  <si>
    <t>最小行</t>
  </si>
  <si>
    <t>最大行</t>
  </si>
  <si>
    <t>职业1特性</t>
  </si>
  <si>
    <t>职业2特性</t>
  </si>
  <si>
    <t>职业3特性</t>
  </si>
  <si>
    <t>职业特性</t>
  </si>
  <si>
    <t>野兽道途起源</t>
  </si>
  <si>
    <t>遗物</t>
  </si>
  <si>
    <t>圣域</t>
  </si>
  <si>
    <t>星辰结社星图样式</t>
  </si>
  <si>
    <t>花招</t>
  </si>
  <si>
    <t>姿态</t>
  </si>
  <si>
    <t>命流宗命流面具</t>
  </si>
  <si>
    <t>圣武士克星</t>
  </si>
  <si>
    <t>物品（临时武器）</t>
  </si>
  <si>
    <t>集群守卫集群外观</t>
  </si>
  <si>
    <t>妖精漫游者精野之赐</t>
  </si>
  <si>
    <t>术士反应</t>
  </si>
  <si>
    <t>幽影术士异闻</t>
  </si>
  <si>
    <t>畸变心智异常起源</t>
  </si>
  <si>
    <t>时械之魂秩序显迹</t>
  </si>
  <si>
    <t>巨灵宗主巨灵器皿</t>
  </si>
  <si>
    <t>炼金师实验性灵药</t>
  </si>
  <si>
    <t>龙兽守卫起源</t>
  </si>
  <si>
    <t>神龙宗起源</t>
  </si>
  <si>
    <t>野蛮人</t>
  </si>
  <si>
    <t>狂战士道途</t>
  </si>
  <si>
    <t>图腾武者道途</t>
  </si>
  <si>
    <t>D12</t>
  </si>
  <si>
    <t>轻甲、中甲、盾牌</t>
  </si>
  <si>
    <t>简易武器、军用武器</t>
  </si>
  <si>
    <t>力量、体质</t>
  </si>
  <si>
    <t>从驯兽、运动、威吓、自然、察觉和求生中选择两项</t>
  </si>
  <si>
    <t>4、8、12、16、19</t>
  </si>
  <si>
    <t>盾牌</t>
  </si>
  <si>
    <t>子职1</t>
  </si>
  <si>
    <t>你的生父或生母患有兽化症，你也遗传了这方面的一些诅咒。</t>
  </si>
  <si>
    <t>圣人腿骨制成的手杖。（50GP）</t>
  </si>
  <si>
    <t>一块充当公园的墓地。</t>
  </si>
  <si>
    <t>一幅布满星座图列的卷轴</t>
  </si>
  <si>
    <t>你是一位假摔大师，通过假装已经因为伤势丧失作战能力挑逗敌人来补刀，你不但可以保护队友，还可以让敌人见识你其实还剩下多少战斗力。</t>
  </si>
  <si>
    <t>失禁老人式：站直，双膝并拢。（极为适宜在排长队时保命）</t>
  </si>
  <si>
    <t>渡鸦</t>
  </si>
  <si>
    <t>一个强大的兽人酋长，威胁要超越并摧毁你的一切。</t>
  </si>
  <si>
    <t>一个烤巨鸟腿。（巨棒，如有断骨则为长剑）</t>
  </si>
  <si>
    <t>群聚的昆虫</t>
  </si>
  <si>
    <t>在你进行长休或短休时，缥缈的蝴蝶在你周身振翅。</t>
  </si>
  <si>
    <t>的力量被你周围的人视为一种巨大的祝福，你也被期望用它们来为身边人服务。</t>
  </si>
  <si>
    <t>你摸起来一直是冰冷的。</t>
  </si>
  <si>
    <t>你曾暴露在遥远国度扭曲的影响之下。你坚信着有触须在你身上生长，但其他人都看不到。</t>
  </si>
  <si>
    <t>幽灵般的虚幻齿轮在你身后旋转。</t>
  </si>
  <si>
    <t>油灯</t>
  </si>
  <si>
    <t>治疗。饮用者恢复2d4+你智力调整值的生命值。</t>
  </si>
  <si>
    <t>你通过研究龙的鳞片或爪子，或一件从龙的宝库里找到的饰品，从这些徽记物上获取了残留的龙族魔法，构成了联结</t>
  </si>
  <si>
    <t>你通过观察巨龙并将自己的气与它们改天换地的力量相调谐来磨练自己的技艺。</t>
  </si>
  <si>
    <t>吟游诗人</t>
  </si>
  <si>
    <t>逸闻学院</t>
  </si>
  <si>
    <t>勇气学院</t>
  </si>
  <si>
    <t>D8</t>
  </si>
  <si>
    <t>轻甲</t>
  </si>
  <si>
    <t>简易武器、手弩、长剑、刺剑、短剑</t>
  </si>
  <si>
    <t>自选三种乐器</t>
  </si>
  <si>
    <t>敏捷、魅力</t>
  </si>
  <si>
    <t>自选三项技能</t>
  </si>
  <si>
    <t>自选一种乐器</t>
  </si>
  <si>
    <t>，再自选一项技能</t>
  </si>
  <si>
    <t>你是一位大德鲁伊的后人并且继承了变形部分躯体的能力。</t>
  </si>
  <si>
    <t>自助放纵工具包。（10GP）</t>
  </si>
  <si>
    <t>一座用来展示进口珍惜动植物的博物馆。</t>
  </si>
  <si>
    <t>一块钻有细孔的石板</t>
  </si>
  <si>
    <t>你腰包里随身会装一小袋盐或沙子，只要能让你的对手目盲，哪怕一瞬间，你也基本就要赢了。</t>
  </si>
  <si>
    <t>腐臭蝰蛇式：平躺在地上。（试图躲藏时堪称完美）</t>
  </si>
  <si>
    <t>黑白</t>
  </si>
  <si>
    <t>一个恶魔或天族，外层位面力量的代理人，你被指名受其腐败或救赎，视情况而定。</t>
  </si>
  <si>
    <t>一长条放干的面包。（硬头锤）</t>
  </si>
  <si>
    <t>微小的枯枝怪</t>
  </si>
  <si>
    <t>每天黎明，新鲜的、当季的花朵将在你的头发中生长。</t>
  </si>
  <si>
    <t>你的力量在他们变得明显的时候造成了毁灭，甚至死亡，你被当作罪犯对待。</t>
  </si>
  <si>
    <t>当你熟睡时看上去没有呼吸。（尽管你需要呼吸来维生。）</t>
  </si>
  <si>
    <t>一阵来自星界的灵能之风将心灵异能灌入你的体内。现在，当你使用这股力量时，你的身边会有微弱的光点闪烁。</t>
  </si>
  <si>
    <t>时钟的指针出现在你的眼中。</t>
  </si>
  <si>
    <t>瓮</t>
  </si>
  <si>
    <t>疾速。饮用者在1小时内速度增加10尺。</t>
  </si>
  <si>
    <t>一个专门收集和保护龙族学问的游侠会社向你传授了他们的道途。</t>
  </si>
  <si>
    <t>一位巨龙主动地帮助你修炼自身的能量。</t>
  </si>
  <si>
    <t>牧师</t>
  </si>
  <si>
    <t>知识领域</t>
  </si>
  <si>
    <t>生命领域</t>
  </si>
  <si>
    <t>光明领域</t>
  </si>
  <si>
    <t>自然领域</t>
  </si>
  <si>
    <t>风暴领域</t>
  </si>
  <si>
    <t>诡术领域</t>
  </si>
  <si>
    <t>战争领域</t>
  </si>
  <si>
    <t>简易武器</t>
  </si>
  <si>
    <t>感知、魅力</t>
  </si>
  <si>
    <t>从历史、洞悉、医药、游说和宗教中选择两项</t>
  </si>
  <si>
    <t>一只精类的精魂赐予你变换不同野兽形态的能力。</t>
  </si>
  <si>
    <t>圣水酿造啤酒。（20GP）</t>
  </si>
  <si>
    <t>一块不适合建设的沼泽地，充斥着沼泽生物群落。</t>
  </si>
  <si>
    <t>一张斑点枭熊皮，标有凸痕记号</t>
  </si>
  <si>
    <t>你在战斗开始时会先用副手攻击，诱骗你的对手将攻击和防御都放在那边，然后瞅准时机迅速换成主手，让你的敌人猝不及防。</t>
  </si>
  <si>
    <t>沉重补丁式：摊成烂泥。（当你想假装喝多了时很有用）</t>
  </si>
  <si>
    <t>哭脸</t>
  </si>
  <si>
    <t>一条龙，它的仆人缠住了你，阻碍你的步伐。</t>
  </si>
  <si>
    <t>一件只剩一根弦的乐器。（短弓）</t>
  </si>
  <si>
    <t>飞舞的群鸟</t>
  </si>
  <si>
    <t>你身上有淡淡的肉桂、薰衣草或肉豆蔻，或另一种令人舒适的药草或香料的香味。</t>
  </si>
  <si>
    <t>你的邻居憎恨你，害怕你的力量，他们离你躲得远远的。</t>
  </si>
  <si>
    <t>你很少流血，即使受了重伤。</t>
  </si>
  <si>
    <t>你曾受到底栖魔鱼的支配，它的力量在你的脑海中留下了一个精神碎片。</t>
  </si>
  <si>
    <t>你的皮肤发出如黄铜般的金属光泽。</t>
  </si>
  <si>
    <t>可装东西的戒指</t>
  </si>
  <si>
    <t>韧性。饮用者在10分钟内AC+1。</t>
  </si>
  <si>
    <t>一条龙给了你一枚晶球或宝石，并让你进行照看，你没想到的是，龙兽从这块石头里孵化了出来。</t>
  </si>
  <si>
    <t>你所在修道院的教义可追溯到百年甚至数百年前一只巨龙的指导，或某位献身于龙神的存在。</t>
  </si>
  <si>
    <t>德鲁伊</t>
  </si>
  <si>
    <t>大地结社</t>
  </si>
  <si>
    <t>月亮结社</t>
  </si>
  <si>
    <t>星辰结社</t>
  </si>
  <si>
    <t>野火结社</t>
  </si>
  <si>
    <t>轻甲、中甲、盾牌（不能装备或使用金属质的护甲和盾）</t>
  </si>
  <si>
    <t>短棒、匕首、飞镖、标枪、硬头锤、长棍、弯刀、镰刀、投石索、矛</t>
  </si>
  <si>
    <t>草药工具</t>
  </si>
  <si>
    <t>智力、感知</t>
  </si>
  <si>
    <t>从奥秘、驯兽、洞悉、医药、自然、察觉、宗教和求生中选择两项</t>
  </si>
  <si>
    <t>轻甲、中甲、盾牌（不使用铁质护甲或盾牌）</t>
  </si>
  <si>
    <t>战狂道途</t>
  </si>
  <si>
    <t>一只上古野兽的精魂住在你的体内，为你打开选择此道途的大门。</t>
  </si>
  <si>
    <t>梵天神侍羽翼制作的书签。（10GP）</t>
  </si>
  <si>
    <t>一片居住着树栖动物的大树林。</t>
  </si>
  <si>
    <t>一套黑檀木封皮地图集</t>
  </si>
  <si>
    <t>诅咒、谩骂、侮辱，你是一样不落，你喷向对手的那堆下流脏话，即使让食人魔蛮子都觉得尴尬。</t>
  </si>
  <si>
    <t>受惊侏儒式：蜷缩成胎儿的样子。（非常适合用于遭到巨大伤害之前）</t>
  </si>
  <si>
    <t>笑脸</t>
  </si>
  <si>
    <t>大祭司将你看作误入歧途的愚昧之徒，想要你放弃你的信仰。</t>
  </si>
  <si>
    <t>一只流行运动中用到的球拍。（手斧或战斧）</t>
  </si>
  <si>
    <t>好动的皮克精</t>
  </si>
  <si>
    <t>你的影子会在没人直视它时起舞。</t>
  </si>
  <si>
    <t>你开始注意到有一个邪恶的邪教组织，他们计划着利用你的能力。</t>
  </si>
  <si>
    <t>你的心脏一分钟才脉动一下，有时候你自己都感到吃惊。</t>
  </si>
  <si>
    <t>你被植入了一只夺心魔蝌蚪，但蜕变一直没能完成。现在，其灵能力已经被你占为已有。当你使用灵能时，你的身体里会冒出奇怪的粘液。</t>
  </si>
  <si>
    <t>你的体表浮动着方程式和几何图形。</t>
  </si>
  <si>
    <t>被塞住的瓶子</t>
  </si>
  <si>
    <t>勇气。饮用者在1分钟内，能够在每个攻击检定和豁免检定中增加一个d4。</t>
  </si>
  <si>
    <t>你吞下了几滴龙血，永远给你的自然魔法注入了龙的力量。</t>
  </si>
  <si>
    <t>你在一个远古巨龙巢穴的影响范围内冥想良久，并凭此吸收了环境中的魔力。</t>
  </si>
  <si>
    <t>战士</t>
  </si>
  <si>
    <t>勇士</t>
  </si>
  <si>
    <t>战斗大师</t>
  </si>
  <si>
    <t>奥法骑士</t>
  </si>
  <si>
    <t>D10</t>
  </si>
  <si>
    <t>全部护甲、盾牌</t>
  </si>
  <si>
    <t>从体操、驯兽、运动、历史、洞悉、威吓、察觉和求生中选择两项</t>
  </si>
  <si>
    <t>4、6、8、12、14、16、19</t>
  </si>
  <si>
    <t>先祖守卫道途</t>
  </si>
  <si>
    <t>神灵亲笔签名的圣徽。（100GP）</t>
  </si>
  <si>
    <t>一个当地居民集资建立的社区花园。</t>
  </si>
  <si>
    <t>一块遇光会投射出星辰轨迹的水晶</t>
  </si>
  <si>
    <t>你在战斗中一直和对面没完没了的唠叨，尽你所能的去分散他们的注意力或给他们洗脑，你猜有多少人在战斗中搞不清自己的鞋带开没开。</t>
  </si>
  <si>
    <t>积极学生式：高举一只手站立。（当你想被人看到时好用）</t>
  </si>
  <si>
    <t>骷髅</t>
  </si>
  <si>
    <t>一个曾与你一同训练的圣武士，如今背弃了誓言，与你对立。</t>
  </si>
  <si>
    <t>一根金属尖的拐杖。（巨剑或矛）</t>
  </si>
  <si>
    <t>你的头发中长出纤细的触角或鹿角。</t>
  </si>
  <si>
    <t>你周围的人都认为你的力量是对你的家庭的一种诅咒，因为过去的罪行。</t>
  </si>
  <si>
    <t>你难以记住生物和尸体应该被区别对待。</t>
  </si>
  <si>
    <t>小时候，你有一个想象中的朋友，它看上去像是呋噜或是一只奇怪的鸭嘴兽形生物。某天，它赠与你灵能的力量，但它最终不再止步于想象。</t>
  </si>
  <si>
    <t>你的法器短暂地变化成小巧的机械装置。</t>
  </si>
  <si>
    <t>空心小雕像</t>
  </si>
  <si>
    <t>飞行。饮用者在10分钟内获得10尺飞行速度。</t>
  </si>
  <si>
    <t>当你大声朗读巨石柱上的古代龙纹铭文后，你被赋予了力量。</t>
  </si>
  <si>
    <t>你找到了一张龙语卷轴，里面包含了令人顿悟的崭新技巧。</t>
  </si>
  <si>
    <t>武僧</t>
  </si>
  <si>
    <t>散打宗</t>
  </si>
  <si>
    <t>暗影宗</t>
  </si>
  <si>
    <t>四象宗</t>
  </si>
  <si>
    <t>简易武器、短剑</t>
  </si>
  <si>
    <t>自选一种工匠工具或一种乐器</t>
  </si>
  <si>
    <t>力量、敏捷</t>
  </si>
  <si>
    <t>从体操、运动、历史、洞悉、宗教、隐匿中选择两项</t>
  </si>
  <si>
    <t>风暴先驱道途</t>
  </si>
  <si>
    <t>护盾熟练</t>
  </si>
  <si>
    <t>摩擦生香的圣象。（5GP）</t>
  </si>
  <si>
    <t>一片被自然侵蚀的废弃街区。</t>
  </si>
  <si>
    <t>描绘星座排列的玻璃圆盘</t>
  </si>
  <si>
    <t>你有一个特制的腰包，专门用来在战斗最激烈时释放滚珠或铁蒺藜，迫使你的敌人同时躲避你的攻击和这些东西。</t>
  </si>
  <si>
    <t>吵闹酒仙式：伸直一只手做出敬酒的动作。（对于防止被掌掴特别实用）</t>
  </si>
  <si>
    <t>蝴蝶</t>
  </si>
  <si>
    <t>被某人打败的吸血鬼，发誓要对所有圣武士复仇。</t>
  </si>
  <si>
    <t>一大瓶葡萄酒。（硬头锤，如被敲碎则为短剑）</t>
  </si>
  <si>
    <t>据传，你的力量与一个古老的疯王、在一个世纪前的血腥起义中有某些关联。</t>
  </si>
  <si>
    <t>你上周只眨了一次眼。</t>
  </si>
  <si>
    <t>你的噩梦向你透露了真相：你的灵能不是来源于自身，而是从你未能成功出世的孪生兄弟/姐妹处抽取来的！</t>
  </si>
  <si>
    <t>你和那些受到你法术影响的生物都会听到齿轮的滴答声或是钟表的响铃。</t>
  </si>
  <si>
    <t>华丽提灯</t>
  </si>
  <si>
    <t>变形。饮用者的身体产生如同变身术的变化。具体怎样变化由饮用者决定，持续时间10分钟</t>
  </si>
  <si>
    <t>你做了一个逼真的梦，你梦见一个神秘的人物，有七只黄色的金丝雀伴随其左右，警告你即将到来的浩劫。当你醒来时，你的龙兽就在你的身边盯着你。</t>
  </si>
  <si>
    <t>你梦到了一名五首龙裔，而你醒来时，体内的气就已不同以往，宛如巨龙之息。</t>
  </si>
  <si>
    <t>圣武士</t>
  </si>
  <si>
    <t>奉献之誓</t>
  </si>
  <si>
    <t>古贤之誓</t>
  </si>
  <si>
    <t>复仇之誓</t>
  </si>
  <si>
    <t>从运动、洞悉、威吓、医药、说服、宗教中选择两项</t>
  </si>
  <si>
    <t>狂热者道途</t>
  </si>
  <si>
    <t>异界神侍剃须刀。（15GP）</t>
  </si>
  <si>
    <t>一间由奇怪而强大的德鲁伊同袍照料的动物园。</t>
  </si>
  <si>
    <t>强壮鸟妖式：边唱歌边疯狂扇动双臂。（鼓励人们远离你，同时也可以在夏天用来降温）</t>
  </si>
  <si>
    <t>游侠</t>
  </si>
  <si>
    <t>猎人</t>
  </si>
  <si>
    <t>驯兽师</t>
  </si>
  <si>
    <t>从驯兽、运动、洞悉、调查、自然、察觉、隐匿和求生中选择三项</t>
  </si>
  <si>
    <t>，再从驯兽、运动、洞悉、调查、自然、察觉、隐匿和求生中选择一项</t>
  </si>
  <si>
    <t>狂野魔法道途</t>
  </si>
  <si>
    <t>下流话未经删减的原版圣经（10GP）</t>
  </si>
  <si>
    <t>一座仅供有钱人享受的收费私人公园。</t>
  </si>
  <si>
    <t>断裂桥面式：脸和膝盖贴地并撅起臀部。（降低正面的敌人能见度，并为盟友提供一个实用的滑梯）</t>
  </si>
  <si>
    <t>游荡者</t>
  </si>
  <si>
    <t>盗贼</t>
  </si>
  <si>
    <t>刺客</t>
  </si>
  <si>
    <t>诡术师</t>
  </si>
  <si>
    <t>敏捷、智力</t>
  </si>
  <si>
    <t>从体操、运动、欺瞒、洞悉、威吓、调查、察觉、表演、游说、巧手、隐匿中选择四项</t>
  </si>
  <si>
    <t>4、8、10、12、16、19</t>
  </si>
  <si>
    <t>，再从体操、运动、欺瞒、洞悉、威吓、调查、察觉、表演、游说、巧手、隐匿中选择一项</t>
  </si>
  <si>
    <t>野兽道途</t>
  </si>
  <si>
    <t>一片收容因被捕猎而惊恐的动物的自然保护区。</t>
  </si>
  <si>
    <t>术士</t>
  </si>
  <si>
    <t>龙族血脉</t>
  </si>
  <si>
    <t>狂野魔法</t>
  </si>
  <si>
    <t>D6</t>
  </si>
  <si>
    <t>匕首、飞镖、投石索、长棍、轻弩</t>
  </si>
  <si>
    <t>体质、魅力</t>
  </si>
  <si>
    <t>从奥秘、欺瞒、洞悉、威吓、游说、宗教中选择两项</t>
  </si>
  <si>
    <t>一间培育稀有的异国动植物并用其制作各种商品的商铺。</t>
  </si>
  <si>
    <t>邪术师</t>
  </si>
  <si>
    <t>至高妖精</t>
  </si>
  <si>
    <t>旧日支配者</t>
  </si>
  <si>
    <t>感知，魅力</t>
  </si>
  <si>
    <t>从奥秘、欺瞒、威吓、洞悉、历史、自然、宗教中选择两项</t>
  </si>
  <si>
    <t>法师</t>
  </si>
  <si>
    <t>防护学派</t>
  </si>
  <si>
    <t>咒法学派</t>
  </si>
  <si>
    <t>预言学派</t>
  </si>
  <si>
    <t>附魔学派</t>
  </si>
  <si>
    <t>塑能学派</t>
  </si>
  <si>
    <t>幻术学派</t>
  </si>
  <si>
    <t>死灵学派</t>
  </si>
  <si>
    <t>变化学派</t>
  </si>
  <si>
    <t>在奥秘、历史、洞悉、调查、医药、宗教中选择两项</t>
  </si>
  <si>
    <t>炼金师</t>
  </si>
  <si>
    <t>魔炮师</t>
  </si>
  <si>
    <t>战地匠师</t>
  </si>
  <si>
    <t>奇械师</t>
  </si>
  <si>
    <t>盗贼工具、修补工具、另外自选一种工匠工具</t>
  </si>
  <si>
    <t>体质、智力</t>
  </si>
  <si>
    <t>从奥秘、历史、调查、医药、自然、察觉、巧手中选择两项</t>
  </si>
  <si>
    <t>轻甲，中甲，盾牌</t>
  </si>
  <si>
    <t>盗贼工具、修补工具</t>
  </si>
  <si>
    <t>迷惑学院</t>
  </si>
  <si>
    <t>剑舞学院</t>
  </si>
  <si>
    <t>备选兼职</t>
  </si>
  <si>
    <t>子职2</t>
  </si>
  <si>
    <t>子职3</t>
  </si>
  <si>
    <t>低语学院</t>
  </si>
  <si>
    <t>狂暴</t>
  </si>
  <si>
    <t>第1级起，你可以在自己回合内以一个附赠动作进入狂暴
狂暴持续期间，只要你未着装重甲就获得以下增益：
你进行力量检定和力量豁免时具有优势
你用力量值发动近战武器攻击时的伤害掷骰获得加值。此加值随你的野蛮人等级提升而增加，具体见“野蛮人职业表”中“狂暴伤害”一栏
你拥有钝击，穿刺和挥砍伤害的抗性
拥有施法能力的角色无法在狂暴持续期间施展法术或进行法术专注
你的狂暴状态维持1分钟。如果你在狂暴其间陷入昏迷，或者，如果你在上一个自己回合之后到本回合结束时都未攻击任何敌对生物也未受到伤害，则狂暴提前结束。你也可以在自己回合里以一个附赠动作主动结束狂暴状态
“野蛮人职业表”中根据你的野蛮人等级给出了相应的狂暴次数。如果你用光了这些次数，则必须完成一次长休才能再次使用狂暴</t>
  </si>
  <si>
    <t>施法-吟游诗人</t>
  </si>
  <si>
    <t>你习得以音乐为媒介随意解构、分解，再重新构造现实的方法。你的法术是融入你纷繁奏乐中的音符，也是你以各种形式谱奏的魔法乐章</t>
  </si>
  <si>
    <t>施法-牧师</t>
  </si>
  <si>
    <t>你作为神圣力量的导体得以施展牧师法术</t>
  </si>
  <si>
    <t>德鲁伊语</t>
  </si>
  <si>
    <t>第1级时，你习得德鲁伊语——即一种德鲁伊间的秘密语言。你可以说这门语言并用它留下隐藏的信息。懂得这门语言的人（包括你自己）会自动注意到此信息，而不懂此语言的人通过一次DC15的感知（察觉）检定后可以注意到其存在，不过不能用非魔法手段读懂</t>
  </si>
  <si>
    <t>战斗风格-战士</t>
  </si>
  <si>
    <t>第1级时，你可以选择一种战斗风格作为你的专精。同一种战斗风格不可重复选择</t>
  </si>
  <si>
    <t>第1级起，未着装任何护甲也没持用盾牌时，你的AC等于10+你的敏捷调整值+你的感知调整值</t>
  </si>
  <si>
    <t>神圣感知</t>
  </si>
  <si>
    <t>第1级起，你可以使用一个动作扩展你的意识，直到你下回合结束前，你可以对身边60尺范围内进行感测，任何未对你处在全身掩护状态的天界生物、邪魔或不死生物都将被你定位。你感应到范围内生物的种类，不过并不能精确指明。在同样的范围内，你也可以侦测任何受到圣居一类的法术祝福或亵渎的地点或物件
该特性的可用次数等于1＋你的魅力调整值。而已消耗的特性使用次数，则可以通过完成一次长休进行恢复</t>
  </si>
  <si>
    <t>第1级起，从下列种类中选择其一作为宿敌：异怪、野兽、天界生物、构装生物、龙、元素生物、精类生物、邪魔、巨人、怪兽、泥怪、植物、不死生物。或者作为另一种方案，你也可以选择两个类人生物种族作为宿敌
追踪宿敌时，你的感知（求生）检定，以及回想关于宿敌信息时进行的智力检定具有优势
获得该特性时，如果你选择的宿敌具有语言能力，则你还可以学会宿敌所知晓的一门语言
第6和第14级时，你将分别获得一个额外的宿敌以及相关语言。另外，随着等级的提升，你所选择的宿敌应该与你在冒险中所遭遇怪物的种类层次相符</t>
  </si>
  <si>
    <t>专精-游荡者</t>
  </si>
  <si>
    <t>第1级起，你选择两个已有技能熟练项，或者一个技能熟练项和盗贼工具熟练项。此后你进行该项目的检定时，可以使用双倍的熟练加值
第6级时，你可以再选择另外两个已有的技能熟练项（或盗贼工具熟练项）从该特性中获益</t>
  </si>
  <si>
    <t>施法-术士</t>
  </si>
  <si>
    <t>过去的一个事件激发了你体内先辈的血脉，为你烙上了奥法力量的坚固印记。这股起源于某种存在的魔力驱动着你的法术能力</t>
  </si>
  <si>
    <t>异界宗主</t>
  </si>
  <si>
    <t>第1级时，你就跟某个异界的存在订下契约。随后，你将在第1、第6、第10和第14级获得所选契约的相应特性</t>
  </si>
  <si>
    <t>施法-法师</t>
  </si>
  <si>
    <t>作为一名奥术魔法的研习者，你拥有一本自己的法术书。书中所包含的法术隐约透露着你真正的力量</t>
  </si>
  <si>
    <t>魔法工艺</t>
  </si>
  <si>
    <t>第1级起，当你手持修补工具，或其他工匠工具。然后花费一个动作触摸一个微小的非魔法物体，从以下魔法属性中选择一个赋予它：
该物体提供5尺半径的明亮照明，以及该范围外5尺范围的微光照明
无论何时，只要该物品被生物触碰，就会发出可在10尺外听到的录音信息。录入的信息在你将此属性赋予对象时决定，且时长不可超过6秒
物品不断地发出一种气味或一种非语言的声音。这一现象最多能传播10尺远
一个静态的视觉效果出现在物体的表面上。这个效果可以是一幅图片，最多25个单词的文本，线条和形状，或者这些元素的混合，如你所愿
所选的魔法属性持续时间无限。你能够以一个动作触摸对象来消除这一魔法属性
你能够通过此特性将魔力赋予多个物品，每次使用该特性时都需要触摸一个物品，并且单个物品一次只能承载一种魔法属性。你能够使用该特性影响的物品的最大数量等于你的智力调整值（最少一个物品）。如果你试图超过最大值，最老的魔法属性将立即结束，然后新的魔法属性生效</t>
  </si>
  <si>
    <t>雄辩学院</t>
  </si>
  <si>
    <t>第1级起，未着装任何护甲时，你的AC等于10＋你的敏捷调整值＋你的体质调整值。使用盾牌不会影响你从此特性获益</t>
  </si>
  <si>
    <t>戏法-吟游诗人</t>
  </si>
  <si>
    <t>第1级时，你从诗人法术列表中选择两个戏法作为已知法术。在获得更高诗人等级后你还可以习得其它的戏法，具体数量见“吟游诗人职业表”中“已知戏法”一栏</t>
  </si>
  <si>
    <t>戏法-牧师</t>
  </si>
  <si>
    <t>第1级时，你选择三个牧师法术列表中的戏法作为已知法术。在获得更高的牧师等级后你还可以习得其它的戏法，具体数据参见“牧师职业表”中“已知戏法”一栏</t>
  </si>
  <si>
    <t>施法-德鲁伊</t>
  </si>
  <si>
    <t>你掌握自然世界的神圣本质，并依你的意志施展法术对其进行重塑</t>
  </si>
  <si>
    <t>你使用远程武器进行攻击检定时具有+2加值</t>
  </si>
  <si>
    <t>武艺</t>
  </si>
  <si>
    <t>第1级起，你获得徒手打击和武僧武器的武器熟练。武僧武器包括短剑和所有不含双手与重型属性的简易近战武器
未着装任何护甲也没持用盾牌时，如果你徒手或只持用武僧武器，则你发动的攻击拥有下列增益：
你使用徒手打击或武僧武器进行攻击时，可以用敏捷值代替力量值进行攻击检定和伤害掷骰
你使用徒手打击或武僧武器进行攻击时，可以选择用武艺骰代替原本的伤害掷骰，该骰子将随武僧职业等级的提升而增大，具体数据见“武僧职业表”中“武艺”一栏
你使用徒手打击或武僧武器执行攻击动作时，可以在自己回合内以附赠动作发动一次徒手打击
某些宗派的武僧会使用一些奇异的武僧武器，无论你使用什么武器，其属性数据都参考与其相似的常规武器属性数据</t>
  </si>
  <si>
    <t>圣疗</t>
  </si>
  <si>
    <t>第1级起，你获得一个治疗能量池，其内的治疗能量在每次完成长休后自动补满。治疗能量池储备的可恢复生命值总值等于你的圣武士职业等级×5
你可以用一个动作触碰一个生物，并抽取治疗能量池中的能量恢复该生物的生命值，其恢复量最多等于你治疗能量池中剩余的治疗量
此外，你也可以使用5点治疗量治愈目标生物身上的一种疾病，或者祛除一种中毒效应。你可以在一次圣疗中治愈复数的疾病并祛除复数的毒素，但你需要为每一种疾病和毒素分别支付治疗量
该职业特性对不死生物和构装生物无效</t>
  </si>
  <si>
    <t>第1级起，当你以一次攻击掷骰命中一个生物时，你可以呼唤你与自然的神秘羁连以将目标标记为你的夙敌，持续一分钟或直到你失去专注(如同你在专注一道法术)
你在你的回合内第一次命中你的夙敌并对其造成伤害，且你正在标记它时，你可以造成额外的1d4点伤害。你可以使用同等于你的熟练加值次该特性来标记你的夙敌，你在完成一次长休后恢复所有已使用的次数。
6级起，额外1d6伤害；14级起，额外1d8伤害
夙敌可以触发屠灭众敌特性</t>
  </si>
  <si>
    <t>偷袭</t>
  </si>
  <si>
    <t>第1级起，每当你的攻击命中一个生物时，如果该攻击的攻击检定带有优势，则可以造成额外1d6的伤害。该伤害每回合可以产生一次，且造成伤害的攻击必须使用带灵巧属性的武器或远程武器
如果目标生物身边5尺内还有其他与之对敌者，且该对敌者并未处于失能状态，则只要你的攻击检定没有劣势，就可以发动偷袭
你的偷袭伤害也将会随游荡者职业等级的提升而提高，其具体数值见“游荡者职业表”</t>
  </si>
  <si>
    <t>戏法-术士</t>
  </si>
  <si>
    <t>第1级时，你从术士法术列表中选择四个戏法作为已知法术。在获得更高术士等级后你还可以习得其它的戏法，具体数量见“术士职业表”中“已知戏法”一栏</t>
  </si>
  <si>
    <t>契约魔法</t>
  </si>
  <si>
    <t>你的法术力量源于你的奥秘研究和宗主的魔法馈赠</t>
  </si>
  <si>
    <t>戏法-法师</t>
  </si>
  <si>
    <t>第1级时，你从法师法术列表中选择三个戏法作为已知法术。在获得更高法师等级后你还可以习得其它的戏法，具体数量见“法师职业表”中“已知戏法”一栏</t>
  </si>
  <si>
    <t>施法-奇械师</t>
  </si>
  <si>
    <t>你已经学习了魔法的工作原理，知道如何引导魔法进入物体，以及如何唤醒魔法</t>
  </si>
  <si>
    <t>创造学院</t>
  </si>
  <si>
    <t>鲁莽攻击</t>
  </si>
  <si>
    <t>第2级起，你在自己回合内发动第一次攻击时，可以选择发动鲁莽攻击。使用此特性后，你本回合内所有使用力量值发动的近战武器攻击具有优势。此后，所有对你发动的攻击检定也将具有优势，且该优势持续存在至你的下个回合</t>
  </si>
  <si>
    <t>法术位-吟游诗人</t>
  </si>
  <si>
    <t>“吟游诗人职业表”中记录了你可用以施展诗人法术的1环及更高环阶法术位数量。施展诗人法术时，你必须同时消耗其对应环阶的法术位。已消耗的法术位可在完成长休后恢复</t>
  </si>
  <si>
    <t>法术的准备与施展-牧师</t>
  </si>
  <si>
    <t>“牧师职业表”里记录了你用以施展牧师法术的1环及更高环阶法术位数量。施展某个牧师法术时，你必须同时消耗其对应环阶的法术位。已消耗的法术位可在完成长休后恢复
你可以准备牧师法术列表中所有符合当前施展条件的法术。准备法术时，你所准备法术的总数等于你的感知调整值＋你的牧师职业等级（最少可以准备一个）。另外，你只能准备已经获得相应环阶法术位的法术
你可以在完成长休后改变你的准备法术列表。准备新的牧师法术列表时，你要再花时间进行祈祷和冥想。准备时，你要为你列表上每个法术的每个环阶都花费至少1分钟时间</t>
  </si>
  <si>
    <t>戏法-德鲁伊</t>
  </si>
  <si>
    <t>第1级时，你选择两项德鲁伊法术列表中的戏法作为已知法术。在获得更高的德鲁伊等级后你还可以习得其它的戏法，具体数据参见“德鲁伊职业表”中“已知戏法”一栏</t>
  </si>
  <si>
    <t>着装护甲时，你的AC获得+1加值</t>
  </si>
  <si>
    <t>气</t>
  </si>
  <si>
    <t>第2级起，你将拥有一定数量的气作为储备。而气的储备量由你的武僧等级决定，具体数值见“武僧职业表”中“气”一栏
你可以消耗气以行使各种特性
消耗掉的气必须在你短休或长休时完成至少30分钟的冥想，才能重获所有消耗掉的气值</t>
  </si>
  <si>
    <t>战斗风格-圣武士</t>
  </si>
  <si>
    <t>第2级时，你可以选择一种战斗风格作为你的专精。同一种战斗风格不可重复选择</t>
  </si>
  <si>
    <t>第1级起，从下列类别中选择一种偏爱地形：极地、海岸、荒漠、丛林、草原、山地、沼泽或幽暗地域。当你进行与偏好地形相关的智力或感知检定时，如果你拥有该技能的熟练项，则在检定时加入双倍熟练加值
当你在偏好地形上移动一小时或更长时间时，你获得以下增益：
你的队伍旅行时不会因困难地形而变慢
除非受魔法效应影响，否则你的队伍不会迷路
旅行时，即使你进行另一项活动，仍能对危险保持警觉
独自旅行时，你能够保持隐匿状态以正常步调移动
觅食时，你会发现两倍的食物
追踪其他生物时，你还能了解他们的确切数量、体型以及离开踪迹的时间
你在第6级和第10级时将分别获得一个额外的偏好地形</t>
  </si>
  <si>
    <t>盗贼黑话</t>
  </si>
  <si>
    <t>第1级时，你掌握了盗贼黑话——一门混合了土话、术语和密语的秘密语言，掌握这门语言后，你可以在平时对话中不落痕迹的加入隐藏信息。而只有另一个懂盗贼黑话的生物才能看懂这些隐藏信息。不过这种交流方式需要花费四倍于直接交流所需要的时间
另外，你还习得一套用以传达简单短小信息的秘密符文和标识。它能发布的内容诸如某地区是否危险，是否受盗贼公会管辖，附近是否有战利品，附近的人是否好主顾或者路上是否有安全的房屋以供庇护</t>
  </si>
  <si>
    <t>法术位-术士</t>
  </si>
  <si>
    <t>“术士职业表”中记录了你可用以施展术士法术的1环及更高环阶法术位数量。施展术士法术时，你必须同时消耗其对应环阶的法术位。已消耗的法术位可在完成长休后恢复</t>
  </si>
  <si>
    <t>戏法-邪术师</t>
  </si>
  <si>
    <t>第1级时，你从邪术师法术列表中选择两个戏法作为已知法术。在获得更高邪术师等级后你还可以习得其它的戏法，具体数量见“邪术师职业表”中“已知戏法”一栏</t>
  </si>
  <si>
    <t>法术位-法师</t>
  </si>
  <si>
    <t>“法师职业表”中记录了你可用以施展法师法术的1环及更高环阶法术位数量。施展法师法术时，你必须同时消耗其对应环阶的法术位。已消耗的法术位可在完成长休后恢复</t>
  </si>
  <si>
    <t>必备工具</t>
  </si>
  <si>
    <t>当你使用施法特性来施展法术时，必须手持盗贼工具或工匠工具作为法器。你必须熟练这一工具才能将它作为法器使用
第2级起，你也能使用任何你进行过物品注法的物品来作为法器使用</t>
  </si>
  <si>
    <t>职业重复</t>
  </si>
  <si>
    <t>错误子职</t>
  </si>
  <si>
    <t>精魂学院</t>
  </si>
  <si>
    <t>险境感知</t>
  </si>
  <si>
    <t>第2级起，在受到你能看见的效应（诸如陷阱和法术）影响时，你对其进行的敏捷豁免具有优势。你无法在目盲、耳聋或是失能的状态下从此特性获益</t>
  </si>
  <si>
    <t>已知法术-吟游诗人</t>
  </si>
  <si>
    <t>你从诗人法术列表中选择四个1环法术作为已知法术
“吟游诗人职业表”中“已知法术”一栏记录了你获得更多已知法术时的相应等级。但是，你只能获取已有相应环阶法术位的法术
另外，你每提升一个诗人等级，可以从诗人法术列表中选择一个新法术来代替一个已知法术列表中的旧法术，不过你必须已有新法术的相应环阶法术位</t>
  </si>
  <si>
    <t>施法关键属性-牧师</t>
  </si>
  <si>
    <t>当你的牧师法术需要施法关键属性时均指向你的感知值。而你牧师法术的豁免DC和攻击检定，则使用你的感知调整值
法术豁免DC＝8＋你的熟练加值＋你的感知调整值
法术攻击调整值＝你的熟练加值＋你的感知调整值</t>
  </si>
  <si>
    <t>法术的准备与施展-德鲁伊</t>
  </si>
  <si>
    <t>“德鲁伊职业表”里记录了你用以施展德鲁伊法术的一环及更高环阶法术位数量。施展某个德鲁伊法术时，你必须同时消耗其对应环阶的法术位。已消耗的法术位可在完成长休后恢复
你可以准备德鲁伊法术列表中所有符合当前施展条件的法术。准备法术时，你所准备法术的总数等于你的感知调整值＋你的德鲁伊职业等级（最少可以准备一个）。另外，你只能准备已经获得相应环阶法术位的法术
你可以在完成长休后改变你的准备法术列表。如需准备新的德鲁伊法术，则需要你再花时间进行祈祷和冥想。准备法术时，法术的每个环阶平均要花费至少1分钟的准备时间</t>
  </si>
  <si>
    <t>单手持用一把近战武器，且并未同时持用其他武器时，你用该武器攻击的伤害掷骰获得+2加值</t>
  </si>
  <si>
    <t>疾风连击</t>
  </si>
  <si>
    <t>第2级起，你在自己回合内执行攻击动作后，可立即消耗1点气并以一个附赠动作发动两次徒手打击</t>
  </si>
  <si>
    <t>第1级起，你获得以下增益：
第1级时，你选择一项你拥有熟练的技能，你在使用该技能时的任何属性检定的使用两倍的熟练加值。此外，你可以额外说，读，写两门你选择的语言
第6级起，你的步行速度增加5，同时你获得等于你步行速度的攀爬速度和游泳速度
第10级起，以一个动作，你能够给予自己1d8+你的感知调整值的临时生命值。你能够使用此特性的次数等于你的熟练加值次（最少1次），已消费的次数可以通过完成一次长休进行恢复。此外，当你完成一次短休时，你的力竭等级减少1（若有）</t>
  </si>
  <si>
    <t>灵巧动作</t>
  </si>
  <si>
    <t>第2级起，你在战斗中每回合可执行一次附赠动作，该附赠动作可用以执行撤离、疾走或躲藏三种动作项其中之一</t>
  </si>
  <si>
    <t>已知法术-术士</t>
  </si>
  <si>
    <t>你从术士法术列表中选择两个1环法术作为已知法术
“术士职业表”中“已知法术”一栏记录了你获得更多已知法术时的相应等级。但是，你只能获取已有相应环阶法术位的法术
另外，你每提升一个术士等级，可以从术士法术列表中选择一个新法术来代替一个已知法术列表中的旧法术，不过你必须已有新法术的相应环阶法术位</t>
  </si>
  <si>
    <t>法术位-邪术师</t>
  </si>
  <si>
    <t>“邪术师职业表”中记录了你可用以施展邪术师法术的1环及更高环阶法术位数量。施展邪术师法术时，你必须同时消耗其对应环阶的法术位。已消耗的法术位可在完成长休或短休后恢复</t>
  </si>
  <si>
    <t>第1级时，你从法师法术列表中选择六个1环法术作为已知法术。你的法术书储存着你除戏法外的所有已知法术，而你的戏法则直接铭记在你脑海中
你在等级提升时加入法术书中的法师法术，体现了你的奥术研究成果，同时也代表你对多元宇宙本质的认知的新突破。你也许会在冒险过程中发现其他的法术
你的法术书是一本独特的法术合集，其上有着独特的使用痕迹和空白页</t>
  </si>
  <si>
    <t>戏法-奇械师</t>
  </si>
  <si>
    <t>第1级时，你从奇械师法术列表中选择两个戏法作为已知法术。在获得更高奇械师等级后你还可以习得其它的戏法，具体数量见“奇械师职业表”中“已知戏法”一栏
当你提升一个奇械师等级时，可以从奇械师戏法列表表中选择一个你未习得的戏法，替换一个你已经习得的戏法</t>
  </si>
  <si>
    <t>原初道途</t>
  </si>
  <si>
    <t>第3级时，你选择一种道途来塑造你狂怒时的特质。随后，你将在第3、第6、第10、第14级时获得所选道途的相应特性</t>
  </si>
  <si>
    <t>施法关键属性-吟游诗人</t>
  </si>
  <si>
    <t>当你的诗人法术需要施法关键属性时均指向你的魅力值。而你诗人法术的豁免DC和攻击检定，则使用你的魅力调整值
法术豁免DC＝8＋你的熟练加值＋你的魅力调整值
法术攻击调整值＝你的熟练加值＋你的魅力调整值</t>
  </si>
  <si>
    <t>仪式施法-牧师</t>
  </si>
  <si>
    <t>如果你所准备牧师法术中的某法术有带仪式标签，则你可以用这些法术进行仪式施法</t>
  </si>
  <si>
    <t>施法关键属性-德鲁伊</t>
  </si>
  <si>
    <t>当你的德鲁伊法术需要施法关键属性时均指向你的感知值。而你德鲁伊法术的豁免DC和攻击检定，则使用你的感知调整值
法术豁免DC＝8＋你的熟练加值＋你的感知调整值
法术攻击调整值＝你的熟练加值＋你的感知调整值</t>
  </si>
  <si>
    <t>双手持用一把近战武器发动攻击时，如果你的伤害掷骰掷出1或2，则可以选择重掷。你必须接受重掷的数值。此外，该武器必须具有双手或两用属性</t>
  </si>
  <si>
    <t>坚强防御</t>
  </si>
  <si>
    <t>第2级起，你在自己回合内，可以消耗1点气，并以一个附赠动作的形式来执行回避动作</t>
  </si>
  <si>
    <t>单手持用一把近战武器，且并未同时持用其他武器时，你使用该武器进行攻击的伤害掷骰获得+2加值</t>
  </si>
  <si>
    <t>战斗风格‐游侠</t>
  </si>
  <si>
    <t>游荡者范型</t>
  </si>
  <si>
    <t>第3级时，你选择学习一种特定的战斗范型。随后，你将在第3、第9、第13和第17级获得所选范型的相应特性</t>
  </si>
  <si>
    <t>施法关键属性-术士</t>
  </si>
  <si>
    <t>当你的术士法术需要施法关键属性时均指向你的魅力值。而你术士法术的豁免DC和攻击检定，则使用你的魅力调整值
法术豁免DC＝8＋你的熟练加值＋你的魅力调整值
法术攻击调整值＝你的熟练加值＋你的魅力调整值</t>
  </si>
  <si>
    <t>已知法术-邪术师</t>
  </si>
  <si>
    <t>你从邪术师法术列表中选择两个1环法术作为已知法术
“邪术师职业表”中“已知法术”一栏记录了你获得更多已知法术时的相应等级。但是，你只能获取已有相应环阶法术位的法术
另外，你每提升一个邪术师等级，可以从邪术师法术列表中选择一个新法术来代替一个已知法术列表中的旧法术，不过你必须已有新法术的相应环阶法术位</t>
  </si>
  <si>
    <t>将法术抄入法术书</t>
  </si>
  <si>
    <t>当你发现一道1环或更高环阶的法师法术时，你可以将其抄入你的法术书中，前提是，你必须能够准备该法术，且也有时间去解读和复制它
抄写法术时，你必须先重构该法术的基础式，然后解读抄写该法术的法师所使用的独特符号系统。你必须反复练习这个法术，直至完全理解其所需的咒语和手势，最后用再用你自己的符号系统将之抄入法术书
这个过程将消耗每法术环阶2小时的时间和每法术环阶50gp的资金。这笔开销代表你在练习这个法术的过程中消耗的材料成分，还有抄录法术所需的上好的墨水。当你花费了这一笔时间和金钱后，你就可以如同准备其他法术一般准备这个法术了</t>
  </si>
  <si>
    <t>法术的准备和施展</t>
  </si>
  <si>
    <t>“奇械师职业表”里记录了你用以施展法师法术的一环及更高环阶法术位数量。施展某个奇械师法术时，你必须同时消耗其对应环阶的法术位。已消耗的法术位可在完成长休后恢复
你可以准备奇械师法术列表中所有符合当前施展条件的法术。准备法术时，你所准备法术的总数等于你的智力调整值＋你的奇械师职业等级的一半（最少可以准备一个）。另外，你只能准备已经获得相应环阶法术位的法术
你可以在完成长休后改变你的准备法术列表。如需准备新的奇械师法术，你需要花时间来调整你的法器。准备法术时，法术的每个环阶平均要花费至少1分钟的准备时间</t>
  </si>
  <si>
    <t>未选子职</t>
  </si>
  <si>
    <t>第3级时，你可以从野蛮人技能熟练项列表中选择一个技能，获得该技能的熟练
第10级时，你可以再选择一个技能获得熟练项</t>
  </si>
  <si>
    <t>仪式施法-吟游诗人</t>
  </si>
  <si>
    <t>如果你已知法术列表中的某法术带有仪式标签，则你可以用这些法术进行仪式施法</t>
  </si>
  <si>
    <t>法器-牧师</t>
  </si>
  <si>
    <t>你可以使用圣徽作为施展牧师法术的法器</t>
  </si>
  <si>
    <t>仪式施法-德鲁伊</t>
  </si>
  <si>
    <t>如果你所准备德鲁伊法术中的某法术有带仪式标签，则你可以用这些法术进行仪式施法</t>
  </si>
  <si>
    <t>当某个你能看见的生物攻击你身边5尺内除你之外的目标时，你可以用反应迫使该攻击的攻击检定具有劣势。此时你必须持用盾牌</t>
  </si>
  <si>
    <t>飞檐走壁</t>
  </si>
  <si>
    <t>第2级起，你在自己回合内，可以消耗1点气，并以一个附赠动作的形式来执行撤离动作或疾走动作，同时使你该回合内的跳跃距离翻倍</t>
  </si>
  <si>
    <t>双手持用一把近战武器发动攻击时，若你的伤害掷骰掷出1或2，则可以选择重掷。你必须接受重掷的数值。此外，该武器必须具有双手或两用属性</t>
  </si>
  <si>
    <t>使用远程武器进行攻击检定时具有+2加值</t>
  </si>
  <si>
    <t>第3级起，以一个附赠动作，你在当前回合为你的下一次攻击提供优势。你只能在你本回合还没有移动的时候使用这个附赠动作，而且在你使用这个附赠动作后，你的速度在当前回合里降为0</t>
  </si>
  <si>
    <t>法器-术士</t>
  </si>
  <si>
    <t>你可以使用奥术法器作为施展术士法术的法器</t>
  </si>
  <si>
    <t>施法关键属性-邪术师</t>
  </si>
  <si>
    <t>当你的邪术师法术需要施法关键属性时均指向你的魅力值。而你邪术师法术的豁免DC和攻击检定，则使用你的魅力调整值
法术豁免DC＝8＋你的熟练加值＋你的魅力调整值
法术攻击调整值＝你的熟练加值＋你的魅力调整值</t>
  </si>
  <si>
    <t>替换法术书</t>
  </si>
  <si>
    <t>你可以把法术从你的法术书抄到另一本书上——例如，你打算为你的法术书做一个备份时，就可以这么做。这个进程和将新法术抄入法术书相似，但更快也更简单，因为你早已理解了你自己的符号系统，也知道如何施展这个法术。这时，你只需要花费每环阶1小时和每环阶10gp的花费
如果你弄丢了法术书，你也可以用相同的流程将你准备的法术抄入一本新法术书中。而要填满法术书的其余部分就需要你自己去寻找新的法术了。所以，很多法师都喜欢在安全的地方保存好备份的法术书</t>
  </si>
  <si>
    <t>施法关键属性-奇械师</t>
  </si>
  <si>
    <t>当你的奇械师法术需要施法关键属性时均指向你的智力值。而你奇械师法术的豁免DC和攻击检定，则使用你的智力调整值
法术豁免DC＝8＋你的熟练加值＋你的智力调整值
法术攻击调整值＝你的熟练加值＋你的智力调整值</t>
  </si>
  <si>
    <t>职业0级</t>
  </si>
  <si>
    <t>第5级起，你在自己回合内执行攻击动作时可以发动两次攻击</t>
  </si>
  <si>
    <t>法器-吟游诗人</t>
  </si>
  <si>
    <t>你可以使用乐器作为施展诗人法术的法器</t>
  </si>
  <si>
    <t>神圣领域</t>
  </si>
  <si>
    <t>第1级时，你将选择一个与你所信仰神祇的神职相关的神圣领域。随后，你将在第1、第2、第6、第8、第17级时获得所选领域的相应特性
某些领域其领域法术可能并不在牧师法术列表中，此时如果你选择了该领域，则你视该领域的领域法术为你的牧师法术</t>
  </si>
  <si>
    <t>法器-德鲁伊</t>
  </si>
  <si>
    <t>你可以用德鲁伊法器作为你施展德鲁伊法术的法器</t>
  </si>
  <si>
    <t>使用两把武器战斗时，你可以将相应属性调整值加到第二次攻击的伤害上</t>
  </si>
  <si>
    <t>无甲移动</t>
  </si>
  <si>
    <t>第2级起，当未穿着任何护甲也没持用盾牌时，你的移动速度增加10尺。该加值将随着武僧职业等级的提升而增加，具体数值见“武僧职业表”中“无甲移动”一栏
第9级起，你在自己的回合内，可以在垂直平面或水面等地形移动，但移动结束时你必须处在不会坠落的地方</t>
  </si>
  <si>
    <t>直觉闪避</t>
  </si>
  <si>
    <t>第5级起，当一个你能看见的敌人攻击命中你时，你可以用反应让此次攻击的伤害减半</t>
  </si>
  <si>
    <t>术法起源</t>
  </si>
  <si>
    <t>第1级时，你选择一个术法起源作为你天赋魔力的源泉。随后，你将在第1、第6、第14和第18级获得所选起源的相应特性</t>
  </si>
  <si>
    <t>法器-邪术师</t>
  </si>
  <si>
    <t>你可以使用奥术法器作为施展邪术师法术的法器</t>
  </si>
  <si>
    <t>法术的准备与施展-法师</t>
  </si>
  <si>
    <t>“法师职业表”里记录了你用以施展法师法术的一环及更高环阶法术位数量。施展某个法师法术时，你必须同时消耗其对应环阶的法术位。已消耗的法术位可在完成长休后恢复
你可以准备法师法术列表中所有符合当前施展条件的法术。准备法术时，你所准备法术的总数等于你的智力调整值＋你的法师职业等级（最少可以准备一个）。另外，你只能准备已经获得相应环阶法术位的法术
你可以在完成长休后改变你的准备法术列表。如需准备新的法师法术，你要再花时间研读你的法术书，并重新记忆所准备法术的咒语和施展动作。准备法术时，法术的每个环阶平均要花费至少1分钟的准备时间</t>
  </si>
  <si>
    <t>仪式施法-奇械师</t>
  </si>
  <si>
    <t>如果你所准备奇械师法术中的某法术有带仪式标签，则你可以用这些法术进行仪式施法</t>
  </si>
  <si>
    <t>快速移动</t>
  </si>
  <si>
    <t>第5级起，你在未着装重甲时速度提升10尺</t>
  </si>
  <si>
    <t>诗人激励</t>
  </si>
  <si>
    <t>第1级起，你可以在自己回合内用一个附赠动作指定身边60尺内一个能听到你声音的生物（不能指定你自身），并使该生物获得一个诗人激励，即一个d6的激励骰
在接下来的10分钟内，该生物在进行单次属性检定、攻击检定、豁免检定时可以使用该激励骰，以将其结果加到掷骰结果中。该生物可以在d20结果掷出后，DM宣布结果前决定是否使用诗人激励。而诗人激励一旦使用即被消耗掉。一个生物同一时间里只能保有一个诗人激励
你能够使用该特性的次数等于你的魅力调整值（最低一次）。完成一次长休后，你将重获所有消耗掉的诗人激励次数
你产生的激励骰大小可以在达到本职业的特定等级时增大。第5级起为d8，第10级起为d10，而第15级起为d12</t>
  </si>
  <si>
    <t>领域法术</t>
  </si>
  <si>
    <t>第1级起，每个领域都有其相应的领域法术列表。当你获得表中所对应的牧师等级时，你将同时习得这些法术。领域法术一旦习得，将会一直在你的准备法术列表中，且不计入你的每日准备法术上限
任何领域法术对你而言都是牧师法术，而不论其是否在牧师法术列表之上</t>
  </si>
  <si>
    <t>荒野形态</t>
  </si>
  <si>
    <t>第2级起，你可以用动作以魔力变化为曾见识过的野兽形态。该特性可以使用两次，且在完成一次短休或长休后，你将重新获得所有消耗掉的荒野形态次数
你的德鲁伊职业等级决定了你可以变化的野兽种类，你可以变化成任意没有飞行或游泳速度且挑战等级为¼或更低的野兽形态。第4级起可以变化成任意没有飞行速度且挑战等级为½或更低的野兽形态。第8级起你可以变化成任意挑战等级为1或更低的野兽形态
你可以在数个小时里保持着野兽形态，其持续时间具体数值等于你的德鲁伊职业等级的一半（向下取整）。你可以在持续时间过后恢复原形，或者你也可以再次使用此特性来维持变形。另外，你也可以在你的回合内用一个附赠动作来恢复原形。在你陷入昏迷、生命值为0或者死亡的时候，变形将自动解除
你变形时必须遵从以下规则：
你的属性数据替换为新形态的数值，但你仍保持你的阵营、个性，以及智力值、感知值、魅力值。你保留技能与豁免的熟练项，并且获得新形态的技能和豁免熟练项。如果新形态的熟练项与你相同且熟练加值较高，则使用新形态的熟练加值。你不能使用新形态可能拥有的传奇动作或巢穴动作
变形后，你使用新形态的生命值和生命骰。变回原形时，你的生命值恢复变形之前的数值。而任何让你的生命值降至0的伤害，都可以使你变回原形并承受该伤害的溢出伤害量。例如，你在动物形态下受到了10点伤害而你只剩1点生命值，则你变回原形并受到9点伤害。只要超过的伤害没有将你原形的生命值降至0，你就不会因此陷入昏迷
你不能施法，并且任何说话或者需要用手的动作，在你处于野兽形态时都将受到限制。变形不会打断你正在专注的法术，也不会妨碍你执行作为已施展法术一部分的某些动作
你保持从职业、种族或其它来源特性的收益，并且可以在新形态身体能力允许下使用这些特性。不过，你无法使用任何原有的特殊感官，除非你的新形态也具有这种感官
变形时，你可以选择将你的装备丢在所处空间，或者将其融入新形态，又或者直接着装在身上。新形态直接着装的装备可以如常起作用，但DM有权基于新形态的体型和身姿作出判断，并最终决定新形态使用该装备是否合理。装备不会改变大小来适应新形态，新形态无法着装某装备时，该装备会掉落你所处空间或融入新形态中。融入新形态的装备失去其效应，且在你变回原形时才能恢复</t>
  </si>
  <si>
    <t>你获得10尺盲视。在10尺范围内，你可以看见除了处于全遮掩后的任何东西，哪怕你正在被目盲或是在黑暗之中。另外，你可以看见该范围内的未对你成功躲藏的隐形生物</t>
  </si>
  <si>
    <t>第2级起，每当你完成短休或长休时，可以碰触一件武器，将气集中在它之中，然后该武器就视为武僧武器，直到你再次使用这个能力
所选武器必须符合以下标准：
武器必须是简易武器或军用武器
你必须拥有其熟练项
不能拥有重型或特殊属性</t>
  </si>
  <si>
    <t>你从牧师法术列表中选择两种戏法习得。这些戏法对你来说是圣武士法术，这些戏法的施法关键属性是魅力。当你提升此职业的等级时，你能够将一个已知戏法替换为牧师法术列表中的另一个戏法</t>
  </si>
  <si>
    <t>反射闪避</t>
  </si>
  <si>
    <t>第7级起，你在成为某一范围效应影响对象时，若该效应允许你通过成功的敏捷豁免来使伤害减半，则你在该豁免成功时不受伤害，而豁免失败时只受一半伤害</t>
  </si>
  <si>
    <t>魔力泉涌</t>
  </si>
  <si>
    <t>第2级起，你体内涌现的魔力体现为你的可用术法点。你可以使用术法点创造各种魔法效应</t>
  </si>
  <si>
    <t>魔能祈唤</t>
  </si>
  <si>
    <t>第2级时，你获得两种自选的魔能祈唤。在获得更高的邪术师等级后你还可以习得其它的魔能祈唤，具体数据见“邪术师职业表”中“已知祈唤”一栏
另外，你提升邪术师职业等级时，可以用新的祈唤替换一个已学会的祈唤，但你的角色必须满足学习新祈唤的先决条件</t>
  </si>
  <si>
    <t>施法关键属性-法师</t>
  </si>
  <si>
    <t>当你的法师法术需要施法关键属性时均指向你的智力值。而你法师法术的豁免DC和攻击检定，则使用你的智力调整值
法术豁免DC＝8＋你的熟练加值＋你的智力调整值
法术攻击调整值＝你的熟练加值＋你的智力调整值</t>
  </si>
  <si>
    <t>物品注法</t>
  </si>
  <si>
    <t>第2级起，每当你完成一个长休后，你可以触摸一个非魔法的物体，使用奇械师注法来把它变成一个魔法物品。注法只能作用于注法描述中写明的指定类型物品。如果该物品需要调谐，你可以在为物品进行注法的那一刻调谐到它，或者你可以放弃调谐，以便其他人能够调谐到该物品。如果你决定以后与这个物品进行调谐，你必须进行通常的调谐程序
你的注法持续时间无限，但当你死亡时，注法会在你智力调整值的天数后消失（至少1天）。如果你将某个注法从已知中替换掉，该注法的效果也将消失
你能在一次长休后为复数物品进行注法；具体数据见“奇械师职业表”中“注法数量上限”一栏。你必须触摸每一个物体，且一种注法在同一时间内只能存在于一个物品上。如果你试图超过你的最大注法量，则最旧的注法立即结束，然后新的注法适用</t>
  </si>
  <si>
    <t>第7级起，你骰先攻时具有优势
此外，如果你在战斗开始时被突袭但并未陷入失能，则你仍可以在你的第一回合正常行动。不过你必须在进行任何其它行动前进入狂暴</t>
  </si>
  <si>
    <t>万事通</t>
  </si>
  <si>
    <t>第2级起，在你进行属性检定时，如果检定结果不包含你的熟练加值，则你可以将自身熟练加值的一半（向下取整）加入到检定结果中</t>
  </si>
  <si>
    <t>引导神力</t>
  </si>
  <si>
    <t>第2级时，你获得引导神祇所授予神圣能量的能力，所引导的能量将用以实现各种魔法效应。你最初将获得两种效应：驱散不死生物和另一个与你所选领域相关的效应。随着你在冒险中提升等级，某些领域会赋予更多额外的效应，具体信息可以参考相应领域的描述内容
引导神力最终产生的效应由你自行选择。引导神力后，你必须完成一次长休或短休才能再次使用该特性
第6级起，你可以在两次休息之间使用两次引导神力，第18级起可以使用三次。完成一次短休或长休后，你将重新获得所有消耗掉的引导神力次数</t>
  </si>
  <si>
    <t>德鲁伊结社</t>
  </si>
  <si>
    <t>第2级时，你将选择参与一个德鲁伊结社。随后，你将在第2、第6、第10、第14级时获得所选结社的相应特性</t>
  </si>
  <si>
    <t>当一个你可见的生物攻击距离你5尺以内你以外的目标时，你能以一个反应将目标受到的伤害减少1d10+你熟练加值（最多减到0伤害）。当你手持一面盾牌或者一把简单或军用武器时才能执行此反应</t>
  </si>
  <si>
    <t>宗派</t>
  </si>
  <si>
    <t>第3级时，你选择投入一个宗派精进你的技艺。随后，你将在第3、第6、第11、第17级时获得所选宗派的相应特性</t>
  </si>
  <si>
    <t>你获得10尺盲视。在此范围内，你视为能看见任何未被完全遮蔽的事物，即便你目盲或在黑暗光照下。此外，你也可以看见范围内的隐形生物，除非其针对你进行隐匿并成功</t>
  </si>
  <si>
    <t>可靠才能</t>
  </si>
  <si>
    <t>第11级起，每当你进行的属性检定可以使用熟练加值时，你可以将d20骰中10以下的结果都视为10</t>
  </si>
  <si>
    <t>术法点</t>
  </si>
  <si>
    <t>第2级起，你拥有2个术法点。此后你每提升一个术士等级，都会获得更多的术法点，详见“术士职业表”中“术法点”一栏。你的术法点永远不能超过表中所列对应你当前等级的数值。而已消耗的术法点则可以通过完成一次长休进行恢复</t>
  </si>
  <si>
    <t>施展魔能爆时，你可以将魅力调整值加到其每次命中所造成的伤害中
先决条件：习得戏法魔能爆</t>
  </si>
  <si>
    <t>仪式施法-法师</t>
  </si>
  <si>
    <t>如果你法术书中所记录的某法术有带仪式标签，则你可以用这些法术进行仪式施法。进行仪式施法时，你不需要准备相应的法术</t>
  </si>
  <si>
    <t>已知注法</t>
  </si>
  <si>
    <t>第2级时，你获得四种自选的奇械师注法。在获得更高的奇械师等级后你还可以习得其它的奇械师，具体数据见“奇械师职业表”中“已知注法”一栏
另外，你提升奇械师职业等级时，可以用新的注法替换一个已学会的注法，但你的角色必须满足学习新注法的先决条件
除非注法的描述中写明，否则你无法重复学习同一个注法</t>
  </si>
  <si>
    <t>第7级起，作为你进入狂暴状态的附赠动作的一部分，你可以移动一段距离。这段距离长度是你速度的一半</t>
  </si>
  <si>
    <t>休憩曲</t>
  </si>
  <si>
    <t>第2级起，如果你或任何友方生物可以在其短休时听到你的演奏声，且决定在此时使用生命骰恢复生命值，则其恢复量可以额外增加1d6
该额外恢复的数值在达到特定职业等级时可以再增加。第9级起增为1d8，第13级起增为1d10，第17级起增为1d12</t>
  </si>
  <si>
    <t>引导神力-驱散不死生物</t>
  </si>
  <si>
    <t>第2级起，你以一个动作展示你的圣徽，并说出一段谴责不死生物的祷言。你身边30尺范围内能够看到圣徽或听到你祷言的不死生物必须进行一次感知豁免，豁免失败则受到驱散，其效应持续1分钟或直到其受到任何伤害
一个被驱散的生物必须花费其回合内的所有速度尽力远离你，而且无法主动靠近你30尺内。被驱散的生物无法使用反应，只能使用既有的疾走动作或从任何妨碍他们移动的效应中挣脱。该生物无路可走时会使用“回避”动作
豁免DC等于你的牧师法术豁免DC</t>
  </si>
  <si>
    <t>第2级起，以一个动作，你能够消耗一次荒野变形使用次数来施放一次无需材料的获得魔宠法术
当你以此方法施放该法术时，魔宠的类型是精类而不是野兽，魔宠会在等同于你德鲁伊等级一半的小时数后消失</t>
  </si>
  <si>
    <t>你从战斗大师武术范型的战技列表中习得一项战技。如果该战技需要豁免，则豁免DC为8+你的熟练加值+你的力量或敏捷调整值（由你选择）。
你获得一个d6的卓越骰（此卓越骰与任何你能够其他方式获得的卓越骰累计）。此卓越骰可用于启动你的战技。卓越骰一经使用即消耗，并在完成一次短休或长休后恢复</t>
  </si>
  <si>
    <t>拨挡飞弹</t>
  </si>
  <si>
    <t>第3级起，你可以用你的反应拨挡或抓取一个击中你的远程武器攻击。使用本特性后，该次攻击的伤害将被削弱，其减数值等于1d10+你的敏捷调整值+你的武僧职业等级
当被拨挡攻击的伤害减少至0，且实施伤害的飞弹可以被你单手抓住时，你可以用此时空闲的手去抓取该飞弹。此时你可以消耗1点气以该“飞弹”进行一次远程攻击，而该攻击将视为本次反应的一部分。无论你是否具有被拨挡武器的熟练项，本次攻击中你都视为进行具有熟练项的攻击，所使用的飞弹也视为武僧武器，其射程为20/60尺</t>
  </si>
  <si>
    <t>当一个你可见的生物攻击并击中了你5尺内一个你以外的生物时，你可以用反应减少该目标受到的伤害，减少数值为1d10+你的熟练加值。你必须正在持用一面盾牌或一把简单武器或军用武器才能使用此能力</t>
  </si>
  <si>
    <t>你获得10尺盲视。在10尺范围内，你可以看见除了处于全遮掩后的任何东西，哪怕你正在被目盲或是在黑暗之中。另外，你可以看见该范围内的隐形生物，除非该生物成功地对你躲藏</t>
  </si>
  <si>
    <t>听声辨位</t>
  </si>
  <si>
    <t>第14级起，只要能听到声音，你就可以定位身边10尺内躲藏或隐形的生物</t>
  </si>
  <si>
    <t>灵活施法</t>
  </si>
  <si>
    <t>第2级起，你可以使用术法点来获得额外的法术位，或是消耗法术位来换取额外的术法点。随着术士等级的提升，你还可以学会其他术法点的使用方法</t>
  </si>
  <si>
    <t>你可以随意以自身为目标施展法师护甲，且无需消耗法术位和材料成分</t>
  </si>
  <si>
    <t>法器-法师</t>
  </si>
  <si>
    <t>你可以用奥术法器作为你施展法师法术的法器</t>
  </si>
  <si>
    <t>物品：一根权杖、法杖或是魔杖（需调谐）
当持续此物品时，持有者的法术攻击检定获得+1加值，同时在进行法术法术攻击时无视半身掩护
10级起，该加值变成+2</t>
  </si>
  <si>
    <t>凶蛮重击</t>
  </si>
  <si>
    <t>第9级起，计算近战攻击的重击伤害时，你可以额外骰一个所用武器的伤害骰
第13级起，你可以额外骰两个；第17级时，你可以额外骰三个</t>
  </si>
  <si>
    <t>第2级起，如果一个生物拥有来自你的诗人激励骰子，在他释放一个恢复生命值或者造成伤害的法术时，他可以掷出激励骰子并选择法术的其中一个被法术影响的目标，在对该目标的恢复或者伤害数值上加上诗人激励骰的掷骰结果。这个诗人激励骰子随即被消耗</t>
  </si>
  <si>
    <t>第2级起，你可以花费一次你的引导神力次数来充能你的法术。你可以用一个附赠动作触碰你的圣徽并祈祷，你恢复一个环阶不超过你熟练加值的一半（向上取整）的法术位。你能使用此特性的次数取决于你此职业的等级：2级一次；6级两次；18级三次。完成一次长休后，你将恢复所有已消耗的次数</t>
  </si>
  <si>
    <t>第4级起，当你的德鲁伊职业等级抵达能让你获得属性值提升时，你可以将一个你通过此职业的施法特性学会的德鲁伊戏法替换为德鲁伊法术列表中的另一个戏法</t>
  </si>
  <si>
    <t>你可以在使用一件带有投掷属性武器进行进攻时，将那件武器作为攻击的一部分而拔出。另外，在你以一件投掷武器于远程攻击中命中对手时，你的伤害掷骰+2</t>
  </si>
  <si>
    <t>第3级起，如果你在你的回合中执行动作时花费了1点或更多的气，则你可以在回合结束前用1附赠动作以徒手打击或武僧武器进行一次攻击</t>
  </si>
  <si>
    <t>施法-圣武士</t>
  </si>
  <si>
    <t>你学会通过冥想与祈祷引导神圣魔法，其原理与牧师相仿</t>
  </si>
  <si>
    <t>你学会两个来自德鲁伊法术列表的你自选的戏法。它们对你视作游侠法术，感知是你施展他们的施法关键属性。当你升级时，你可以将其中一个戏法替换为德鲁伊法术列表中的另一个戏法</t>
  </si>
  <si>
    <t>圆滑心智</t>
  </si>
  <si>
    <t>第15级起，你获得感知豁免的熟练项</t>
  </si>
  <si>
    <t>生成法术位</t>
  </si>
  <si>
    <t>第2级起，你可以在自己回合内以附赠动作将未使用的术法点转换为法术位。另外，你无法生成高于五环的法术位。以此方式生成的法术位将在完成一次长休后消散
一环法术位需要2术法点，二环法术位需要3术法点，三环法术位需要5术法点，四环法术位需要6术法点，五环法术位需要7术法点</t>
  </si>
  <si>
    <t>你可以随意以自身为目标施展动物交谈，且无需消耗法术位和材料成分</t>
  </si>
  <si>
    <t>学习法术</t>
  </si>
  <si>
    <t>你每提升一个法师等级，可以将两项自选的法师法术加入你的法术书中。但是，你只能加入已经获得相应环阶法术位的法术。你在冒险过程中所发现的法术也可以加入到法术书中</t>
  </si>
  <si>
    <t>物品：一套盔甲或一面盾牌
穿着该盔甲或挥舞该盾牌的生物在AC上获得+1加值
10级起，该加值变成+2</t>
  </si>
  <si>
    <t>坚韧狂暴</t>
  </si>
  <si>
    <t>第11级起，如果你的生命值降至0但并未立即死亡，则你可以进行一次DC10的体质豁免。豁免成功则改为你的生命值降至1
第一次使用此特性后，每当你再次使用此特性时其体质豁免DC提高5。在你完成一次短休或长休后其DC重置为10</t>
  </si>
  <si>
    <t>吟游诗人学院</t>
  </si>
  <si>
    <t>第3级时，你将选择加入一个吟游诗人的学院协会，以探寻更精深的技艺。随后，你将在第3、第6、第14级时获得所选学院的相应特性</t>
  </si>
  <si>
    <t>第4级起，当你的牧师职业等级抵达能让你获得属性值提升时，你可以将一个你通过此职业的施法特性学会的牧师戏法替换为牧师法术列表中的另一个戏法</t>
  </si>
  <si>
    <t>不朽身-德鲁伊</t>
  </si>
  <si>
    <t>第18级起，每经过10年的岁月，你的身体就仿佛只过了1年</t>
  </si>
  <si>
    <t>你的徒手打击可以造成1d6+你力量调整值的钝击伤害，如果你没有手持任何武器或盾牌进行攻击，伤害骰从d6变成d8
每个你的回合开始时，你可以对被你擒抱的生物造成1d4钝击伤害</t>
  </si>
  <si>
    <t>轻身坠</t>
  </si>
  <si>
    <t>第4级起，当你要承受坠地伤害时，你可以使用反应将伤害减少等同于五倍武僧职业等级的数值</t>
  </si>
  <si>
    <t>法术的准备与施展-圣骑士</t>
  </si>
  <si>
    <t>“圣武士职业表”里记录了你用以施展圣武士法术的1环及更高环阶法术位数量。施展某个圣武士法术时，你必须同时消耗其对应环阶的法术位。已消耗的法术位可在完成长休后恢复
你可以准备圣武士法术列表中所有符合当前施展条件的法术。准备法术时，你所准备法术的总数等于你的魅力调整值＋你的圣武士职业等级的一半（最少可以准备一个）。另外，你只能准备已经获得相应环阶法术位的法术
你可以在完成长休后改变你的准备法术列表。准备新的圣武士法术列表时，你要再花时间进行祈祷和冥想。准备时，你要为你列表上每个法术的每个环阶都花费至少1分钟时间</t>
  </si>
  <si>
    <t>飘忽不定</t>
  </si>
  <si>
    <t>第18级起，除非你处于失能状态，否则以你为目标的攻击检定无法取得优势</t>
  </si>
  <si>
    <t>法术位转换术法点</t>
  </si>
  <si>
    <t>第2级起，你可以在自己回合内使用附赠动作将未使用的法术位转化为术法点。你消耗一枚法术位并获得等于该法术位环阶的术法点
所有你以该特性生成的法术位，在你完成一次长休后也将随之消失</t>
  </si>
  <si>
    <t>你获得欺瞒和游说技能的技能熟练项</t>
  </si>
  <si>
    <t>奥术回想</t>
  </si>
  <si>
    <t>第1级起，你可以每日使用一次奥术回想，以在你完成一次短休后恢复若干已消耗的法术位，所恢复的法术位环阶总和不得大于你法师等级的一半（向上取整），且任何一枚法术位的环阶都必须小于6环</t>
  </si>
  <si>
    <t>物品：一把简易或军用武器
该魔法武器在攻击和伤害检定中具有+1加值
10级起，该加值变成+2</t>
  </si>
  <si>
    <t>死亡领域</t>
  </si>
  <si>
    <t>持久狂暴</t>
  </si>
  <si>
    <t>第15级起，只有当你昏迷或是主动终止狂暴时才能使之提前结束</t>
  </si>
  <si>
    <t>专精-吟游诗人</t>
  </si>
  <si>
    <t>第3级时，你选择两个已有的技能熟练项。此后你进行所选技能的属性检定时，可以使用双倍的熟练加值
第10级起，你可以再选择另外两个已有的技能熟练项从该特性中获益</t>
  </si>
  <si>
    <t>摧毁不死生物</t>
  </si>
  <si>
    <t>第5级起，当不死生物进行对抗你驱散特性的豁免失败时，如果其挑战等级等于或低于一个既定的下限，则该不死生物将被即时摧毁
第5级起：½或更低
第8级起：1或更低
第11级起：2或更低
第14级起：3或更低
第17级起：4或更低</t>
  </si>
  <si>
    <t>野兽施法</t>
  </si>
  <si>
    <t>第18级起，你在荒野变形状态下可以施展大部分的德鲁伊法术。在野兽形态时，你可以完成德鲁伊法术的姿势与语言成分，但无法完成其材料成分的使用</t>
  </si>
  <si>
    <t>回气</t>
  </si>
  <si>
    <t>第1级起，可以在自己回合内用一个附赠动作恢复生命值，其总值为1d10＋你的战士职业等级。你必须完成一次长休或短休才能再次使用该特性</t>
  </si>
  <si>
    <t>第4级起，以一个动作，你能消耗2点气并且投掷一粒武艺骰，你恢复等同于掷骰结果加上你的熟练加值的生命值</t>
  </si>
  <si>
    <t>施法关键属性-圣武士</t>
  </si>
  <si>
    <t>当你的圣武士法术需要施法关键属性时均指向你的魅力值。而你圣武士法术的豁免DC和攻击检定，则使用你的魅力调整值
法术豁免DC＝8＋你的熟练加值＋你的魅力调整值
法术攻击调整值＝你的熟练加值＋你的魅力调整值</t>
  </si>
  <si>
    <t>施法-游侠</t>
  </si>
  <si>
    <t>你学会运用自然世界的魔法本源进行施法，你的施法方式与德鲁伊类似</t>
  </si>
  <si>
    <t>幸运一击</t>
  </si>
  <si>
    <t>第20级时，当你的攻击未命中时，可以直接更改判定为命中。或者，当你的属性检定失败时，可以直接将d20骰的结果视为20
你必须完成一次长休或短休才能再次使用该特性</t>
  </si>
  <si>
    <t>超魔法</t>
  </si>
  <si>
    <t>第3级起，你可以扭曲所施展的法术使其符合你的需求。从超魔法选项中选择其二。随后你将在第10和第17级分别再获得其一
除非特别说明，否则对一个法术只能应用一种超魔法项</t>
  </si>
  <si>
    <t>你在黑暗中拥有120尺的可视距离，而无论其属于魔法黑暗还是非魔法黑暗</t>
  </si>
  <si>
    <t>奥术传承</t>
  </si>
  <si>
    <t>第2级时，你选择一种奥术传承以使你的训练专注。随后，你将在第2、第6、第10和第14级获得所选传承的相应特性</t>
  </si>
  <si>
    <t>物品：一颗价值至少100gp的宝石或水晶
你在注法中使用的物品变成人工生命的心脏，而它的身体会立即围绕心脏成型
你能够决定人工生命的外观
人工生命对你和你的同伴都十分友善，且服从你的命令。人工生命的游戏数据见下，它的数据中某几项会适用你的熟练加值
在战斗中，人工生命使用你的先攻，并且在你的回合后立即行动。它能自由移动和执行反应，但除非你以一个附赠动作命令它进行数据中列出的动作或其他动作，否则它在回合中只能进行闪避动作。如果你失能，人工生命可以进行任何动作，而不仅仅是闪避
如果你对人工生命施放修复术，它将恢复2d6生命值。如果你或人工生命死亡，它将消失，只有心脏会留在它之前占据的地方
人工生命仆从
微型构装体
护甲等级：13(天生护甲)
生命值：1+你的智力调整值+5×你的奇械师等级（野兽具有你奇械师等级数量的生命骰[d4]）
速度：20尺速度，30尺飞行速度
力量4（-3）
敏捷15（+2）
体质12（+1）
智力10（+0）
感知10（+0）
魅力7（-2）
豁免：敏捷：2+熟练加值
技能：察觉：2×熟练加值；隐匿：2+熟练加值
伤害免疫：毒素
状态免疫：力竭、中毒
感官能力：60尺黑暗视觉，被动察觉10+2×熟练加值
语言能力：能听懂你所说的语言
熟练加值：与你等同
反射闪避：当需要通过敏捷豁免来使伤害减半时，若豁免成功则不受伤害，豁免失败则伤害减半。此特性在失能时无效
动作：
力场冲击：远程武器攻击：使用你的法术攻击调整值，射程30尺，可以攻击你能看到的单一目标，造成1d4+熟练加值的力场伤害
反应：
传递法术：当你施展施法距离为触及的法术时，只要人工生命距离你120尺内，它就能替你传递该法术</t>
  </si>
  <si>
    <t>奥秘领域</t>
  </si>
  <si>
    <t>不屈勇武</t>
  </si>
  <si>
    <t>第18级起，你进行力量检定的总值低于你的力量值时，可以直接使用力量值作为检定结果</t>
  </si>
  <si>
    <t>第4级起，当你的吟游诗人职业等级抵达能让你获得属性值提升时，你能进行以下一项改变
1．替换一个你已经选择专精的技能，你可以选择专精于另一个你已经有熟练但还没有专精的技能。之后，你原先专精于的技能变回熟练而非专精
2．从诗人戏法列表表中选择一个你未习得的戏法，替换一个你已经习得的戏法</t>
  </si>
  <si>
    <t>第8级起，替代神圣打击或强力施法，当你通过戏法或武器攻击来伤害一个生物时，你能够对该生物造成额外1d8光耀伤害。当你造成一次此伤害后，你直到自己的下一个回合开始前无法再次使用此特性</t>
  </si>
  <si>
    <t>大德鲁伊</t>
  </si>
  <si>
    <t>第20级时，你可以无限次的使用荒野变形
另外，你还可以将德鲁伊法术中的姿势和语言成分，以及非无价值且不被法术消耗的材料成分忽略。你在原形态和荒野形态下都可以从此特性获益</t>
  </si>
  <si>
    <t>动作如潮</t>
  </si>
  <si>
    <t>第2级起，你可以在自己回合内执行一个额外的动作
你必须完成一次长休或短休才能再次使用该特性
第17级起，你可在休息前使用两次该特性，但每一回合只能使用一次</t>
  </si>
  <si>
    <t>第5级起，你在自己回合内执行攻击动作时可以发动两次攻击而非一次</t>
  </si>
  <si>
    <t>法器-圣战士</t>
  </si>
  <si>
    <t>你可以使用圣徽作为施展圣武士法术的法器</t>
  </si>
  <si>
    <t>法术位-游侠</t>
  </si>
  <si>
    <t>“游侠职业表”中记录了你可用以施展你游侠法术的1环及更高环阶法术位数量。施展某个游侠法术时，你必须同时消耗其对应环阶的法术位。已消耗的法术位可在完成长休后恢复</t>
  </si>
  <si>
    <t>快手</t>
  </si>
  <si>
    <t>第3级起，你可以使用从“灵巧动作”特性中得到的附赠动作来进行一次敏捷（巧手）检定，或是以该附赠动作使用盗贼工具来解除陷阱、撬锁，或执行“使用物件”动作</t>
  </si>
  <si>
    <t>施展一个让其他生物进行豁免的法术时，你可以让其中一些生物免受法术的全额威力。实现该效应需要你使用1术法点，并指定一定数量的目标生物，其最大数量等于你的魅力调整值（至少为1）。而被指定的生物将直接成功通过法术的豁免检定</t>
  </si>
  <si>
    <t>你可以随意施展法术侦测魔法，且无需消耗法术位</t>
  </si>
  <si>
    <t>第3级起，每当你完成一次长休，你可以查阅法术书中所记的奥法公式，以将你的一个已知法师戏法替换为另一个来自法师法术列表的戏法</t>
  </si>
  <si>
    <t>物品：一把具有弹药特性的简单或军用武器（需调谐）
此魔法武器在远程攻击的攻击和伤害检定上获得+1加值，并且无视装填特性（如有）。
此武器不需要弹药；除非你手动为它装填弹药，否则每次你以它远程攻击时，它会魔法地创造一根子弹。此武器创造的弹药在击中或失误之后立即消失</t>
  </si>
  <si>
    <t>锻造领域</t>
  </si>
  <si>
    <t>原初斗士</t>
  </si>
  <si>
    <t>第20级时，你的力量和体质各提升4。并且你这两项属性的上限变为24</t>
  </si>
  <si>
    <t>激励之源</t>
  </si>
  <si>
    <t>第5级起，你可以在完成短休或长休后恢复你已消耗的诗人激励次数</t>
  </si>
  <si>
    <t>神圣干预</t>
  </si>
  <si>
    <t>第10级起，你可以用一个动作来请求所信仰神祇的帮助。描述你所需要的帮助，然后掷d100。如果你的结果等于或者小于你的牧师等级，你将得到神祇的回应。回应的结果由DM作出选择；此时通常请求任何牧师法术或者领域法术的效应都在可接受范围内
如果你的神祇回应了请求，你在此后的7日内无法再次使用该特性；否则你可以在完成长休后再次使用该特性。
第20级时，你的呼唤将自动得到神祇的回应，无需再掷d100</t>
  </si>
  <si>
    <t>附赠戏法-德鲁伊</t>
  </si>
  <si>
    <t>第2级时，你学会一个额外的德鲁伊戏法</t>
  </si>
  <si>
    <t>武术范型</t>
  </si>
  <si>
    <t>第3级时，你选择一种范型以体现你的战斗风格和技巧。随后，你将在第3、第7、第10、第15、第18级时获得所选范型的相应特性</t>
  </si>
  <si>
    <t>震慑拳</t>
  </si>
  <si>
    <t>第5级起，你的近战武器攻击命中时，可以消耗1点气尝试发动震慑拳。被命中目标必须进行一次体质豁免，豁免失败则受到震慑，并持续至你的下一回合结束
豁免DC＝8+你的熟练加值+你的感知调整值</t>
  </si>
  <si>
    <t>至圣斩</t>
  </si>
  <si>
    <t>第2级起，你使用近战武器攻击命中一个生物时，可以消耗一枚法术位，并对目标造成除武器伤害外附加的光耀伤害。额外伤害的数值为1环法术位时的2d8，以及更高法术位时每比1环高一环就外加1d8，其最高值为5d8。如果目标是不死生物或邪魔，则该伤害将再额外增加1d8，至高提升至6d8</t>
  </si>
  <si>
    <t>已知法术-游侠</t>
  </si>
  <si>
    <t>你从游侠法术列表中选择两个1环法术作为已知法术
“游侠职业表”中“已知法术”一栏记录了你获得更多已知法术时的相应等级。但是，你只能获取已有相应环阶法术位的法术
另外，你每提升一个游侠等级，可以从游侠法术列表中选择一个新法术来代替一个已知法术列表中的旧法术，不过你必须已有新法术的相应环阶法术位</t>
  </si>
  <si>
    <t>梁上君子</t>
  </si>
  <si>
    <t>第3级起，你攀爬不再消耗额外的移动力
此外，当你做一个有助跑的跳远时，跳远距离增加一定的尺数，其数值等于你的敏捷调整值</t>
  </si>
  <si>
    <t>施展一个施法距离不小于5尺的法术时，你可以使用1术法点使该法术的施法距离翻倍
施展一个施法距离为触及的法术时，你可以使用1术法点将法术的施法距离改为30尺</t>
  </si>
  <si>
    <t>施展魔能爆时，射程变为300尺
先决条件：习得戏法魔能爆</t>
  </si>
  <si>
    <t>法术精通</t>
  </si>
  <si>
    <t>第18级起，选择你法术书中的一项1环法师法术和一项2环法师法术，此后只要你准备了它们，就可以随意施展其最低环阶版本，且无需消耗法术位。你也可以消耗法术位来施展其更高环阶版本
通过8小时的研习，你可以将这两项法术中的任一项替换为同环阶的其他法术</t>
  </si>
  <si>
    <t>使用此注法，你能够复制一个特定的魔法物品。你能够多次学习此注法；每次这样做时，你需要从可复制魔法物品表中选择一个不同的魔法物品。如果表格的标题中有一个等级，那么你必须到达该等级才能在这个表格中选择一个魔法物品。另外，你也可以选择一个游戏中存在且并非卷轴或药水的普通级魔法物品
在表格中，物品的条目会告诉你该项目是否需要调谐。有关该物品的更多信息，包括制作该物品所需的物品类型，请参阅《地下城主指南》中的物品描述</t>
  </si>
  <si>
    <t>坟墓领域</t>
  </si>
  <si>
    <t>狂怒</t>
  </si>
  <si>
    <t>第3级起，你可以在狂暴时进入狂怒。使用此特性时，你可以在本回合之后狂暴持续时间内的每个回合里，以一个附赠动作发动一次近战武器攻击。而当狂暴终止时，你将提升一级力竭</t>
  </si>
  <si>
    <t>反迷惑</t>
  </si>
  <si>
    <t>第6级起，你可以使用一个动作开始一场持续至你的下一回合结束的演出。在这段时间内，你与你身边30尺内的友方生物进行对抗恐慌或魅惑效应的豁免检定具有优势。该生物必须能听到你的声音才能获得此增益。这场表演只有当你陷入失能、沉默状态，或主动终止（无需动作）时才会提前结束</t>
  </si>
  <si>
    <t>知识领域法术</t>
  </si>
  <si>
    <t>第1级时：命令术、鉴定术
第3级时：卜筮术、暗示术
第5级时：回避侦测、死者交谈
第7级时：秘法眼、困惑术
第9级时：通晓传奇、探知</t>
  </si>
  <si>
    <t>自然恢复</t>
  </si>
  <si>
    <t>第2级起，完成一次短休后，你可以选择恢复部分已使用的法术位。所恢复法术位环阶的总和等于你德鲁伊职业等级的一半（向下取整），且不能是6环或更高环阶。你在完成一次长休后才能再次使用该特性</t>
  </si>
  <si>
    <t>第4级起，当你的战士职业等级抵达能让你获得属性值提升时，你能进行以下一项改变
1．用一个战士可用的战斗风格替换原有的一个战斗风格
2．如果你通过战技大师范型掌握了战技，你可以将你的一个已知战技替换为一个不同的战技</t>
  </si>
  <si>
    <t>第5级起，当你攻击检定未命中时，你可以花费1到3点气来使该次攻击检定获得加值，每点气的消耗能获得+2加值，这可能会使原本的未命中改为命中</t>
  </si>
  <si>
    <t>神佑</t>
  </si>
  <si>
    <t>第3级起，你体内涌动的神圣魔法使你免疫疾病</t>
  </si>
  <si>
    <t>施法关键属性-游侠</t>
  </si>
  <si>
    <t>当你的游侠法术需要施法关键属性时均指向你的感知值。而你游侠法术的豁免DC和攻击检定，则使用你的感知调整值
法术豁免DC＝8＋你的熟练加值＋你的感知调整值
法术攻击调整值＝你的熟练加值＋你的感知调整值</t>
  </si>
  <si>
    <t>极效潜行</t>
  </si>
  <si>
    <t>第9级起，当回合内移动距离不超过自身速度一半时，你的敏捷（隐匿）检定将获得优势</t>
  </si>
  <si>
    <t>为法术进行伤害掷骰时，你可以使用1术法点重掷其中一定数量的骰子。重掷骰子的最大数等于你的魅力调整值（至少为1），且你必须接受新的结果
强效法术超魔可以与其他超魔法选项合用</t>
  </si>
  <si>
    <t>你可以读懂任何文字</t>
  </si>
  <si>
    <t>招牌法术</t>
  </si>
  <si>
    <t>第20级时，选择你的法术书中的两个3环法师法术，作为你的招牌法术。此后这两个法术将永远视为已准备法术，且不计入你的准备法术数量之中。你可以施展这两个法术的3环版本各一次，且无需消耗法术位。招牌法术使用后，需要完成一次短休或长休才能再次使用
你也可以消耗法术位施展这两个法术的更高环阶版本</t>
  </si>
  <si>
    <t>物品：一把带有投掷属性的简易或军用武器
该魔法武器在攻击和伤害检定中具有+1加值，在使用它进行远程攻击后，它会立即回到持有者的手中</t>
  </si>
  <si>
    <t>秩序领域</t>
  </si>
  <si>
    <t>无我狂暴</t>
  </si>
  <si>
    <t>第6级起，你在狂暴中不会被魅惑或恐慌。如果你开始狂暴时已经陷入魅惑或恐慌，则该效应在你狂暴期间被压制</t>
  </si>
  <si>
    <t>魔法奥秘</t>
  </si>
  <si>
    <t>第10级起，你可以从所有职业的法术列表里选择两个法术加入已知法术中。你所选择的法术必须是你当前等级可以施展的环阶法术或戏法
所选法术对你而言视为吟游诗人法术，且包含在“诗人职业表”上“已知法术”一栏所记录的数量之内
第14和第18级时，你可以分别使用此特性再习得两个任选法术</t>
  </si>
  <si>
    <t>知识祝福</t>
  </si>
  <si>
    <t>第1级时，你学会两门自选语言。你还从以下技能中选择两项加入你的熟练项中：奥秘、历史、自然、宗教
你进行关于所选两项技能的属性检定时，可以加上双倍的熟练加值</t>
  </si>
  <si>
    <t>结社法术</t>
  </si>
  <si>
    <t>第3级起，你根据成为德鲁伊时的所在地学会大地结社法术
结社法术一旦获得，将会一直在你的已准备法术列表中，且不计入你的每日准备法术上限。任何结社法术对你而言都是德鲁伊法术，而不论其是否在德鲁伊法术列表之上</t>
  </si>
  <si>
    <t>额外攻击-战士</t>
  </si>
  <si>
    <t>第5级起，你在自己回合内执行攻击动作时可以发动两次攻击
第11级起，你可以攻击三次；第20级时，可以攻击四次</t>
  </si>
  <si>
    <t>真气驻拳</t>
  </si>
  <si>
    <t>第6级起，攻击对非魔法攻击或伤害具有抗性或免疫的目标时，你的徒手打击视为魔法攻击</t>
  </si>
  <si>
    <t>神圣誓言</t>
  </si>
  <si>
    <t>第3级时，你将立下神圣誓言，并永远与你的圣武士身份同在。随后，你将在第3、第7、第15和第20级获得所选圣誓的相应特性</t>
  </si>
  <si>
    <t>你可以用德鲁伊法器作为你施展游侠法术的法器</t>
  </si>
  <si>
    <t>使用魔法装置</t>
  </si>
  <si>
    <t>第13级起，你在使用魔法物品时，可以忽略所有职业、种族和等级的限制条件</t>
  </si>
  <si>
    <t>施展一个持续时间不短于1分钟的法术时，你可以使用1术法点使法术的持续时间翻倍，但其最终结果不能超过24小时</t>
  </si>
  <si>
    <t>你可以随意施展1环法术虚假生命，且无需消耗法术位和材料成分</t>
  </si>
  <si>
    <t>防护学者</t>
  </si>
  <si>
    <t>第2级起，你向法术书中抄写防护系法术的时间和金钱花费减半</t>
  </si>
  <si>
    <t>物品：一套盔甲（需调谐）
此盔甲拥有6发充能。穿戴者能以下列方式消耗充能：
进行力量检定或力量豁免检定时，你能消耗1发充能来获得等于你智力调整值的加值
当穿着者将被击倒时，以一个反应消耗1发充能，就能避免被击倒
此盔甲在每天的黎明时会恢复1d6发充能</t>
  </si>
  <si>
    <t>和平领域</t>
  </si>
  <si>
    <t>威慑之姿</t>
  </si>
  <si>
    <t>第10级起，你可以用一个动作展示自己的可怖姿态来恐吓他人。指定30尺内一个你能看见的生物。如果该生物能看见你或听见你的声音，则其必须进行一次感知豁免（DC为8＋你的熟练加值＋你的魅力调整值），豁免失败者将因此而陷入恐慌，并持续至你的下回合结束。在接下来的回合里，你可以通过使用动作来延长此效应的持续时间，使之持续至你此后一回合结束。如果该生物在结束其回合时离开你的视线范围，或是离开你60尺外，则此效应提前终止
如果此生物成功通过此豁免，则你在随后的24小时内无法对该生物使用此特性</t>
  </si>
  <si>
    <t>先发激励</t>
  </si>
  <si>
    <t>第20级时，你骰先攻时若没有可用的诗人激励次数，则你获得一次使用次数</t>
  </si>
  <si>
    <t>引导神力-岁月知识</t>
  </si>
  <si>
    <t>第2级起，你可以用一个动作，选定一个技能或工具，并在接下来的10分钟内视为拥有其熟练项</t>
  </si>
  <si>
    <t>第3级时：人类定身术、荆棘丛生
第5级时：雪雨暴、缓慢术
第7级时：行动自如、冰风暴
第9级时：问道自然、寒冰锥</t>
  </si>
  <si>
    <t>不屈</t>
  </si>
  <si>
    <t>第9级起，你可以重掷失败的豁免检定。不过你必须采用重掷的结果。你必须完成一次长休才能再次使用该特性
第13级起，你可以在长休之间使用两次该特性；第17级起，你可以在长休之间使用三次该特性</t>
  </si>
  <si>
    <t>圣誓法术</t>
  </si>
  <si>
    <t>第3级起，每种誓言都有其相应的圣誓法术列表。当你获得表中所对应的圣武士等级时，你将同时习得这些法术。圣誓法术一旦习得，将会一直在你的准备法术列表中，且不计入你的每日准备法术上限
任何圣誓法术对你而言都是圣武士法术，而不论其是否在圣武士法术列表之上</t>
  </si>
  <si>
    <t>游侠范型</t>
  </si>
  <si>
    <t>第3级时，你选择学习一种特定的战斗范型。随后，你将在第3、第7、第11和第15级获得所选范型的相应特性</t>
  </si>
  <si>
    <t>窃盗本能</t>
  </si>
  <si>
    <t>第17级起，战斗的第一轮里，你可以行动两个回合：即你先以自己正常的先攻执行一个回合行动，再以先攻数值减10的数值作为另一先攻额外执行一回合的行动。你不能在遭受突袭时使用该特性</t>
  </si>
  <si>
    <t>施展一个迫使一个生物进行豁免以抵御其效应的法术时，你可以花费3术法点使该法术所有目标中的一个首次进行对抗该法术的豁免时具有劣势</t>
  </si>
  <si>
    <t>你用动作触碰一个自愿的类人生物，并与其建立起感官的连接。连接状态持续到你下回合结束时终止。其间，只要你与该生物还处于同一位面中，就可以用动作继续维持连接，使其持续时间延长至你下回合结束时终止
以所连接生物的感官进行观察时，你将拥有该生物所有的特殊感官收益，但你对于自身所处的环境则视为等同与处于目盲和耳聋状态</t>
  </si>
  <si>
    <t>奥术守御</t>
  </si>
  <si>
    <t>第2级起，你施展一道1环或更高环阶的防护系法术时，可以用该法术的一丝魔力创造一个保护自己的魔法结界，该结界将持续至你完成一次长休。结界的生命值等于你法师等级的两倍＋你的智力调整值。每当你受伤害时，该结界都会替你承受伤害。如果伤害使结界的生命值降至0，则你将承受剩余的伤害
奥术守御的生命值降至0时不再吸收伤害，但其魔法仍然存在。你每次施展1环或更高环阶防护系法术时，结界都能以此恢复两倍于该法术环阶数量的生命值
创造奥术守御后，你必须完成一次长休才能再次创造新的奥术守御</t>
  </si>
  <si>
    <t>物品：一套盔甲或法袍
此物品能够鞭策穿戴者，使其能够重新集中精神。此物品具有4发充能，当穿戴此物品的生物在维持专注法术的一次专注豁免中失败时，能够以一个反应消耗1发充能将结果变为成功
此物品在每天的黎明时会恢复1d4发充能</t>
  </si>
  <si>
    <t>暮光领域</t>
  </si>
  <si>
    <t>报偿</t>
  </si>
  <si>
    <t>第14级起，身边5尺内敌人对你造成伤害时，你可以用反应对该生物发动一次近战武器攻击</t>
  </si>
  <si>
    <t>附赠熟练项-吟游诗人</t>
  </si>
  <si>
    <t>第3级时，你获得三个自选技能的熟练项</t>
  </si>
  <si>
    <t>引导神力-读心</t>
  </si>
  <si>
    <t>第6级起，你可以用一个动作，指定身边60尺内一个你可以看见的生物。该生物必须进行一次感知豁免。豁免成功则你不能对其使用该特性，直至你完成一次长休
如若豁免失败，且其仍身处你周边60尺内，则你可以阅读其表层的思想（最基础的意识，当前情绪的反映以及正活跃的思考内容）。该效应持续1分钟
效应持续期间，你可以用你的动作终止该效应，并同时对其施展一个无需花费法术位的暗示术。而目标对该法术的豁免将直接判定为失败
豁免DC等于你的牧师法术豁免DC</t>
  </si>
  <si>
    <t>第3级时：镜影术、迷踪步
第5级时：水下呼吸、水上行走
第7级时：操控水体、行动自如
第9级时：召唤元素生物、探知</t>
  </si>
  <si>
    <t>精通重击</t>
  </si>
  <si>
    <t>第3级起，你的武器攻击在掷出19或20时即可造成重击</t>
  </si>
  <si>
    <t>心如止水</t>
  </si>
  <si>
    <t>第7级起，你可以用你的动作结束一个正影响你的魅惑或恐慌状态</t>
  </si>
  <si>
    <t>第3级时，你获得引导神祇所授予神圣能量的能力，所引导的能量将用以实现各种魔法效应
引导神力最终产生的效应由你自行选择。引导神力后，你必须完成一次长休或短休才能再次使用该特性</t>
  </si>
  <si>
    <t>第3级起，你可以消耗一枚游侠法术位，并用动作将你的意识集中在身处的区域，感测1里内是否存在以下类型生物（在偏爱地形中时，扩展至6里）：异怪、天界生物、龙、精类生物、邪魔、元素生物和不死生物。所消耗法术位每提高一环阶感测效果持续时间就多加1分钟。另外，该特性并不会知晓生物的位置或数量</t>
  </si>
  <si>
    <t>附赠熟练项-游荡者</t>
  </si>
  <si>
    <t>第3级时，你获得易容工具和制毒者工具的熟练项</t>
  </si>
  <si>
    <t>施展一个施法时间为1动作的法术时，你可以使用2术法点将其施法时间改为1附赠动作</t>
  </si>
  <si>
    <t>你可以随意施展法术易容术，且无需消耗法术位</t>
  </si>
  <si>
    <t>投射守御</t>
  </si>
  <si>
    <t>第6级起，你周边30尺内一个你能看见的生物受到伤害时，你可以用你的反应，以你现有的奥术守御吸收这次伤害。如果这次伤害将结界的生命值降至0，则被保护的目标将承受剩余的伤害值</t>
  </si>
  <si>
    <t>奇械师专业</t>
  </si>
  <si>
    <t>第3级时，你选择自己将成为哪方面的专家。随后，你将在第3、第5、第9和第15级获得所选专业的相应特性</t>
  </si>
  <si>
    <t>团结领域</t>
  </si>
  <si>
    <t>精魄寻者</t>
  </si>
  <si>
    <t>第3级起，你获得以仪式施法方式施展法术野兽知觉和动物交谈的能力</t>
  </si>
  <si>
    <t>语出惊人</t>
  </si>
  <si>
    <t>第3级起，当你身边60尺内一个你能看见的生物进行攻击检定，属性检定或伤害掷骰时，你可以用反应消耗一次诗人激励次数来掷一次激励骰。并在目标的掷骰结果中减去你的激励骰结果。你可以在目标掷出骰子后，DM宣布结果之前决定是否使用该特性。若目标无法听见你的话语或免疫魅惑状态，则目标同样也会免疫该特性</t>
  </si>
  <si>
    <t>第8级起，你施展牧师戏法造成伤害时，可以再加上你的感知调整值</t>
  </si>
  <si>
    <t>第3级时：朦胧术、沉默术
第5级时：造粮术、防护能量伤害
第7级时：枯萎术、幻景
第9级时：疫病虫群、石墙术</t>
  </si>
  <si>
    <t>运动健将</t>
  </si>
  <si>
    <t>第7级起，你可以将一半的熟练加值（向上取整）加在你不包含熟练加值的任何力量、敏捷或体质检定上
另外，当你助跑跳远时，你能跳出的距离增加等同于你力量调整值的尺数</t>
  </si>
  <si>
    <t>百病不侵</t>
  </si>
  <si>
    <t>第10级起，你免疫疾病和毒素</t>
  </si>
  <si>
    <t>第3级起，你可以花费一次你的引导神力次数来充能你的法术。你可以用一个附赠动作触碰你的圣徽并祈祷，你恢复一个环阶不超过你熟练加值的一半（向上取整）的法术位。你能使用此特性的次数取决于你此职业的等级：3级一次；7级两次；15级三次。完成一次长休后，你将恢复所有已消耗的次数</t>
  </si>
  <si>
    <t>第3级起，你学会以下法术，这些法术不占用你的游侠已知法术
第3级时：动物交谈
第5级时：野兽知觉
第9级时：植物交谈
第13级时：生物定位术
第17级时：问道自然
你每天可以施展每个法术一次而不需要消耗法术位，一旦你用这种方式施法，你在完成一次长休前不能再这么做</t>
  </si>
  <si>
    <t>第3级起，你对战斗开始后还没开始过自己回合的生物发动攻击时，所进行的攻击检定具有优势。此外，你攻击命中被突袭的生物时，必定则造成重击</t>
  </si>
  <si>
    <t>施展一个法术时，你可以使用1术法点无视该法术施法必须的语言成分或姿势成分</t>
  </si>
  <si>
    <t>你可以随意施展无声幻影，且无需消耗法术位和材料成分</t>
  </si>
  <si>
    <t>精通防护</t>
  </si>
  <si>
    <t>第10级起，你施展一个需要你在施法过程中进行属性检定的防护系法术时，你可以在进行相应的属性检定时加上你的熟练加值</t>
  </si>
  <si>
    <t>称手工具</t>
  </si>
  <si>
    <t>第3级起，使用盗贼工具或工匠工具，你可以在离你5英尺内的未占据空间中魔法性地制作出一套工匠工具。这一制造需要1小时不间断的工作，可以在短休或长休的过程中进行。这套工具是魔法的产物，但其本身是非魔法的，当你再次使用此特性时，之前制造的工具就会消失</t>
  </si>
  <si>
    <t>力量领域</t>
  </si>
  <si>
    <t>图腾精魄</t>
  </si>
  <si>
    <t>第3级时，选择一个图腾精魄并获得其能力。你必须制造或获取一个象征图腾兽其毛，羽，爪，牙或骨的图腾物件，可以是项链，也可以是其他类似的物件。如果你愿意，你的外貌也会发生些微改变，让人看到时不由得联想起你的图腾精魄</t>
  </si>
  <si>
    <t>额外魔法奥秘</t>
  </si>
  <si>
    <t>第6级起，你从任意职业的法术列表里选择两个法术加入已知法术中。你选择的法术必须是你当前等级可以施展的环阶或戏法。所选法术对你而言视为吟游诗人法术，但不包含在“诗人职业表”上“已知法术”一栏的所记录的数量之内</t>
  </si>
  <si>
    <t>透视过去</t>
  </si>
  <si>
    <t>第17级起，你可以花费至少1分钟冥想，然后将以梦幻阴暗的形式瞥见最近发生的事件。你在维持幻觉的时长分钟数等于你的感知值。而在这段时间里，你必须要如施法般维持专注
物件解读。保持专注于某个物件时，你即可从幻觉中找到其之前的拥有者。1分钟冥想后，你将看到该拥有者如何获得以及如何丢失该物件。以及新近发生的涉及该物体与该拥有者的重大事件。如果对象在近期转交由另一个生物拥有（转交日距施法时的日数必须在等同于你感知值的日数之内），则每个生物你要花费额外1分钟进行冥想，以通过幻觉获得同类的信息
区域解读。你在冥想时看到的景象是身处位置最近发生的事件（某处的房间、街道、地道、空地，或是与之类似的50尺立方空间），可回溯的日数等于你的感知值。每个重要事件的幻象都将额外花费你1分钟的时间。这些重大事件通常涉及强烈的情感，比如战争和背叛、结婚和谋杀、出生和葬礼等。而这其中也可能包含有一些当时看似平凡无奇，眼下却显得至关重要的事情</t>
  </si>
  <si>
    <t>第3级时：树肤术、蛛行术
第5级时：召雷术、植物滋长
第7级时：预言术、行动自如
第9级时：问道自然、树跃术</t>
  </si>
  <si>
    <t>额外战斗风格</t>
  </si>
  <si>
    <t>第10级时，你可以额外选择一个战斗风格</t>
  </si>
  <si>
    <t>天语通</t>
  </si>
  <si>
    <t>第13级起，你能够听懂所有语言，同时掌握至少一门语言的任何生物都能理解你讲的话语</t>
  </si>
  <si>
    <t>第4级起，当你的圣武士职业等级抵达能让你获得属性值提升时，你可以将一个圣武士可用的战斗风格替换原有的一个战斗风格</t>
  </si>
  <si>
    <t>第4级起，当你的游侠职业等级抵达能让你获得属性值提升时，你可以将一个游侠可用的战斗风格替换原有的一个战斗风格</t>
  </si>
  <si>
    <t>专业渗透</t>
  </si>
  <si>
    <t>第9级起，你可以不限次的为自己伪造身份。你必须花费七天和25gp来为身份编造历史、工作和人际关系。不过你不能伪造成已存在的角色
此后，如果你通过易容获取了这个身份，其他生物就相信你是那个人，直至其得到一个显而易见的理由可以否定这个身份</t>
  </si>
  <si>
    <t>施展一个影响单一生物，且施法距离并非自身的法术时，你可以使用等于法术环阶的术法点（戏法消耗1点），并在法术施法距离内再指定另一个目标
以高环阶施展的法术，其升环施法后如果目标变为复数则无法再使用该方式增加其目标
适用该超魔的法术在其当前环阶时不能同时指定多个生物为目标</t>
  </si>
  <si>
    <t>施展魔能爆时，你可以将被命中的生物沿直线往远离你的方向推动至多10尺
先决条件：习得戏法魔能爆</t>
  </si>
  <si>
    <t>法术抗性</t>
  </si>
  <si>
    <t>第14级起，你抵抗法术时进行的豁免检定具有优势
此外，你对法术造成的伤害具有抗性</t>
  </si>
  <si>
    <t>工具专精</t>
  </si>
  <si>
    <t>第6级起，你在使用你熟练的工具时，能够使用双倍的熟练加值</t>
  </si>
  <si>
    <t>野心领域</t>
  </si>
  <si>
    <t>第3级起，狂暴时，你获得对心灵伤害之外任何伤害类型的抗性</t>
  </si>
  <si>
    <t>超凡技艺</t>
  </si>
  <si>
    <t>第14级起，你进行属性检定时，可以花费一次诗人激励次数并掷一次激励骰，然后将结果加到你的属性检定上。你可以在掷完属性检定后，DM宣布结果前决定是否使用此特性</t>
  </si>
  <si>
    <t>生命领域法术</t>
  </si>
  <si>
    <t>第1级时：祝福术、疗伤术
第3级时：次级复原术、灵体武器
第5级时：希望信标、回生术
第7级时：防死结界、信仰守卫
第9级时：群体疗伤术、死者复活</t>
  </si>
  <si>
    <t>第3级时：隐形术、行动无踪
第5级时：昼明术、加速术
第7级时：预言术、行动自如
第9级时：托梦术、疫病虫群</t>
  </si>
  <si>
    <t>高效重击</t>
  </si>
  <si>
    <t>第15级起，你的武器攻击掷出18~20时即可造成重击</t>
  </si>
  <si>
    <t>金刚魂</t>
  </si>
  <si>
    <t>第14级起，你获得所有的豁免检定熟练项
另外，当豁免失败时，你可以消耗1点气重掷豁免并使用重掷的结果</t>
  </si>
  <si>
    <t>第5级起，你在自己回合内执行攻击动作时可以攻击两次</t>
  </si>
  <si>
    <t>冒充者</t>
  </si>
  <si>
    <t>第13级起，你获得准确模仿他人说话，写字和行为的能力。你必须花费至少三小时来学习模仿目标的这三方面行为：听他说话，练习写字并观察其特殊习惯
你伪装手段主要针对那些不细心观察的对象。如果某个机警的生物觉得你有问题，则你此时为避免被识破而进行的所有魅力（欺瞒）检定都具有优势</t>
  </si>
  <si>
    <t>当你因法术进行一次攻击检定并击失时，你可以使用2术法点重投之。你必须使用重投的结果
追踪法术超魔可以与其他超魔法选项合用</t>
  </si>
  <si>
    <t>你可以消耗你的邪术师法术位施展一个灾祸术。你必须完成一次长休才能再次使用该特性</t>
  </si>
  <si>
    <t>咒法学者</t>
  </si>
  <si>
    <t>第2级起，你向法术书中抄写咒法系法术的时间和金钱花费减半</t>
  </si>
  <si>
    <t>物品：一双靴子（需调谐）
一个穿着这双靴子的生物能以一个附赠动作传送到一个该生物可以看到且距离15尺内的未占据空格中。该空格必须被该生物在当前回合中的某个时间点里占据过</t>
  </si>
  <si>
    <t>热忱领域</t>
  </si>
  <si>
    <t>第3级起，狂暴时，如果你未着装重甲，则其他生物在对你进行借机攻击时进行的攻击检定具有劣势</t>
  </si>
  <si>
    <t>第3级时，你获得中甲、盾牌和军用武器的熟练项</t>
  </si>
  <si>
    <t>附赠熟练项-牧师</t>
  </si>
  <si>
    <t>第1级时，你获得重甲的熟练项</t>
  </si>
  <si>
    <t>第3级时：蛛行术、荆棘丛生
第5级时：闪电束、融身入石
第7级时：塑石术、石肤术
第9级时：穿墙术、石墙术</t>
  </si>
  <si>
    <t>生还者</t>
  </si>
  <si>
    <t>第18级时，你每回合开始时如果生命值不到上限的一半，则你恢复一部分生命值，其数值等于5＋你的体质调整值。你生命值为0时不能以此获益</t>
  </si>
  <si>
    <t>不朽身-武僧</t>
  </si>
  <si>
    <t>第15级起，你不受衰老的减益，并且无法被魔法变老。尽管你依然会寿终正寝，但再不需要饮食</t>
  </si>
  <si>
    <t>守护灵光</t>
  </si>
  <si>
    <t>第6级起，你与友方生物在你身边10尺内进行豁免检定时，可以将你的魅力调整值作为加值加在其豁免结果上（至少为+1）。提供该加值时你必须保持意识清醒
第18级起，该灵光的作用范围扩展至30尺</t>
  </si>
  <si>
    <t>大地行者</t>
  </si>
  <si>
    <t>第8级起，你穿过非魔法的困难地形时不会消耗额外移动力。你穿过非魔法的植物时不会消耗额外移动力，且这类植物的荆棘、毛刺或类似的危害物也无法对你造成伤害
另外，在抵抗魔法制造或控制的植物造成的移动障碍效应时，你的豁免检定具有优势</t>
  </si>
  <si>
    <t>致命一击</t>
  </si>
  <si>
    <t>第17级起，你攻击命中一个被突袭的生物时，该生物必须进行一次体质豁免（DC8＋你的敏捷调整值＋你的熟练加值）。豁免失败时，你将对其造成双倍伤害</t>
  </si>
  <si>
    <t>当你施放一个能够造成以下列表中类型伤害的法术时，你可以使用1术法点将其改为列表中的另一种伤害类型：强酸、冷冻、火焰、闪电、毒素或雷鸣</t>
  </si>
  <si>
    <t>每回合一次，当你以魔能爆击中一个生物时，你可以让此生物直线向你移动10英尺
先决条件：习得戏法魔能爆</t>
  </si>
  <si>
    <t>次级咒术</t>
  </si>
  <si>
    <t>第2级起，你可以用你的动作召来一件无生命的物件。该物件将出现在你手中，或者你周边10尺范围内一处那你能看见且未被占据的地面空间。该物件每边长度不得大于3尺，重量不得大于10磅。其形状必须是你曾经见过的一件非魔法物件的形状。该物件看起来明显是由魔法构成且散发着出5尺范围的微光光照
该物件将在1小时后消失不见。当你再次使用该特性，或当其受到伤害或造成伤害时，物件也会提前消失</t>
  </si>
  <si>
    <t>物品：一把简易或军用武器（需调谐）
该魔法武器在攻击和伤害检定中具有+1加值。该武器被拿在手中时，持有者能以一个附赠动作让它放出半径30尺的明亮照明以及该范围外30尺范围的微光照明。持有者也能以一个附赠动作熄灭武器的光芒
当该武器的持有者被近战攻击命中时，持有者能够以一个反应让攻击者对你的法术豁免dc进行一次体质豁免检定，若失败，攻击者将目盲直到他的下个回合结束。该反应动作在使用后必须经过一次短休或长休后才能再次使用</t>
  </si>
  <si>
    <t>第3级起，狂暴时，如果你周围５尺范围内有任何敌对生物，则你的盟友对这些生物发动近战攻击时的攻击检定具有优势</t>
  </si>
  <si>
    <t>战斗激励</t>
  </si>
  <si>
    <t>第3级起，从你身上获得诗人激励的生物投掷武器伤害掷骰时，可以使用该激励骰并将其骰值加入本次伤害掷骰中。另外，从你身上获得诗人激励的生物被攻击时，该生物可以用它的反应使用该激励骰，并将掷骰结果加入到它对抗该次攻击的AC中，该特性可以使用于攻击检定揭示后，但必须在命中与否宣布之前使用</t>
  </si>
  <si>
    <t>生命门徒</t>
  </si>
  <si>
    <t>第1级起，当你使用1环或更高环阶法术恢复生物生命值时，你的目标额外恢复2＋法术环阶数值的生命值</t>
  </si>
  <si>
    <t>第3级时：黑暗术、马友夫强酸箭
第5级时：水上行走、臭云术
第7级时：行动自如、生物定位术
第9级时：疫病虫群、探知</t>
  </si>
  <si>
    <t>卓越战技</t>
  </si>
  <si>
    <t>第3级时，你习得战技并获得驱动战技的卓越骰
你习得三种自选战技，而你在每次攻击时只能应用一种战技
你在第7，第10和第15级时均习得两种新战技。习得新战技时，你还可以额外替换一个已经习得的战技
你拥有四个d8卓越骰。卓越骰一经使用即消耗，完成短休或长休后恢复。第7级起，增加到五个；第15级起，增加到六个</t>
  </si>
  <si>
    <t>空灵体</t>
  </si>
  <si>
    <t>第18级起，你可以消耗4点气并使用动作隐形1分钟。此时，你对力场伤害之外的所有伤害都具有抗性
另外，你可以消耗8点气施展法术星界投影，以该形式施展的法术不需要材料成分，但无法捎带其他生物与你同行</t>
  </si>
  <si>
    <t>勇气灵光</t>
  </si>
  <si>
    <t>第10级起，你与友方生物在你身边10尺内不会陷入恐慌。提供该增益时你必须保持意识清醒
第18级起，该灵光的作用范围扩展至30尺</t>
  </si>
  <si>
    <t>第10级起，你可以花1分钟来为自己制作伪裝。你必须能取用新鲜的泥土、植物、煤烟等天然物料进行制作
伪装完成后，你可以将自己贴上至少跟自己等高等阔的实体表面并尝试躲藏。如果你留在原地不移动且不执行动作，则你的敏捷（隐匿）检定获得+10加值。一旦移动、执行动作或执行反应，你都必须重新伪装以重获该增益</t>
  </si>
  <si>
    <t>施法-游荡者</t>
  </si>
  <si>
    <t>你学习幻术系和附魔系的诡术，以这些魔法来提高自己已经相当老练的隐匿和灵动水平</t>
  </si>
  <si>
    <t>第4级起，当你的术士职业等级抵达能让你获得属性值提升时，你能进行以下一项改变
1．用另一个你能够选择的超魔法选项替换你当前的一个超魔法选项
2．从术士戏法列表表中选择一个你未习得的戏法，替换一个你已经习得的戏法</t>
  </si>
  <si>
    <t>每回合一次，当你以魔能爆击中一个生物时，你可以降低目标10英尺的速度，直到你的下个回合结束
先决条件：习得戏法魔能爆</t>
  </si>
  <si>
    <t>王车易位</t>
  </si>
  <si>
    <t>第6级起，你可以用你的动作传送至一处距离你30尺内，你能看见且未被占据的空间。你也可以指定一处该距离内被一个小型或中型生物所占据的空间，如果该生物愿意，则你就可以与它交换位置
你必须完成一次长休，或施展一个环阶不低于1环的咒法系法术才能再次使用该特性</t>
  </si>
  <si>
    <t>物品：一个盾牌（需调谐）
持握该盾牌的生物AC获得+1加值
该盾牌有4发充能，当持用者被近战攻击命中时，以一个反应消耗一发充能，其可以将攻击者击退至多15尺远。该盾牌在次日黎明时会恢复1d4发充能</t>
  </si>
  <si>
    <t>第3级起，狂暴时，若你未着中甲，你的步行速度增加15尺</t>
  </si>
  <si>
    <t>第6级起，你在自己回合内执行攻击动作时可以攻击两次而非一次</t>
  </si>
  <si>
    <t>引导神力-维持生命</t>
  </si>
  <si>
    <t>第2级起，你可以用一个动作展示你的圣徽，引导治疗能量来恢复等于你牧师等级五倍的生命值。你指定身边30尺内的任意生物作为该特性的目标，再为其分配从中获得的治疗能量。该特性不能将目标恢复到其生命值上限的一半以上。而且你不能对不死生物或构装生物使用该特性</t>
  </si>
  <si>
    <t>第3级时：蛛行术、蛛网术
第5级时：气化形体、臭云术
第7级时：高等隐形术、塑石术
第9级时：死云术、疫病虫群</t>
  </si>
  <si>
    <t>你在自己回合内执行攻击动作时，可以放弃一次攻击并使用附赠动作指挥一名盟友发动奇袭。使用此战技时，你消耗一粒卓越骰，并指定一名能看见你或能听到你声音的盟友。所选盟友可以立即使用反应发动一次武器攻击，并将消耗的卓越骰加在此次攻击的伤害掷骰中</t>
  </si>
  <si>
    <t>超凡入圣</t>
  </si>
  <si>
    <t>第20级时，若你骰先攻时身上未有储备的气，则你获得4点气</t>
  </si>
  <si>
    <t>精通至圣斩</t>
  </si>
  <si>
    <t>第11级起，当你使用近战武器命中一个生物时，该生物将额外受到1d8点光耀伤害</t>
  </si>
  <si>
    <t>第10级起，以一个附赠动作，你可以魔法地使自己与正携带、着装的任何装备变得隐形，直到你的下个回合开始。你可以使用该特性同等于你的熟练加值次，你在完成一次长休后恢复所有的使用次数</t>
  </si>
  <si>
    <t>戏法-游荡者</t>
  </si>
  <si>
    <t>第3级时，你学会法师之手，并从法师法术列表中选择另外两个戏法作为已知法术
第10级时，你再获得额外一个法师戏法</t>
  </si>
  <si>
    <t>当你进行一次属性检定并失败时，你可以使用1术法点重投之。你必须使用重投的结果。此举可能使该检定改为成功</t>
  </si>
  <si>
    <t>你在保持专注的体质豁免检定上有优势，可以让你维持对某个法术的专注</t>
  </si>
  <si>
    <t>咒法专注</t>
  </si>
  <si>
    <t>第10级起，你在专注咒法系法术时，不会因承受伤害而打断专注</t>
  </si>
  <si>
    <t>物品：一套盔甲（需调谐）
穿戴该盔甲的生物对以下伤害类型中的一种具有抗性，具体类型由你在进行注法时选择：强酸、冷冻、火焰、力场、闪电、黯蚀、毒素、心灵、光耀与雷鸣</t>
  </si>
  <si>
    <t>第3级起，狂暴时，你增加10尺的跳跃距离和3尺的跳高距离</t>
  </si>
  <si>
    <t>战斗魔法</t>
  </si>
  <si>
    <t>都14级起，每当你用动作施展一个诗人法术时，你同时还可以用附赠动作发动一次武器攻击</t>
  </si>
  <si>
    <t>神佑医者</t>
  </si>
  <si>
    <t>第6级起，你对其他生物施展1环或更高环阶法术法术时，可对自身恢复2＋法术环阶数值的生命值</t>
  </si>
  <si>
    <t>第6级起，你穿过非魔法的困难地形时不会消耗额外移动力。你穿过非魔法的植物时不会消耗额外的移动力，且这类植物的荆棘、毛刺或类似的危害物也无法对你造成伤害
另外，在抵抗魔法制造或控制的植物造成的移动障碍效应时，你进行豁免检定时具有优势</t>
  </si>
  <si>
    <t>你以武器攻击命中敌人时，可消耗一粒卓越骰以尝试缴械目标，使其丢弃手中持握的一件物品。使用此战技时，你将消耗的卓越骰加在此次攻击的伤害掷骰中，并迫使目标必须进行一次力量豁免。豁免失败则其丢弃手中持握的一件物品（由你选择）。被丢弃的物品将掉落在该生物脚下
豁免DC＝8+你的熟练加值+你的力量或敏捷调整值（自选）</t>
  </si>
  <si>
    <t>散打技巧</t>
  </si>
  <si>
    <t>第3级起，当你用疾风连击特性的攻击击中敌人时，你可以让该目标承受下列效应之一：
目标必须进行一次敏捷豁免，豁免失败则应击倒地
目标必须进行一次力量豁免，豁免失败则被往远离你的方向推动至多15尺
目标直到你的下一回合结束前，无法执行反应
豁免DC＝8+你的熟练加值+你的感知调整值</t>
  </si>
  <si>
    <t>净化之触</t>
  </si>
  <si>
    <t>第14级起，你可以用动作触碰你自身或一个自愿生物，以中止该目标身上的一个法术效应
该特性的可用次数等于你的魅力调整值（至少一次）。而已消耗的特性使用次数则可以通过完成一次长休进行恢复</t>
  </si>
  <si>
    <t>无踪步</t>
  </si>
  <si>
    <t>第14级起，你可以在自己回合以一个附赠动作的形式执行躲藏动作。此时，你无法被非魔法手段追踪到，除非你主动留下踪迹</t>
  </si>
  <si>
    <t>法术位-游荡者</t>
  </si>
  <si>
    <t>“诡术师施法能力”表中列出了你用以施展你法师法术的1环及更高环阶法术位数量。施展某个法师法术时，你必须同时消耗其对应环阶的法术位。已消耗的法术位可在完成长休后恢复</t>
  </si>
  <si>
    <t>术法复苏</t>
  </si>
  <si>
    <t>第20级时，你每完成一次短休，可以恢复4术法点</t>
  </si>
  <si>
    <t>魔契恩泽</t>
  </si>
  <si>
    <t>第3级时，你的宗主赋予你一份馈赠作为你忠诚服务的回馈。你可以从魔契中自选其一，并获得新的魔能祈唤选项</t>
  </si>
  <si>
    <t>强韧召唤</t>
  </si>
  <si>
    <t>第14级起，你用咒法系法术所召唤或创造的生物获得30点临时生命值</t>
  </si>
  <si>
    <t>物品：一枚戒指（需调谐）
穿戴此戒指的生物能够以一个动作恢复一个消费掉的法术位。恢复的法术位最高3环。一旦使用，此戒指在次日黎明前将无法再次使用</t>
  </si>
  <si>
    <t>梦境结社</t>
  </si>
  <si>
    <t>兽之形</t>
  </si>
  <si>
    <t>第6级时，你根据所选的图腾兽获得一项魔法能力。你可以选择和第3级时相同的图腾，也可以另做选择</t>
  </si>
  <si>
    <t>激励光环</t>
  </si>
  <si>
    <t>第3级起，以一个附赠动作，你可以消耗一次吟游激励的次数，让自己得到华美而出尘的外貌。当你这样做时，选择处于你周围60尺内的一定数量的盟友，你必须能看到他们而他们也必须能看到你，至多等于你的魅力调整值的数量（至少1个）。每个目标获得5点临时生命值。当一个生物获得这些临时生命值时，它可以用反应以其速度移动且不引发借机攻击
第5级起，8点临时生命；第10级起，11点临时生命；第15级起，14点临时生命</t>
  </si>
  <si>
    <t>第8级起，你在每个自己回合里有一次机会，可以在用武器攻击命中某生物时，使该攻击额外造成1d8的光耀伤害。第14级起，该伤害提升到2d8</t>
  </si>
  <si>
    <t>自然之护</t>
  </si>
  <si>
    <t>第10级起，你免疫元素生物或精类生物造成的魅惑或恐慌状态，并且免疫中毒和疾病</t>
  </si>
  <si>
    <t>你以武器攻击命中敌人时，可以消耗一粒卓越骰以扰乱该目标，让你的盟友有机可乘。使用此战技时，你将消耗的卓越骰加在此次攻击的伤害掷骰中。此后直至你下一回合开始，下一次由除你之外的生物对目标发动的攻击检定具有优势</t>
  </si>
  <si>
    <t>混元体</t>
  </si>
  <si>
    <t>第6级起，你可以使用一个动作获得等同于三倍武僧职业等级的生命值。你必须完成一次长休才能再次使用该特性</t>
  </si>
  <si>
    <t>奉献圣誓法术</t>
  </si>
  <si>
    <t>第3级时：防护善恶、庇护术
第5级时：次级复原术、诚实之域
第9级时：希望信标、解除魔法
第13级时：行动自如、信仰守卫
第17级时：通神术、焰击术</t>
  </si>
  <si>
    <t>野性感官</t>
  </si>
  <si>
    <t>第18级时，你攻击一个看不到的生物时不会因此承受劣势
另外，你还能感测30尺内所有隐形敌人的位置，前提是该生物并没有针对你进行躲藏，而你也没有陷入目盲或耳聋</t>
  </si>
  <si>
    <t>已知法术-游荡者</t>
  </si>
  <si>
    <t>你从法师法术列表中选择三个1环法术作为已知法术，其中两个必须从附魔系和幻术系中选择
“诡术师施法能力”中“已知法术”一栏记录了你获得更多已知法术时的相应等级
你只能选择附魔系或幻术系法术，且只能获取已有相应环阶法术位的法术
另外，你每提升一个游荡者等级，可以从法师法术列表中选择一个新法术来代替一个已知法术列表中的旧法术，不过你必须已有新法术的相应环阶法术位
在第8、14和20级，你可以学习任何学派的法术</t>
  </si>
  <si>
    <t>巨龙先祖</t>
  </si>
  <si>
    <t>第1级起，你选择一种巨龙作为你的先祖
你可以说、读、写龙语。此外，你与巨龙互动时进行的魅力检定可以使用熟练加值时，可以加上双倍的加值</t>
  </si>
  <si>
    <t>第3级起，你习得法术获得魔宠，并可以把它作为一个仪式施展。此法术不计入你的已知法术数量
施展该法术时，你可以选择召唤一个普通的生物，或是下列特殊生物之一：小魔鬼、伪龙、夸赛魔、或小妖精
此外，当你执行攻击动作时可以放弃所有攻击中的一次攻击，转而让你的魔宠使用其反应发动一次攻击</t>
  </si>
  <si>
    <t>预言学者</t>
  </si>
  <si>
    <t>第2级起，你向法术书中抄写预言系法术的时间和金钱花费减半</t>
  </si>
  <si>
    <t>灵光一闪</t>
  </si>
  <si>
    <t>第7级起，当你或距离你30英尺内的可见生物进行属性检定或豁免检定时，你能以一个反应将你的智力调整值添加到此次检定中
你能使用此能力的次数等于你的智力调整值（最少1次）。在你完成一次长休后，将恢复所有可用次数</t>
  </si>
  <si>
    <t>牧人结社</t>
  </si>
  <si>
    <t>第6级起，你的载重（包括最大负重和最大举重）翻倍，并且你在推、拉、举和破坏物件时进行的力量检定具有优势</t>
  </si>
  <si>
    <t>醉人表演</t>
  </si>
  <si>
    <t>第3级起，若你表演至少1分钟，你可以尝试通过歌唱，吟诗或舞蹈的方式来让你的观众们感受到美。在这次表演的结束时，选择一定数量的类人生物，他们需要处于你周围60尺内，并完整的观看并聆听了你的表演，可以选择的数量至多等于你的魅力调整值（至少1个）。每个目标必须通过一次感知豁免检定，对抗你的法术豁免DC，否则被你魅惑。当被你以此法魅惑时，目标视你为偶像，他会热情的和任何和他交谈的人谈论你，反对任何对抗你的人，他会避免暴力，除非他已经站在你这边加入了战斗。此效果在一个目标上持续1小时，或当他受到任何伤害，你攻击他，以及他目睹你对任何他的盟友进行攻击或造成伤害时结束
若一个目标在对抗此效果的豁免检定中成功，该目标对于你试图魅惑他的行为没有任何察觉
你必须完成一次长休或短休才能再次使用该特性</t>
  </si>
  <si>
    <t>极效治疗</t>
  </si>
  <si>
    <t>第17级起，当你需要用一个法术来掷一粒或多粒骰子计算你所恢复的生命值时，所有骰子将取其最高值</t>
  </si>
  <si>
    <t>自然庇护所</t>
  </si>
  <si>
    <t>第14级起，自然界的生物感知到你跟自然的链接而不会主动攻击你。当一个野兽或植物类的生物攻击你时，该生物必须先进行一次对抗你德鲁伊法术DC的感知豁免。豁免失败时，该生物必须选择另一个目标，否则其攻击将判为未命中。豁免成功时，该生物在随后的24小时内免疫此效应
该生物会在攻击你之前就意识到你有此效应</t>
  </si>
  <si>
    <t>你在移动时，可以消耗一粒卓越骰，并将其加入你的AC中，直至你完成移动</t>
  </si>
  <si>
    <t>宁神境</t>
  </si>
  <si>
    <t>第11级起，你可以进入一种特殊的冥想状态，使浑身环绕着和平的灵光。完成长休后，你将获得法术庇护术的效应，其效应持续至你再次开始长休之前（该法术效应可以如常被提前终止）。该法术效应的豁免DC等于8＋你的感知调整值＋你的熟练加值</t>
  </si>
  <si>
    <t>引导神力-神圣武器</t>
  </si>
  <si>
    <t>第3级起，以一个动作，你可以用引导神力特性向你正持握的一把武器注入正能量。随后1分钟内，你使用该武器进行攻击检定时可以加上你的魅力调整值（至少为+1）。该武器同时提供20尺半径的明亮光照，该范围外再延伸出20尺微光光照。如果该武器之前不是魔法武器，则在效应持续其间该武器将视为魔法武器
你可以在自己回合内执行任何其他动作时终止该效应，而终止效应的行为视为该动作的一部分。当你不再持握或携带这把武器，或者当你陷入昏迷时，该效应终止</t>
  </si>
  <si>
    <t>屠灭众敌</t>
  </si>
  <si>
    <t>第20级时，你在自己的每个回合内，都有一次机会将你的感知调整值加到你对宿敌进行的攻击检定或伤害掷骰上。你可以在掷骰之前或者之后决定使用该特性，但必须在该掷骰的相关效应被应用之前</t>
  </si>
  <si>
    <t>施法关键属性-游荡者</t>
  </si>
  <si>
    <t>当你的法师法术需要施法关键属性时均指向你的智力值。而你法师法术的豁免DC和攻击检定，则使用你的智力调整值
法术豁免DC＝8＋你的熟练加值＋你的智力调整值</t>
  </si>
  <si>
    <t>龙族体魄</t>
  </si>
  <si>
    <t>第1级起，每一个术士等级，都将生命值提升1点
此外，未着装护甲时，你的AC等于13＋你的敏捷调整值</t>
  </si>
  <si>
    <t>第3级起，你可以用一个动作从空着的手中创造一把契约武器。你每次创造契约武器时都可以从近战武器列表中选择它的形态。当你使用该武器时，将视为拥有该武器的熟练项。在攻击对非魔法攻击或伤害具有抗性或免疫的目标时，该武器将视为魔法武器
你的契约武器在离你5尺外的区域停留超过1分钟或更长时间，其将自然消失。当你再次创造契约武器、解散契约武器（无需动作）或是死亡的情况下，契约武器也会消失不见
你可以通过一个特殊的仪式把持有的魔法武器变为你的契约武器。该仪式花费1小时，并且可以在短休时进行。仪式完成后，你随时可以解散该武器，以将其转移到一个异次元空间之中。而每当你再次创造契约武器时再将它召唤出来。该仪式无法对神器或智能武器起作用。如果你死亡；或是花费1小时对另外一把武器举行了仪式；或是你通过1小时的仪式打破该契约，则该武器便不再是你的契约武器。如果在它处于异次元空间时你打破契约，那么该武器将会出现在你的脚边</t>
  </si>
  <si>
    <t>预兆</t>
  </si>
  <si>
    <t>第2级起，你在每次完成长休时投两次d20并记下两组骰值。此后，你可以用这两组预知骰骰值中的任意一个，替代任何一次由你，或者由你能看见的某个生物所进行的攻击检定，豁免检定或属性检定。你必须在相关检定开始前决定是否使用预知骰，且你每回合只能使用一次预知骰
每个预知骰只能使用一次。你完成一次长休后，将失去所有未使用的预知骰</t>
  </si>
  <si>
    <t>魔法物品熟稔</t>
  </si>
  <si>
    <t>第10级起，你一次最多可以调谐四个魔法物品
如果你制作一件稀有度为普通或非普通的魔法物品，时间花费只需通常的四分之一，而且金钱花费只有通常的一半</t>
  </si>
  <si>
    <t>孢子结社</t>
  </si>
  <si>
    <t>第6级起，你可以轻易的看清1里之内的范围，细节之处与100尺距离内的影像一样清晰。此外，你在微光环境中进行感知（察觉）检定时不会具有劣势</t>
  </si>
  <si>
    <t>统御光环</t>
  </si>
  <si>
    <t>第6级起，以一个附赠动作，你可以施展命令术而无需消耗法术位，并且同时你变化为超凡的美貌外表，持续1分钟或直到你专注结束（就像你专注一个法术）。在这段时间内，你可以在你的每个回合以一个附赠动作施展命令术，且无需消耗法术位
任何被你魅惑的生物将自动的在它们对抗此能力的豁免检定中失败
你必须完成一次长休或短休才能再次使用该特性</t>
  </si>
  <si>
    <t>光明领域法术</t>
  </si>
  <si>
    <t>第1级时：燃烧之手、妖火
第3级时：炽焰法球、灼热射线
第5级时：昼明术、火球术
第7级时：信仰守卫、火墙术
第9级时：焰击术、探知</t>
  </si>
  <si>
    <t>战斗荒野形态</t>
  </si>
  <si>
    <t>第2级起，你可以在自己回合内用一个附赠动作而不是动作来使用荒野形态特性
此外，你使用荒野形态变形时，可以用一个附赠动作消耗一个法术位来恢复相应法术位每环阶1d8点生命值</t>
  </si>
  <si>
    <t>你可以在自己回合内消耗一粒卓越骰，以此指定你身边5尺范围内一个生物为目标，并使用附赠动作对其虚晃一招。你在本回合内对该生物发动的下一次攻击检定具有优势。如果该攻击命中，则将消耗的卓越骰加在此次攻击的伤害掷骰中</t>
  </si>
  <si>
    <t>渗透劲</t>
  </si>
  <si>
    <t>第17级起，你的徒手打击命中目标生物时，可以消耗3点气将一股致命的劲力送入敌人体内。劲力的持续日数等于你的武僧等级，且在你用动作终止劲力之前它不产生任何减益。若要终止劲力，你和目标必须在同一个位面。而你使用动作终止劲力后，目标必须进行一次体质豁免，豁免失败则其生命值降为0，豁免成功则目标受到10d10的暗蚀伤害
同一时间只能有一个生物受你渗透劲特性影响。你也可以选择不造成任何伤害的终止渗透劲，且不需要使用动作
豁免DC＝8+你的熟练加值+你的感知调整值</t>
  </si>
  <si>
    <t>引导神力-驱散不洁</t>
  </si>
  <si>
    <t>第3级起，以一个动作，你可以用引导神力特性亮出圣徽高喊祷言，以逐退不死生物和邪魔。你身边30尺范围内能够看见圣徽或能听到你祷言的不死生物或邪魔都必须进行一次感知豁免，豁免失败者将受到驱散，其效应持续1分钟或直至其受到任何伤害
以该方式被驱散的生物必须花费其回合内的所有移动力尽量远离你，且无法主动靠近你30尺内。被驱散的生物无法执行反应，只能使用既有的疾走动作或从任何妨碍其移动的效应中挣脱。该生物无路可走时将执行回避动作
豁免DC等于你的圣武士法术豁免DC</t>
  </si>
  <si>
    <t>猎物</t>
  </si>
  <si>
    <t>第3级时，你从巨像屠夫、巨人杀手或巨人杀手中选择获得一个特性</t>
  </si>
  <si>
    <t>法师之手</t>
  </si>
  <si>
    <t>第3级起，你施展法师之手时可以制作一个隐形的幽灵手，且你可以用它来做下列特殊任务：
你可以传递一个幽灵手持握的物件到其他生物携带或着装的容器中。
你可以取回一个其他生物携带或着装容器内的物件。
你可以用盗贼工具在其施法范围内撬锁和解除陷阱
你可以在目标生物不知情的前提下完成这些任务之一，前提是你必须进行一次敏捷（巧手）检定，并在与该生物的感知（察觉）检定对抗中胜出
此外，你还可以用你的灵巧动作特性给予的附赠动作来控制法师之手</t>
  </si>
  <si>
    <t>元素亲和</t>
  </si>
  <si>
    <t>第6级起，当你施展伤害类型与你巨龙先祖相对应的法术时，可以将你的魅力调整值附加到该法术其中一次伤害掷骰中。此时你还可以用1术法点来获得持续1小时的相应伤害抗性
黑龙、赤铜龙：强酸
蓝龙、青铜龙：闪电
黄铜龙、金龙、红龙：火焰
绿龙：毒素
银龙、白龙：冷冻</t>
  </si>
  <si>
    <t>第3级起，你的宗主给予你一本名为“影之书”的魔法书。获得该特性后，从任意职业法术列表中选择三个戏法（这三个戏法不必来自同一个列表）。该魔法书在你身上时，你可以随意施展那些法术。它们不算入你的已知戏法数量中。这些法术就算本来不属于邪术师法术列表，你也将其视为邪术师法术
如果你丢失了自己的影之书，你可以举行一个1小时的仪式，并从你的宗主处获得一个替代品。仪式可以在短休或长休期间完成，而它会摧毁之前的魔法书。当你死亡时，该书也将化为灰烬</t>
  </si>
  <si>
    <t>预言专家</t>
  </si>
  <si>
    <t>第6级起，你用法术位施展一个环阶不低于2环的预言系法术时，可以恢复一个已耗用的法术位。所恢复的法术位环阶必须比你正施展的预言系法术所用的法术位低，且不能高于5环</t>
  </si>
  <si>
    <t>物品：一件头盔（需调谐）
穿戴此头盔的生物在先攻检定上具有优势。此外，穿戴者只要不处于失能状态，就不会被突袭</t>
  </si>
  <si>
    <t>第6级起，你可以在用快速步调旅行的同时追踪其他生物，也可以在用正常步调旅行时保持隐匿</t>
  </si>
  <si>
    <t>绝对统御</t>
  </si>
  <si>
    <t>第14级起，以一个附赠动作，你展现魔法的壮美仪度直至1分钟或你失能，期间任何生物在每回合第一次试图对你进行攻击时都必须要进行一次魅力豁免检定对抗你的法术豁免DC。若失败，则该生物不能在这个回合内攻击你，且必须要选定一个新的目标，否则就要失去本次的攻击。若这回合豁免检定成功，该生物能够攻击你，但在对抗你的下个回合施展的法术时在所有豁免检定中具有劣势
你必须完成一次长休或短休才能再次使用该特性</t>
  </si>
  <si>
    <t>附赠戏法-牧师</t>
  </si>
  <si>
    <t>第1级时，你获得戏法光亮术</t>
  </si>
  <si>
    <t>结社形态</t>
  </si>
  <si>
    <t>第2级起，你用荒野形态特性变身的野兽其挑战等级至高为1（无视表格“野兽形态”中的“最高CR栏”，但限制依然生效）。
第6级起，你所变身野兽的挑战等级最高等于你的德鲁伊等级除以3（向下取整）</t>
  </si>
  <si>
    <t>你以武器攻击命中敌人时，可以消耗一粒卓越骰以尝试挑衅该目标。使用此战技时，你将所消耗的卓越骰加在此次攻击的伤害掷骰中，并迫使目标进行一次感知豁免。豁免失败者攻击除你之外的生物时，其进行的攻击检定具有劣势，直至你的下一回合结束
豁免DC＝8+你的熟练加值+你的力量或敏捷调整值（自选）</t>
  </si>
  <si>
    <t>暗影技艺</t>
  </si>
  <si>
    <t>第3级起，你可用一个动作消耗2点气以施放黑暗术、黑暗视觉、行动无踪或沉默术，且无需材料成分。此外，若你仍未习得戏法次级幻影，则你将获得该戏法</t>
  </si>
  <si>
    <t>奉献灵光</t>
  </si>
  <si>
    <t>第7级起，你与友方生物在你身边10尺内不会被魅惑。提供该增益时你必须保持意识清醒
第18级起，灵光的作用范围扩展至30尺</t>
  </si>
  <si>
    <t>第3级起，当你用武器攻击命中敌人时，如果该敌人当前生命值低于其上限，则其额外受到1d8点伤害。你每回合只能造成一次这种额外伤害</t>
  </si>
  <si>
    <t>诡术伏击</t>
  </si>
  <si>
    <t>第9级起，如果你在针对某个生物躲藏的状态下对其施法，则该生物在本回合里对抗该法术所进行的豁免检定具有劣势</t>
  </si>
  <si>
    <t>龙翼</t>
  </si>
  <si>
    <t>第14级时，你获得一对可以从背后张开的龙翼，并获得等于你当前速度的飞行速度。你可以在自己回合内用一个附赠动作生成龙翼。龙翼持续存在至你在自己回合内用一个附赠动作将其解散
你不能在着装护甲时张开龙翼（除非该护甲经过特殊的设计）。而当你显现龙翼时，未经过特殊设计的衣服可能会毁坏</t>
  </si>
  <si>
    <t>第3级起，你的宗主赐予你一个护身符，一个当需要的时候可以帮助佩戴者的护身符。当佩戴者在一次能力检定中失败，他们可以在骰掷结果上增加一个d4骰，这可能将结果变为成功。这一能力可使用的次数等于你的熟练加值，且所有已消耗的次数将会在你完成一次长休之后全部恢复
如果你弄丢了护身符，你可以进行一个1小时的仪式从你的宗主那里得到一个替代品。这一仪式可以在一个短休或一个长休过程中完成，且它将会破坏之前的护身符。护身符将会在你死亡时消散为灰尘</t>
  </si>
  <si>
    <t>天眼通</t>
  </si>
  <si>
    <t>第10级起，你可以用你的动作增强你的感知能力。使用此特性时，你选择一下增益其中之一。其效应将持续至你陷入失能状态，或直至你开始一次短休或长休。你必须完成一次长休或短休才能再次使用该特性
黑暗视觉：你获得60尺的黑暗视觉
以太视界：你可以看到自身周边60尺范围内的以太位面
高等理解力：你可以读懂任何语言
识破隐形：你可以看到距离你10尺内，且处在你视线范围内的隐形生物或物件</t>
  </si>
  <si>
    <t>储法物品</t>
  </si>
  <si>
    <t>第11级起，当你完成一次长休，你能够触摸一件简易武器、军用武器或一个你可以将其作为法器使用的物品，从奇械师法术列表中选择一个施法时间为一个动作的1环或2环法术（你不需要准备这个法术）
任何在手中持有该物品的生物能够使用你的施法关键属性来以一个动作通过该物品产生储存法术的效果。如果该法术需要专注，则启动物品的生物必须进行专注。该法术将留存在物品中，直到使用次数用完（最大使用次数等于你智力调整值的两倍（至少两次））或直到你再次使用该特性</t>
  </si>
  <si>
    <t>第6级起，无论你是骑乘还是徒步，你的旅行速度变为双倍。只要你未失能，在你周围60尺内的最多十个同伴也能得到这个好处</t>
  </si>
  <si>
    <t>第3级时，你得到中甲和弯刀的熟练项
如果你熟练于一个简易近战武器或者军用近战武器，你可以用它作为诗人法术的法器</t>
  </si>
  <si>
    <t>守御闪光</t>
  </si>
  <si>
    <t>第1级起，当你身边30尺内一个你能看见的生物向你发动攻击时，你可以用你的反应在攻击完成前对攻击者闪出一道光亮，以此迫使该攻击检定具有劣势。不受目盲状态影响的攻击者同样对该特性免疫
你可以使用该特性的次数等于你的感知调整值（至少为一次）。而你将在完成一次长休后重新恢复所有的使用次数</t>
  </si>
  <si>
    <t>原初打击</t>
  </si>
  <si>
    <t>第6级起，你以野兽形态攻击时，如果目标对非魔法攻击或伤害具有免疫或抗性，则你的攻击此时视为魔法攻击</t>
  </si>
  <si>
    <t>你在自己回合内发动近战武器攻击时，可以消耗一粒卓越骰并令该攻击的触及范围增加5尺。如果该攻击命中，则将所消耗的卓越骰加在此次攻击的伤害掷骰中</t>
  </si>
  <si>
    <t>暗影步</t>
  </si>
  <si>
    <t>第6级起，你处于微光光照或黑暗环境时，可以用附赠动作传送至多60尺，到达一个你能看见且未被占据还必须同样处于微光光照或黑暗环境中的区域。随后直至你本回合结束前，你下一次发动近战攻击时具有优势</t>
  </si>
  <si>
    <t>纯净之魂</t>
  </si>
  <si>
    <t>第15级起，你获得永远保持法术防护善恶效应的能力</t>
  </si>
  <si>
    <t>第3级起，一个距离你5尺内的大型或更大体型生物对你发动攻击时，无论该次攻击是否命中，只要你能看见它就可以在该攻击结束后用一个反应对该生物发动攻击</t>
  </si>
  <si>
    <t>万能诡术</t>
  </si>
  <si>
    <t>第13级时，你获得用你的法师之手使目标分心的能力。以一个附赠动作，你可以在自己的回合内指定该法术之幽灵手周边5尺内的一个生物。直至该回合结束之前，你对该生物发动的攻击检定具有优势</t>
  </si>
  <si>
    <t>真龙姿态</t>
  </si>
  <si>
    <t>第18级起，你可以用一个动作和5术法点引导巨龙先祖的恐怖气息，并张开一个60尺范围的震撼（或恐惧）灵光。在1分钟内，只要你保持专注（等同于施法时进行专注），在灵光范围内开始其回合的每个敌对生物都必须进行一次感知豁免，豁免失败则被魅惑（震撼灵光）或陷入恐慌（恐惧灵光）直至灵光消失。豁免成功者将在随后的24小时内免疫你的灵光效应</t>
  </si>
  <si>
    <t>现在你可以把魔法仪式抄录进你的“影之书”。你可以从任意职业法术列表中选择两个1环带仪式标签的法术（两法术可以属于不同法术列表）。所选法术将记录在“影之书”中，且不计入你的已知法术数量内。只要“影之书”在你的手中，你便可以施展所选的仪式法术。你不能通过仪式外的方式施展这些法术，除非你已经通过其他方式习得了这些法术。此外，你还可以把带有仪式描述的邪术师法术作为仪式法术进行施展
冒险过程中，你还可以添加其他仪式法术到你的“影之书”中。当你发现一个这样的法术时，如果该法术的环阶等于或低于你邪术师等级的一半（向上取整），并且你能抽出时间抄录此法术，则你可以把此法术添加进“影之书”。抄录法术时其每环阶需要花费2小时时间和价值50gp的珍稀墨水
先决条件：书之魔契</t>
  </si>
  <si>
    <t>高等预兆</t>
  </si>
  <si>
    <t>第14级起，你的预兆特性变为获得三个预知骰</t>
  </si>
  <si>
    <t>魔法物品专家</t>
  </si>
  <si>
    <t>第14级起，你在魔法物品方面的技巧愈发精进：
你一次最多可以调谐五个魔法物品
你无视调谐或使用魔法物品所需的任何职业、种族、法术和等级条件</t>
  </si>
  <si>
    <t>第6级起，你从下面列表中选择两个技能得到熟练：运动，体操，隐匿，求生</t>
  </si>
  <si>
    <t>战斗风格‐吟游诗人</t>
  </si>
  <si>
    <t>第3级时，你可以从决斗和双武器战斗中选择一种战斗风格作为你的专精。同一种战斗风格不可重复选择</t>
  </si>
  <si>
    <t>引导神力-黎明曙光</t>
  </si>
  <si>
    <t>第2级起，你可以用一个动作展示你的圣徽，并驱散你身边30尺内所有源自魔法的黑暗。此外，你身边30尺内每个敌对生物都必须进行一次体质豁免。豁免失败者将受2d10＋你牧师等级的光耀伤害，豁免成功则伤害减半。相对你处于全身掩护的生物不受该效应影响
豁免DC等于你的牧师法术豁免DC</t>
  </si>
  <si>
    <t>元素荒野形态</t>
  </si>
  <si>
    <t>第10级起，你可以花费两次荒野形态次数以变成气元素，土元素，火元素或者水元素</t>
  </si>
  <si>
    <t>你以武器攻击命中敌人时，可以消耗一粒卓越骰以让盟友移动到更有利的位置。使用此战技时，你将所消耗的卓越骰加在此次攻击的伤害掷骰中，并指定一个能看见你或听到你声音的盟友。该盟友可以立即用其反应移动至多等于其速度一半的距离。本次移动不会引发本次所攻击目标的借机攻击</t>
  </si>
  <si>
    <t>幽影斗篷</t>
  </si>
  <si>
    <t>第11级起，当你处于微光光照或黑暗环境时，可以用动作变为隐形。隐形状态将一直持续至你发动攻击、施展法术或进入明亮光照区域时结束</t>
  </si>
  <si>
    <t>至圣光轮</t>
  </si>
  <si>
    <t>第20级时，你可以用一个动作生成一个散发阳光的灵光。在随后的1分钟内，明亮光照从你身边往外辐射半径30尺的球状区域，并在该范围外额外辐射30尺范围的微光光照
在该明亮光照范围内开始其回合的每个敌对生物都将受到10点光耀伤害
此外，在该特性持续时间内，你对抗不死生物或邪魔的法术时进行的豁免检定具有优势
你必须完成一次长休才能再次使用该特性</t>
  </si>
  <si>
    <t>第3级起，进行武器攻击时，你可以用该武器对位于目标5尺内，且在你武器射程内的另一生物发动一次攻击。你在每个自己的回合里只能造成一次这种额外攻击</t>
  </si>
  <si>
    <t>法术窃贼</t>
  </si>
  <si>
    <t>第17级起，当一个生物施展的一个法术以你为目标，或其法术效应范围包含你所在区域时，你可以立即用你的反应强迫该生物以其施法关键属性调整值进行一次豁免。其DC等同于你的法术豁免DC。若其豁免失败，则你取消该法术对你的效应。如果该法术至少为1环且属于你可以施展的环阶（但不需要是法师法术），则你还可以盗取该法术的知识。在接下来的8小时内，你视为习得该法术且能用你的法术位施展该法术。而目标生物则无法施展该法术直至8小时过去
你必须完成一次长休才能再次使用该特性</t>
  </si>
  <si>
    <t>狂野魔法浪涌</t>
  </si>
  <si>
    <t>第1级起，每回合一次，DM可以让你在施展一道1环或更高环阶术士法术后立即骰一次d20。若你骰值为1，则按表格“狂野魔法浪涌”骰出一个魔法效应。若该效果是一道法术，则其因过于狂野而无法受你的超魔法影响，而如果它正常情况下需要专注，则此时它无需专注。该法术生效至其持续时间结束。一个魔法浪涌每回合只能出现一次。如果某个浪涌的效应是一个法术，则其狂野的本质让其无法受超魔法的影响。如果其对应法术需要专注，则此时它并不需要专注。以该方式生效的法术将维持至其持续时间结束
01~02，下1分钟内，你在每次自己回合开始时重骰本表，并在后续的掷骰中跳过本结果
03~04，下1分钟内，你可以看到任何处于你视线范围内的隐形生物
05~06，一只由DM选用及操控的魔冢出现在你身边5尺范围内一处未被占据空间中，并在1分钟后消失不见
07~08，你以3环法术效应施展火球术，并且以你自身为爆发中心
09~10，你以5环法术效应施展魔法飞弹
11~12，骰一次d10，并以骰值为寸数改变你的身高。奇数变矮，偶数则长高
13~14，你以自身为中心施展困惑术
15~16，下1分钟内，你在每次自己回合开始时恢复5点生命值
17~18，你脸上长出一大把的羽毛。一旦你打了喷嚏，这些羽毛会从你的脸上炸开
19~20，你以自身为中心施展油腻术
21~22，下1分钟内，你施展第一个需要豁免检定的法术时，其目标生物进行检定时具有劣势
23~24，你的皮肤显出微蓝的颜色。法术移除诅咒可结束此效应
25~26，你的前额长出第三只眼并持续存在1分钟。下1分钟内，你所有依赖视觉进行的感知（察觉）检定具有优势
27~28，下1分钟内，你可用1附赠动作施展任何施法时间为1动作的法术
29~30，指定一个距你60尺内，未被占据且你可以看见的空间，并将你自己传送到那里
31~32，你被传送到星界，直至你下一回合结束时返回原位。如果此时该空间被占据，则你出现该出附近一个未被占据空间内
33~34，下1分钟内，你施展下一个伤害性法术时其伤害掷骰取满值
35~36，骰一次d10，并以骰值为年数改变你的年龄。奇数变年轻（至少变年轻1岁），偶数变则老
37~38，1d6只有DM操控的呋噜怪出现在距你60尺内的未被占据空间，并因你而陷入恐慌。它们将在1分钟后消失不见
39~40，你恢复2d10点生命值
41~42，你变成一棵盆栽，状态持续至你下一回合开始。作为盆栽时，你陷入失能状态，并具有所有伤害类型的易伤。如果你的生命值降至0，则你的花盆被打碎，而你恢复原形
43~44，下1分钟内，你可以在每个自己回合内以一个附赠动作传送至多20尺
45~46，你对自身施展浮空术
47~48，一只由DM控制的独角兽出现在你身边5尺范围内，并在1分钟后消失不见
49~50，下1分钟内，你无法说话。你一张嘴就会吐出粉色的泡泡
51~52，下1分钟内，一面鬼灵盾牌保护着你，为你的AC提供+2加值，并使你免疫魔法飞弹
53~54，在接下来5d6天内，你免疫醉酒
55~56，你的头发掉光，不过可以在24小时后恢复
57~58，下1分钟内，你接触的任何未被人着装或携带的可燃物都会被点燃
59~60，你恢复已消耗的最低环阶法术位
61~62，下1分钟内，你说话时只能喊叫
63~64，你以自身为中心施展云雾术
65~66，你指定至多三个距离你30尺内的生物，使之承受4d10点闪电伤害
67~68，你因最近的生物而陷入恐慌，直至你的下一回合结束
69~70，你身边30尺内所有生物在下一分钟内进入隐形。一旦其施法或攻击则结束其隐形状态
71~72，下1分钟内，你具有所有类型伤害的抗性
73~74，距离你60尺内的一个随机生物陷入持续1d4小时的中毒状态
75~76，下1分钟内，你发出30尺半径的明亮光照。任何在你周边5尺范围内结束其回合的生物将陷入目盲，并持续至其下一回合结束
77~78，你对自身施展变形术。如若豁免失败，则你在法术持续时间内被变成绵羊
79~80，下1分钟内，你身边10尺范围不断出现虚幻的蝴蝶和花瓣
81~82，你可以立刻执行一个动作
83~84，距离你30尺内的所有生物受到1d10点黯蚀伤害。你恢复等于伤害值的总和数值的生命值
85~86，你施展镜影术
87~88，你对身边60尺内随机一个生物施展飞行术
89~90，下1分钟内，你进入隐形，且其他生物无法听见你的声音。你一旦施法或攻击则隐形结束
91~92，如果你在下1分钟内死亡，则你立刻复活，如同被施展法术转生术
93~94，下1分钟内，你的体型暂时变大一级
95~96，下1分钟内，你和你身边30尺内所有生物获得穿刺伤害的易伤
97~98，下1分钟内，你被空灵的音乐声环绕
99~00，你恢复全部已消耗的术法点</t>
  </si>
  <si>
    <t>只要你与你的魔宠处于同一位面，你就可以用心灵感应与其进行交流，以及使用其感官感知世界。此外，当你通过魔宠的感官感知时，你可以通过魔宠用你自己的声音说话，而不论你的魔宠是否能够说话
先决条件：链之魔契</t>
  </si>
  <si>
    <t>附魔学者</t>
  </si>
  <si>
    <t>第2级起，你向法术书中抄写附魔系法术的时间和金钱花费减半</t>
  </si>
  <si>
    <t>物品：一套盔甲（需调谐）
穿戴者获得以下好处：
穿戴者的步行速度增加5尺
每一只装甲附带的手套在没有持握任何物品时皆可被视为一件近战魔法武器。穿戴者熟练于此手套，命中后会造成1d8力场伤害，此手套具有投掷属性，普通射程20尺，最大射程60尺。投掷时，手套会脱离并飞向攻击目标，然后立即回到穿戴者身上并重新连接
此盔甲除非你自愿，否则无法移除
如果你有肢体缺失，装甲能够替换你所有缺失的肢体——手、臂、脚、腿等，替换肢体的部分拥有和正常肢体一样的功能</t>
  </si>
  <si>
    <t>精魄行者</t>
  </si>
  <si>
    <t>第10级起，你获得以仪式施法方式施展法术问道自然的能力。施展此法术时，你所选的图腾兽会以精魄形态现身并回答你的疑问</t>
  </si>
  <si>
    <t>当你单手持用一把近战武器，且不持用其他武器，你使用这把武器的伤害掷骰获得＋2加值</t>
  </si>
  <si>
    <t>精通闪光</t>
  </si>
  <si>
    <t>第6级起，你能看见的生物在你周边30尺内攻击除你之外的某个生物时，你可以对该攻击者使用你的“守御闪光”</t>
  </si>
  <si>
    <t>千面相</t>
  </si>
  <si>
    <t>第14级起，你学会了用魔法精确改变自身外形的方法。你可以随意施展法术变身术</t>
  </si>
  <si>
    <t>你以武器攻击命中敌人时，可消耗一粒卓越骰以尝试恐吓该目标。使用此战技时，你将所消耗的卓越骰加在此次攻击的伤害掷骰中，并迫使目标进行一次感知豁免。豁免失败者将陷入对你恐慌的状态，直至你下一回合结束
豁免DC＝8+你的熟练加值+你的力量或敏捷调整值（自选）</t>
  </si>
  <si>
    <t>灵机一斩</t>
  </si>
  <si>
    <t>第17级起，身处你身边5尺范围内的生物被除你之外的生物攻击命中时，你可以用反应对该被攻击生物发动一次近战攻击</t>
  </si>
  <si>
    <t>古贤圣誓法术</t>
  </si>
  <si>
    <t>第3级时：诱捕打击、动物交谈
第5级时：月华之光、迷踪步
第9级时：植物滋长、防护能量伤害
第13级时：冰风暴、石肤术
第17级时：问道自然、树跃术</t>
  </si>
  <si>
    <t>防守战术</t>
  </si>
  <si>
    <t>第7级时，你从冲出重围、多重防御或钢铁意志中选择获得一个特性</t>
  </si>
  <si>
    <t>听声辨谎</t>
  </si>
  <si>
    <t>第3级起，当你进行一次感知（洞悉）检定来察觉一个生物是否在说谎时，你可以将d20投中低于8的结果都视为8</t>
  </si>
  <si>
    <t>混乱之潮</t>
  </si>
  <si>
    <t>第1级起，你可以使一次攻击检定，属性检定或豁免检定具有优势。此后，你必须完成一次长休后才能再次使用该特性
在你重获使用混乱之潮的能力前，你每次施展一个不低于1环的术士法术后，DM都可以要求你立刻骰一次狂野魔法浪涌效果。此后，你重获使用该特性的能力</t>
  </si>
  <si>
    <t>你不再需要睡眠，同样不能以任何手段强制入梦。为了获得长休息的益处，你可以花费8小时执行轻度的工作
先决条件：书之魔契</t>
  </si>
  <si>
    <t>催眠凝视</t>
  </si>
  <si>
    <t>第2级起，以一个动作，你指定身边5尺范围内一个你能看见的生物。如果该生物能看见你或者能听到你的声音，则其必须进行一次对抗你法师法术豁免DC的感知豁免，豁免失败则受你魅惑，其状态持续至你下一回合结束。该被魅惑生物的速度降至0，并陷入失能状态。外表上看该生物会是一副头晕目眩的样子
在接下来的回合中，你可以用另一个动作来延续该效应，以将其持续时间再延续至你的下一回合结束。然而，如果你移动到目标生物5尺以外，或者该生物变得不能看见你也不能听到你的声音，又或者目标生物受到伤害时，该效应将提前终止
如果该效应终止，或者该生物在最初的豁免中成功，则你将无法对这个生物再使用该特性，直至你完成一次长休</t>
  </si>
  <si>
    <t>魔法物品大师</t>
  </si>
  <si>
    <t>第18级起，你一次最多可以调谐六个魔法物品</t>
  </si>
  <si>
    <t>特性数量</t>
  </si>
  <si>
    <t>图腾同调</t>
  </si>
  <si>
    <t>第14级时，你根据所选的图腾兽获得一项魔法能力。你可以选择和之前相同的图腾，也可以另做选择</t>
  </si>
  <si>
    <t>当以双武器战斗时，你可以将你的属性调整值加到第二次攻击的伤害上</t>
  </si>
  <si>
    <t>仲夏庭院的芬馥</t>
  </si>
  <si>
    <t>第2级起，你得到等同于德鲁伊等级的d6骰作为妖精能量池
以一个附赠动作，你可以选择一名在你120尺内的可见盟友，并且花费最多等于你德鲁伊等级一半的d6骰。投掷那些骰子并把结果加在一起。目标恢复等于那个总值的生命值。目标同时也得到等同于花费骰子数目的临时生命值
在你结束一次长休之后，你恢复所有花费掉的骰子</t>
  </si>
  <si>
    <t>其他生物的近战攻击对你造成伤害时，你可以用你的反应消耗一粒卓越骰以减少伤害。减少的数值为卓越骰骰值+你的敏捷调整值</t>
  </si>
  <si>
    <t>四象门徒</t>
  </si>
  <si>
    <t>第3级起，你开始学习操控元素的法门。每种法门在使用时都需要消耗气
你会先习得元素同调法门和另一个自选法门，你将在第6、第11、第17级时，再各习得一个新法门
你每次习得新的法门时，还可以将一个你已知的法门替换为另一个符合选择条件的法门</t>
  </si>
  <si>
    <t>引导神力-自然之怒</t>
  </si>
  <si>
    <t>第3级起，以一个动作，你可以让特殊的藤蔓生长并缠绕一个距离你10尺内，你能看见的生物。该生物必须进行一次力量或敏捷豁免（由其选择），豁免失败者将陷入束缚状态。此后，每当该生物结束其回合时，都可以再进行一次该豁免。一旦豁免成功，则该生物挣脱束缚，藤蔓也就此消失
豁免DC等于你的圣武士法术豁免DC</t>
  </si>
  <si>
    <t>第7级起，以你为目标的借机攻击具有劣势</t>
  </si>
  <si>
    <t>细致入微</t>
  </si>
  <si>
    <t>第3级起，你可以使用附赠动作来进行一次感知（察觉）检定来侦测到一个隐藏的生物或物体，或者是进行一次智力（调查）检定来揭示和破译线索</t>
  </si>
  <si>
    <t>扭曲幸运</t>
  </si>
  <si>
    <t>第6级起，当一个你能看见的生物进行攻击检定、属性检定或豁免检定时，你可以用一个反应并消耗2术法点骰一次1d4，再将结果用作加值或减值（由你决定）加到目标生物的检定结果中。你可以在看到检定结果后使用该特性，但必须在这次检定生效前声明</t>
  </si>
  <si>
    <t>当你的魔宠距离你100英尺内时，若你恢复生命值，所有决定你恢复生命值点数的骰子，都被视为骰出了最大值
先决条件：链之魔契</t>
  </si>
  <si>
    <t>直觉魅惑</t>
  </si>
  <si>
    <t>第6级起，一个身处你周边30尺范围内你能看见的生物对你发动攻击检定时，你可以用你的反应来偏转本次攻击，前提是必须有另一生物在本次攻击的攻击范围内。攻击者必须进行一次对抗你法师法术豁免DC的感知豁免。豁免失败则攻击者必须转而攻击距离他最近的生物（不包括你或他自身）。如果有多个目标离他的距离相等且都为最近，则攻击者可以从中自选一个攻击对象。如果攻击者豁免成功，则你将无法对这个生物在使用该特性，直至你完成一次长休
你必须在攻击确认命中与否前使用该特性。而免疫魅惑的生物也同样免疫该特性</t>
  </si>
  <si>
    <t>奇械之魂</t>
  </si>
  <si>
    <t>第20级时，你当前每有一件调谐中的魔法物品，你就在所有豁免检定中得到+1加值
如果你的生命值降低到0，但没有立即死亡，你能以一个反应解除一个注法，使你的生命值降低到1而不是0</t>
  </si>
  <si>
    <t>第14级起，狂暴时，如果身处你周边5尺内的任何敌对生物发动攻击，而其目标不是你或另一个具有此特性的生物，则该攻击的攻击检定具有劣势。无法看到你或听到你声音的生物，以及无法陷入恐慌的生物对该特性免疫</t>
  </si>
  <si>
    <t>剑舞</t>
  </si>
  <si>
    <t>第3级起，当你在自己回合执行攻击动作时，你的步行速度提升10尺直到该回合结束。当作为该动作的一部分，由你发动的武器攻击命中生物时，你能选择使用以下剑舞选项之一，每回合你只能使用一项剑舞
防御剑舞：你可以消耗一次诗人激励的次数，并使该武器对你命中的目标造成额外的伤害。额外伤害等于你的激励骰掷骰结果。直到你的下回合开始，你也将该数值加在你的AC上
乱击剑舞：你可以消耗一次诗人激励的次数，并使该武器对你命中的目标和你5尺范围内能被你看见且受你选择的其他生物造成额外伤害，伤害等于你的激励骰投掷结果
灵活剑舞：你可以消耗一次诗人激励的次数，并使该武器对你命中的目标造成额外的伤害。你还能将目标向远离你的方向推动至多5＋你的激励骰掷骰结果尺。然后你能立即使用你的反应移动至多等于你步行速度的距离，来到距离目标5尺内的一个未被占据的空间</t>
  </si>
  <si>
    <t>光冕</t>
  </si>
  <si>
    <t>第17级起，你可以用你的动作启动日光的灵光，其效应持续1分钟或直至你用另一个动作将其解散。你将释放出半径60尺的亮光光照，以及其外延伸30尺的微光光照。身处该亮光光照中的敌人，为抵抗任何火焰或光耀伤害的法术而进行豁免检定时具有劣势</t>
  </si>
  <si>
    <t>月光与阴影的炉心</t>
  </si>
  <si>
    <t>第6级起，在进行一次短休息或长休息时，你可以祈求薄暮庭院的幽影之力来保护你的营地不被外来者侵扰。在休息开始时，你接触空间中的一点，以那一点为中心一个隐形的、半径30尺的球体魔法般地出现。全掩护会阻断这个球体
在这一领域内你和你的盟友在所有感知（察觉）检定和敏捷（隐匿）检定中得到+5加值，并且由任何明火放射的光亮从领域外是不可见的
这些效果持续到休息结束或你离开这个领域</t>
  </si>
  <si>
    <t>你进行武器攻击时，可以消耗一粒卓越骰以将其结果加在本次攻击的攻击检定中。你可以在进行攻击检定之前或之后使用此战技，不过必须在相应攻击效果生效之前作决定</t>
  </si>
  <si>
    <t>施放元素法术</t>
  </si>
  <si>
    <t>某些法门让你可施展法术。通过法门施法也适用正常的施法时间和其它规则，只是你不需要提供材料成分
第5级起，你可以通过消耗额外的气来提升以法门施展法术的环阶，使得法术更具威力。每额外消耗1点气，法术环阶就提升1级
你以该方式施展法术可消耗气的数量上限与你的武僧等级相关联：
5级起，施法最高消耗3气；9级起，施法最高消耗4气；13级起，施法最高消耗5气；17级起，施法最高消耗6气</t>
  </si>
  <si>
    <t>引导神力-驱散无信者</t>
  </si>
  <si>
    <t>第3级起，以一个动作，你亮出圣徽，迫使身边30尺范围内能够听到你声音的所有精类生物或邪魔都进行一次感知豁免，豁免失败者将受到驱散，其效应持续1分钟或直至其受到任何伤害
以该方式被驱散的生物必须花费其回合内的所有移动力尽量远离你，且无法主动靠近你30尺内。被驱散的生物无法执行反应，只能使用既有的疾走动作或从任何妨碍其移动的效应中挣脱。该生物无路可走时会执行回避动作
如果被驱散生物的真实外形被幻术、变形、或其他效应掩盖，那么在被驱散后，它将显露出原形
豁免DC等于你的圣武士法术豁免DC</t>
  </si>
  <si>
    <t>第7级起，你被生物的攻击命中时，你在本回合内对抗该敌人所有后续攻击的AC获得+4加值</t>
  </si>
  <si>
    <t>战斗洞察</t>
  </si>
  <si>
    <t>第3级起，以一个附赠动作，你对于一个你能看见的，并非失能的生物进行一次感知（洞悉）检定，对抗目标的魅力（欺瞒）检定。若你成功，你可以在你并未对该生物具有优势时对他发动偷袭攻击，但在你的攻击骰有劣势时不行。这个效果持续1分钟或直到你成功的对另一个目标使用了战斗洞察为止</t>
  </si>
  <si>
    <t>操控混沌</t>
  </si>
  <si>
    <t>第14级起，你每次骰狂野魔法浪涌效果时，可以骰两次检定再自选其一生效</t>
  </si>
  <si>
    <t>你可以使用任何锋刃魔契职业特性召唤出来的武器作为邪术师法术的法器
除此之外，武器在攻击骰和伤害骰上获得+1加值，除非它是一件已经有攻击骰和伤害骰加值的魔法武器
最后，你塑造的武器可以是短弓、长弓、轻弩或者重弩
先决条件：刃之魔契</t>
  </si>
  <si>
    <t>分裂附魔</t>
  </si>
  <si>
    <t>第10级起，你施展一个以单一生物为目标的1环或更高环阶的附魔系法术时，可以为该法术指定第二个目标</t>
  </si>
  <si>
    <t>本职工具</t>
  </si>
  <si>
    <t>第3级时，你获得炼金工具的熟练。如果你已经拥有此熟练，你能获得另一种任意工匠工具的熟练</t>
  </si>
  <si>
    <t>紫龙骑士</t>
  </si>
  <si>
    <t>愤怒风暴</t>
  </si>
  <si>
    <t>第14级起，狂暴时，你获得等同于你移动速度的飞行速度。此特性只能用于短途冲刺。如果回合结束时你仍在空中且毫无凭依，则你将坠落</t>
  </si>
  <si>
    <t>自然领域法术</t>
  </si>
  <si>
    <t>第1级时：化兽为友、动物交谈
第3级时：树肤术、荆棘丛生
第5级时：植物滋长、风墙术
第7级时：支配野兽、擒抱藤
第9级时：疫病虫群、树跃术</t>
  </si>
  <si>
    <t>隐匿通途</t>
  </si>
  <si>
    <t>第10级起，在你的回合，你可以以一个附赠动作传送到60尺内一处未被占据的可见区域。或者，你也可以用你的动作来接触一个自愿生物将它传送至30尺内一处未被占据的你可见的空间
你可以使用这个能力的次数等同于你的感知调整值（至少1次），当你结束一次长休之后，你恢复所有使用次数</t>
  </si>
  <si>
    <t>你以武器攻击命中敌人时，可以消耗一粒卓越骰以尝试将该目标推开。使用此战技时，你将所消耗的卓越骰加在此次攻击的伤害掷骰中。如果该目标为大型或更小体型，则其必须进行一次力量豁免。豁免失败者将被往远离你的方向推动至多15尺
豁免DC＝8+你的熟练加值+你的力量或敏捷调整值（自选）</t>
  </si>
  <si>
    <t>你可以用动作短暂操控身边30尺内的元素之力，并产生下列效应之一：
用土、水、气、火创造一次无害的瞬间视听效应，比如火花闪现、清风吹拂、青雾飘散、岩石轰隆
瞬间点燃或吹熄蜡烛，火炬或小型营火
加热或降温至多1磅无生命的物质，至多持续1小时
将土，水，雾或火按照你的心意塑形成至多1尺立方的粗糙形状，至多持续1分钟</t>
  </si>
  <si>
    <t>守御灵光</t>
  </si>
  <si>
    <t>第7级起，你和距离你10尺以内的友善生物获得对法术伤害的抗性
第18级起，灵光的作用范围扩展至30尺</t>
  </si>
  <si>
    <t>第7级起，你对抗恐慌的豁免具有优势</t>
  </si>
  <si>
    <t>镇定之眼</t>
  </si>
  <si>
    <t>第9级起，你可以在进行任何感知（察觉）检定或智力（调查）检定中得到优势，只要你在同一回合中移动不超过一半的速度</t>
  </si>
  <si>
    <t>法术轰击</t>
  </si>
  <si>
    <t>第18级起，你在为法术进行伤害掷骰时，如果其中的任何一粒骰子掷出最大值，额外再掷一枚伤害骰，并将其结果加在伤害数值上。你每回合只能使用一次该特性</t>
  </si>
  <si>
    <t>当你使用获得魔宠时，你将一定程度的魔能力量灌注给被召唤的魔宠，给予这个生物以下的能力：
该魔宠获得40尺飞行速度或游泳速度（由你选择）
你可以使用一个附赠动作指挥你的魔宠进行一次攻击动作
该魔宠的武器攻击被认为是魔法武器攻击，旨在克服对于非魔法攻击的免疫和抗性
如果该魔宠强迫一个生物进行豁免检定，它使用你的法术豁免DC
当你的魔宠受到伤害时，你可以使用你的反应动作给予它对于该伤害的抗性
先决条件：链之魔契</t>
  </si>
  <si>
    <t>编演记忆</t>
  </si>
  <si>
    <t>第14级起，你施展一个可以魅惑一个或更多生物的附魔系法术时，可以改变某一个生物的认识，以令其无法察觉自己已经被魅惑
此外，在法术持续时间结束前，你有一次机会可以用你的动作尝试修改被指定生物的记忆，让他忘记被魅惑期间的一些记忆。该生物必须进行一次对抗你法师法术豁免DC的智力豁免，豁免失败则其失去一定小时的记忆，其数值为1＋你的魅力调整值（至少为1）。你可以选择让目标忘记更短时间内的记忆，而所忘记记忆的长度不能超过该附魔法术的持续时间</t>
  </si>
  <si>
    <t>炼金师法术</t>
  </si>
  <si>
    <t>第3级起，当你获得表中所对应的炼金师等级时，你将同时习得列出的法术。这些法术将会一直在你的准备法术列表中，且不计入你的每日准备法术上限
第3级起：治愈真言、致病射线
第5级起：炽焰法球、马友夫强酸箭
第9级起：气化形体、群体治愈真言
第13级起：枯萎术、防死结界
第17级起：死云术、死者复活</t>
  </si>
  <si>
    <t>魔射手</t>
  </si>
  <si>
    <t>风暴之魂</t>
  </si>
  <si>
    <t>战斗风格</t>
  </si>
  <si>
    <t>第14级起，狂暴时，如果你在自己回合内以近战武器攻击命中一名大型或更小体型的生物，则你可以用一个附赠动作顺势将其打击至倒地</t>
  </si>
  <si>
    <t>剑舞大师</t>
  </si>
  <si>
    <t>第14级起，当你使用剑舞选项时，你可以投掷一枚d6来代替诗人激励的消耗</t>
  </si>
  <si>
    <t>自然侍僧</t>
  </si>
  <si>
    <t>第1级时，你习得一个自选的德鲁伊戏法。另外你从以下技能中选择一项获得熟练项：驯兽、自然或求生</t>
  </si>
  <si>
    <t>梦境行者</t>
  </si>
  <si>
    <t>第14级起，当你完成了一次短休息，你可以施展以下法术之一，无需消耗法术位也无需材料成分：托梦术（以你作为信使）、探知、或传送法阵
以这种方法使用的传送法阵是特别的。取代了打开入口通往永久性传送法阵的能力，它将打开入口通往你在现存位面上完成最后一次长休息的所在地。如果你没有在现存位面上进行过长休息，这个法术会失败但不会浪费
你必须完成一次长休才能再次使用该特性</t>
  </si>
  <si>
    <t>你在自己回合内可以使用一个附赠动作并消耗一粒卓越骰以鼓舞一名盟友的士气。选择一名能看见你或听到你声音的盟友，并使其获得数量等于卓越骰结果+你的魅力调整值的临时生命值</t>
  </si>
  <si>
    <t>你在自己回合内执行攻击动作时，可以消耗1点气使得火焰触须从四肢喷涌而出。在本回合余下时间里，你进行徒手打击时的触及范围增加10尺。而这些攻击造成的伤害变为火焰伤害，而非钝击伤害。若在攻击命中时再消耗1点气，则该次攻击还可额外造成1d10的火焰伤害</t>
  </si>
  <si>
    <t>不灭哨卫</t>
  </si>
  <si>
    <t>第15级起，你生命值降至0点，但尚未被直接杀死时，可以选择让你的生命值降到1点而不是0点。你必须完成一次长休才能再次使用该特性
此外，你不受任何衰老减益。也不会因为魔法效应而衰老</t>
  </si>
  <si>
    <t>多重攻击</t>
  </si>
  <si>
    <t>第11级时，你从箭雨或剑刃风暴中选择获得一个特性</t>
  </si>
  <si>
    <t>精准之眼</t>
  </si>
  <si>
    <t>第13级起，以一个动作，你感知到你周围30英尺内的幻术存在，不在天生形态下的变形生物，和其他意在欺瞒感官的魔法，前提是你没有目盲或耳聋。你能了解到了有一个效果正在试图欺骗你，不过你并没有得到对其后所掩盖的真相和对他真实本质的特殊洞察力
你可以使用这个功能的次数等于你的感知调整值（至少一次），当你完成一次长休，你重新获得所有次数</t>
  </si>
  <si>
    <t>神圣术法</t>
  </si>
  <si>
    <t>第1级起，当你的施法特性让你学会一个新的戏法法术时，除原本术士法术列表之外，你还可以从牧师法术列表中选择新法术。但是，你只能获取已有相应环阶法术位的法术
此外，选择一种对你神力来源的亲和力并根据这个关联，学习一个额外的法术。这些法术不占用你的术士已知法术且被你视为术士法术。如果你以后替换了这个法术，你必须用牧师的法术列表来替换它
善良：疗伤术
邪恶：致伤术
守序：祝福术
混乱：灾祸术
中立：防护善恶</t>
  </si>
  <si>
    <t>当该护符的佩戴者被一个30尺以内对你可见的攻击者攻击，你可以使用你的反应动作对于攻击者造成等于你熟练加值的心灵伤害，并将它推至护符佩戴者10英尺以外
先决条件：符之魔契</t>
  </si>
  <si>
    <t>塑能学者</t>
  </si>
  <si>
    <t>第2级起，你向法术书中抄写塑能系法术的时间和金钱花费减半</t>
  </si>
  <si>
    <t>实验性灵药</t>
  </si>
  <si>
    <t>第3级起，每当你完成一次长休，你能在一个你接触的空瓶中魔法性的制造出一剂实验性灵药。当某人饮用灵药时，通过实验性灵药表来掷骰决定灵药的效果。以一个动作，一个生物能自己饮用灵药，或是将灵药给一个失能生物饮用
你需要拥有炼金工具才能制造实验性灵药，你通过此特征创造的所有灵药会一直存在到被饮用，或是你一下次长休结束时
第6级起，你能创造2剂；第15级起，你能创造3剂
每剂灵药都需要掷骰决定效果。每一剂灵药都需要用独立的烧瓶盛放
你能通过消耗一枚1环或更高环的法术位来制造额外的实验性灵药。要这么做的话，你需要以一个动作接触一个空烧瓶来制造灵药，然后从实验性灵药表中选择这剂灵药的效果</t>
  </si>
  <si>
    <t>骑兵</t>
  </si>
  <si>
    <t>狂怒风暴</t>
  </si>
  <si>
    <t>第14级起，狂暴时，当你试图穿过一个被大体型或更小的生物占据的空间，你可以使用你的附赠动作让那个生物立即进行一次力量豁免（DC=8+你的力量调整值+你的熟练值）。若失败，生物被击倒并且受到1d12+你的力量调整值的钝击伤害</t>
  </si>
  <si>
    <t>心灵之刃</t>
  </si>
  <si>
    <t>第3级起，当你在一次武器攻击命中一个生物时，你可以消耗一次吟游激励的次数并对目标造成额外的2d6点精神伤害。你每轮在你的回合只能这样做一次
第5级起，3d6点精神伤害；第10级起，5d6点精神伤害；第15级起，8d6点精神伤害</t>
  </si>
  <si>
    <t>林地之语</t>
  </si>
  <si>
    <t>第2级起，你学会说、读、写木族语。此外，野兽能理解你的语言，而你也能理解它们的声音和动作。大多数野兽缺乏足够的智力去表述或理解复杂的概念，但友善的野兽可以复述它在最近听到或看到的事物。此能力并不会让你和野兽形成特别的友谊，尽管你可以将此技能与讨好它们的礼物结合使用，就像是你能对其他NPC做的那样</t>
  </si>
  <si>
    <t>当某生物对你发动近战攻击而未命中时，你可以使用反应并消耗一粒卓越骰对其发动一次近战武器攻击。如果该攻击命中，则将卓越骰加在此攻击的伤害掷骰中</t>
  </si>
  <si>
    <t>你可以消耗2点气施展雷鸣波</t>
  </si>
  <si>
    <t>上古斗士</t>
  </si>
  <si>
    <t>第20级时，你可以化作远古自然力量的化身，并获得一项你自己决定的外貌特征
你使用一个动作以经历该变化，并在接下来一分钟内获得以下增益：
你在每个自己的回合开始时，恢复10点生命值。
你施展施法时间为1动作的圣武士法术时，可以用一个附赠动作而不是一个动作来施展它。
距离你10尺以内的敌人对抗你圣武士法术和引导神力特性进行豁免检定时具有劣势</t>
  </si>
  <si>
    <t>第11级起，你使用你的动作指定你的远程武器射程内你能看见的某点，并分别对该点周围10尺范围内任意数量的生物发动一次远程攻击。发动该特性时，你必须有足够的弹药用以攻击敌人，且要为每个目标进行独立的攻击检定</t>
  </si>
  <si>
    <t>识破弱点</t>
  </si>
  <si>
    <t>第17级起，当你的战斗洞察对一个生物使用时，你对该生物的偷袭伤害提高3d6</t>
  </si>
  <si>
    <t>众神眷恩</t>
  </si>
  <si>
    <t>第1级起，若你未通过一次豁免检定或在一次攻击检定中失手，你可以投2d4，并将它加到总值上，这可能会改变结果
你必须完成一次长休或短休才能再次使用该特性</t>
  </si>
  <si>
    <t>第4级起，当你的邪术师职业等级抵达能让你获得属性值提升时，你能进行以下一项改变
1．从邪术师戏法列表表中选择一个你未习得的戏法，替换一个你已经习得的戏法
2．用另一个你能够选择的魔契恩泽选项替换你当前的一个魔契恩泽选项
3．如果你的角色已经12级或者更高，你可以将一个玄奥秘法的法术替换为另一个同环邪术师法术
如果这些改变让你不再符合某些魔能祈唤的条件，你必须现在选择那些符合你条件的祈唤来替换它们</t>
  </si>
  <si>
    <t>法术塑形</t>
  </si>
  <si>
    <t>第2级起，你施展某个塑能系法术时，如果该法术的效应影响你能看见的其他生物，则你可以从中指定一定数量的生物作特殊处理。被指定生物的数量等于1＋该法术的环阶，而被指定生物进行该法术豁免时将直接判为成功，且豁免成功伤害减半的法术此时也不对该生物造成任何伤害</t>
  </si>
  <si>
    <t>炼金术掌握</t>
  </si>
  <si>
    <t>第5级起，当你使用炼金工具作为法器施法时，你在法术的一次掷骰中获得加值。该掷骰必须恢复生命值，或是造成强酸、火焰、黯蚀或毒素伤害，获得的加值等于你的智力调整值（最低+1）</t>
  </si>
  <si>
    <t>武士</t>
  </si>
  <si>
    <t>兽性之魂</t>
  </si>
  <si>
    <t>第14级起，狂暴时，如果你向一个大体型或者更小的目标直线接近至少20尺并且向它进行了一次近战武器攻击，你可以用附赠动作对它进行一次额外的近战武器攻击</t>
  </si>
  <si>
    <t>恶毒言辞</t>
  </si>
  <si>
    <t>第3级起，若你单独的对一个类人生物说话至少1分钟，你可以尝试在其心灵中埋下多疑与恐惧的种子。在这次谈话的结束时，该目标必须通过一次感知豁免检定，对抗你的法术豁免DC，否则在接下来对你或者你指定的生物变得恐慌，直到1小时或直到下述事件发生时结束：他被攻击或伤害，他目击其盟友被攻击或伤害
若一个目标在对抗此效果的豁免检定中成功，该目标对于你试图让他变得恐慌的行为没有任何察觉
你必须完成一次长休或短休才能再次使用该特性</t>
  </si>
  <si>
    <t>引导神力-魅惑动植物</t>
  </si>
  <si>
    <t>第2级起，你可以用一个动作展示你的圣徽同时呼唤守护神之名。身处你身边30尺内每个你能看见的野兽或植物生物都必须进行一次感知豁免。豁免失败者将受你魅惑，该魅惑状态将持续1分钟或直至其受到伤害。受你魅惑时，该生物对你及你指定的生物均保持友善
豁免DC等于你的牧师法术豁免DC</t>
  </si>
  <si>
    <t>精魂图腾</t>
  </si>
  <si>
    <t>第2级起，以一个附赠动作，你可以魔法般地召唤一个虚体的精魂，到处于你周围60尺内、你能看到的一点处。此精魂创造出一道环绕该点的、30尺半径的光环。精魂不算作是生物，也不算作是物体，尽管它有着符合对应生物的幽魂般的外表
以一个附赠动作，你可以移动此精魂至多60尺，到你能看到的一点处
此精魂持续1分钟或直到你失能。一旦你使用了此特性，你无法再次使用它，直到你完成一次短休息或长休息为止
此精魂的光环效果基于你召唤的精魂的类别，如下面的选项所示：
熊精魂：熊精魂授予你和你的伙伴它的力量和坚韧。在精魂出现时，每个处于此光环中、由你选择的生物，获得等于5+你的德鲁伊等级的临时生命值。此外，你和你的盟友在处于光环内时，在力量检定和力量豁免检定中获得优势
鹰精魂：鹰精魂是技艺精湛的猎手，用它敏锐的视力标记你的敌人。当一个生物对一个处于此精魂光环内的目标进行一次攻击检定时，你可以使用你的反应让这次攻击检定获得优势。此外，在光环内你和你的盟友得到感知（察觉）检定的优势
独角兽精魂：独角兽精魂为周围提供保护。你和你的盟友在用于侦测在此精魂光环内的生物所进行的所有属性检定中获得优势。此外，若你以一个法术位施展了一个为任何处于或不处于光环内的人恢复生命值的法术，每个处于光环内、由你选择的生物也恢复等于你德鲁伊等级的生命值</t>
  </si>
  <si>
    <t>你以近战武器攻击命中敌人时，可以消耗一粒卓越骰以尝试连带攻击附近的另一个生物。使用此战技时，指定你触及范围内一个距离初始目标不超过5尺的生物。如果你原本的攻击检定足以命中第二个目标，则它将受到等同于你卓越骰结果的伤害。此伤害与你原本攻击的伤害类型相同</t>
  </si>
  <si>
    <t>以一个动作，你可以消耗2点气并指定一个在你身边30尺内的生物。该生物必须进行一次力量豁免，豁免失败者将受到3d10点钝击伤害，此外你每额外消耗1点气则再增加1d10点钝击伤害，并且可以将目标从远离你的方向推开至多20尺再使其倒地。豁免成功则伤害减半，且不会被推离和击倒
豁免DC＝8+你的熟练加值+你的感知调整值</t>
  </si>
  <si>
    <t>复仇圣誓法术</t>
  </si>
  <si>
    <t>第3级时：灾祸术、猎人印记
第5级时：人类定身术、迷踪步
第9级时：加速术、防护能量伤害
第13级时：放逐术、任意门
第17级时：怪物定身术、探知</t>
  </si>
  <si>
    <t>第11级起，你使用你的动作指定你身边5尺内任意数量的生物，并分别对其发动一次近战攻击，每个受此攻击的目标必须进行独立的攻击检定</t>
  </si>
  <si>
    <t>阴谋大师</t>
  </si>
  <si>
    <t>第3级起，你可以得到易容工具、文书伪造工具和一种自选赌博工具的熟练。你同时可以学会两种自选语言
此外，如果你听到一个生物讲话长于1分钟，你可以确切无误地模仿他的语气和口音。这允许你模仿来自某个特殊地区的特别口音，只要你知晓这种语言</t>
  </si>
  <si>
    <t>强效治疗</t>
  </si>
  <si>
    <t>第6级起，当你或你的盟友在你周围5英尺内掷骰子来决定法术恢复hp点数的时候，只要你没有失能，你便可以花费1个术法点，重扔其中任意数量的骰子。每轮只能使用一次该能力</t>
  </si>
  <si>
    <t>你可以消耗你的邪术师法术位施展一个缓慢术。你必须完成一次长休才能再次使用该特性</t>
  </si>
  <si>
    <t>强力戏法</t>
  </si>
  <si>
    <t>第6级起，你造成伤害的戏法可以影响本可免受戏法效应影响的生物。生物对抗你戏法的豁免成功时，它仍将受到一半伤害（若有），但仍不会受该戏法的其他效应影响</t>
  </si>
  <si>
    <t>复原药剂</t>
  </si>
  <si>
    <t>第9级起，每当一个生物饮用一剂你制造的实验性灵药时，该生物获得2d6+你智力调整值的临时生命值。（至少1点临时生命点）
此外，只要你使用炼金工具作为法器，就可以在不花费法术位的情况下施展次级复原术。你能够这么做的次数等于你的智力调整值（最少1次），在你完成一次长休后，将恢复所有可用次数</t>
  </si>
  <si>
    <t>回音骑士</t>
  </si>
  <si>
    <t>受祝击</t>
  </si>
  <si>
    <t>战狂装甲</t>
  </si>
  <si>
    <t>第3级起，当你穿着钉刺甲并在狂暴中，你可以使用你的附赠动作用钉刺甲对5尺内的目标进行一次近战武器攻击。若攻击命中，钉刺将造成1d4的穿刺伤害。把你的力量调整加在武器的攻击和伤害骰上
另外，当你使用攻击动作去擒抱一个生物，你在擒抱检定成功时对他造成3点穿刺伤害</t>
  </si>
  <si>
    <t>低语光环</t>
  </si>
  <si>
    <t>第6级起，当一个类人生物在你周围30尺内死去时，你可以使用你的反应，通过魔法能力捕获其影。你能保持这个影子直到你完成了一次长休息
你能以一个动作使用影子，当你这么做时，影子消失，魔法改变了你的外表。你看起来就像那个死去的人物，除了你还健康的活着。伪装持续1小时，或直到你以一个附赠动作结束此效果
当你处于伪装中，你会获得所有该生物会与泛泛之交分享的信息。这包括了其背景和人生的一般细节，但不包括秘密。这些信息足够你借用它的记忆来伪装成该生物
其他生物可以通过进行一次感知（洞悉）检定，对抗你的魅力（欺瞒）检定，来看穿此伪装，你在你的检定中获得+5加值
一旦你使用此特性捕捉了一道影子，你必须完成一次长休或短休才能再次使用该特性</t>
  </si>
  <si>
    <t>抑制元素</t>
  </si>
  <si>
    <t>第6级起，身处你或身处你身边30尺内的一个生物受到强酸，冷冻，火焰，闪电或雷鸣伤害时，你可以用你的反应使该生物在本次伤害过程中对该伤害类型具有抗性</t>
  </si>
  <si>
    <t>强力召唤</t>
  </si>
  <si>
    <t>第6级起，你获得了召唤强力野兽和精类的能力。任何你法术召唤或创造出的野兽或精类获得两种好处：
该生物出现时具有比正常情况下更多的生命值：它具有的每个HD会多出2点额外的生命值
在克服对于非魔法攻击和伤害的免疫和抗力时，来自该生物天生武器的伤害被视为是魔法的</t>
  </si>
  <si>
    <t>你以武器攻击命中敌人时，可以消耗一粒卓越骰以尝试击倒该目标。使用此战技时，你将所消耗的卓越骰加在此次攻击的伤害骰中。如果该目标为大型或更小体型，则其必须进行一次力量豁免。豁免失败则其应击倒地
豁免DC＝8+你的熟练加值+你的力量或敏捷调整值（自选）</t>
  </si>
  <si>
    <t>你可以消耗2点气施展造风术</t>
  </si>
  <si>
    <t>引导神力-破胆斥喝</t>
  </si>
  <si>
    <t>第3级起，以一个动作，你亮出圣徽，高喊一句斥责敌人的祷言，并使用引导神力特性。指定一个你能看见，且距离你60尺以内的生物。目标生物必须进行一次感知豁免，除非其免疫恐慌。邪魔和不死生物进行该豁免时具有劣势
豁免失败者将在接下来的一分钟内陷入恐慌，直至其受到伤害。在恐慌状态下，目标生物的速度降至0，且不能从任何增加移动速度的效应中上获益
豁免成功，则目标生物的速度在接下来的1分钟内减半，直至其受到伤害
豁免DC等于你的圣武士法术豁免DC</t>
  </si>
  <si>
    <t>高效猎人防术</t>
  </si>
  <si>
    <t>第15级时，你从反射闪避、逆流而上或直觉闪避中选择获得一个特性</t>
  </si>
  <si>
    <t>战术大师</t>
  </si>
  <si>
    <t>第3级起，你可以把协助动作作为附赠动作使用。此外，当你使用协助动作帮助一个盟友攻击一个生物时，如果攻击目标可以看到你或者听到你的话，攻击的目标可以在30尺以内，而不是你的5尺之内</t>
  </si>
  <si>
    <t>神圣之翼</t>
  </si>
  <si>
    <t>第14级起，你可以使用一个附赠动作，在你的背部展现一对光翼。当光翼展现时，你具有30尺的飞行速度。它们会一直展现着，直到你失能、死亡、或者你以一个附赠动作遣散
你为你神圣魔法的特性所选择的亲和力，决定了光翼的外观</t>
  </si>
  <si>
    <t>身处微光或黑暗环境时，你可以使用动作进入隐形，其效应持续至你进行移动、执行动作或执行反应时终止</t>
  </si>
  <si>
    <t>强效塑能</t>
  </si>
  <si>
    <t>第10级起，你施展任何塑能系法师法术时，可以将你的智力调整值加到该法术的其中一次伤害掷骰中</t>
  </si>
  <si>
    <t>化学专家</t>
  </si>
  <si>
    <t>第15级起，你获得了对强酸伤害和毒素伤害的抗性，同时对中毒状态免疫
只要你使用炼金工具作为法器，就能够在不消费法术位和材料成分的情况下施展高等复原术或医疗术。一旦你通过此特性施法，必须完成一次长休才能再次使用此特性</t>
  </si>
  <si>
    <t>符文骑士</t>
  </si>
  <si>
    <t>奥术射击</t>
  </si>
  <si>
    <t>凶蛮无羁</t>
  </si>
  <si>
    <t>第6级起，若你在狂暴中使用鲁莽攻击，你可以得到等同你体质调整值的临时生命（最少1点）。当你结束狂暴时它们消失</t>
  </si>
  <si>
    <t>阴暗学识</t>
  </si>
  <si>
    <t>第14级起，以一个动作，你对一个30尺内，能听见你的声音的生物发出一段魔法的低语。目标必须进行一次感知豁免检定，对抗你的法术豁免DC。若它与你没有共通的语言，或是它不能听见你的声音，它会自动在豁免中成功。在一次成功的豁免检定中，你的低语声听起来就像是不知所云的呢喃，并且没有效果
若目标在豁免检定中失败，他将在接下来的8小时内被你魅惑，或直到你或你的盟友攻击了它、伤害了它，或是迫使它进行一次豁免检定。他认为这段低语描述了他最为困窘的秘密。尽管你不会了解到这个秘密，目标坚信你已经知道了
当被以此法魅惑时，该生物因为畏惧你会公开他的秘密而遵循你的命令。他不会为了你让自己的生命受到威胁，或是为你战斗，除非他已经这么做。他偏向于你，并会像密友那样提供关爱和恩惠
当此效果结束时，该生物不会明白为什么他会对你如此恐惧
你必须完成一次长休才能再次使用该特性</t>
  </si>
  <si>
    <t>第8级起，你在每个自己回合里有一次机会，可以在用武器攻击命中某生物时，使该攻击额外造成1d8点冷冻，火焰或闪电伤害（由你选择）。第14级起，该伤害提升到2d8</t>
  </si>
  <si>
    <t>精魂守卫</t>
  </si>
  <si>
    <t>第10级起，当一个你以法术召唤或创造的野兽或精类在你的精魂光环内结束其回合时，该生物恢复等于你德鲁伊等级一半的生命值</t>
  </si>
  <si>
    <t>当你进行一次敏捷（隐匿）检定或先攻检定时，你能够消耗一枚卓越骰，并将消耗的卓越骰加入检定中</t>
  </si>
  <si>
    <t>以一个动作，你可以消耗1点气并指定你周边120尺内一块不大于30尺的冰或水的区域。你可以将该区域内的水凝为冰，反之亦可，并且还可以将区域内的冰塑造成任意的形状。你可以提高或降低冰的高度，创造或填平沟壑，竖起或放倒冰墙，或是塑造一根冰柱。这些造型的最大尺寸不能超过该区域最大边长的一半。你不能通过塑形冰来困住或伤害区域内的生物</t>
  </si>
  <si>
    <t>引导神力-仇敌誓言</t>
  </si>
  <si>
    <t>第3级起，以一个附赠动作，你可以立下一个仇敌誓言，宣誓歼灭一个你可以看到，且距离你10尺以内的生物，同时使用你的引导神力。在接下来的1分钟内，你对该生物发动攻击时进行的攻击检定具有优势，直至该生物的生命值降至0或者陷入昏迷状态</t>
  </si>
  <si>
    <t>第15级起，你在成为某一范围效应影响对象时，若该效应允许你通过成功的敏捷豁免来使伤害减半，则你在该豁免成功时不受伤害，而豁免失败时只受一半伤害</t>
  </si>
  <si>
    <t>洞察力</t>
  </si>
  <si>
    <t>第9级起，如果你至少花1分钟观察或与战斗之外的其他生物进行交互，你可以了解到跟你自己的能力相比较的某些信息。DM告诉你，在你选择的下列两个特征中，是否你的相等、优越或低等：
智力值
感知值
魅力值
职业等级（如果有的话）
如果你的DM允许，你也有可能知道这个生物的一段经历或者它的一个性格特征，如果它有的话</t>
  </si>
  <si>
    <t>神秘复原</t>
  </si>
  <si>
    <t>第18级起，当你的hp不足一半时，以一个附赠动作，你可以获得等同于你一半生命值的生命
你必须完成一次长休才能再次使用该特性</t>
  </si>
  <si>
    <t>你可以消耗你的邪术师法术位施展一个降咒。你必须完成一次长休才能再次使用该特性</t>
  </si>
  <si>
    <t>超限导能</t>
  </si>
  <si>
    <t>第14级起，施展一个造成伤害的1-5环法师法术时，你可以让法术的伤害直接取其最大值。该特性不能作用于戏法
首次发动该特性时，你并不会承受任何减益。如果你在完成一次长休前再次使用此特性，则你将在施法完成后立刻受到等于该法术每环阶2d12点黯蚀伤害。你在完成一次长休前，每再使用一次该特性，每环阶的黯蚀伤害就增加1d12。这种反噬伤害将无视任何的抗性和免疫</t>
  </si>
  <si>
    <t>第3级时，你获得木匠工具的熟练。如果你已经拥有此熟练，你能获得另一种任意工匠工具的熟练</t>
  </si>
  <si>
    <t>灵能武士</t>
  </si>
  <si>
    <t>宿敌</t>
  </si>
  <si>
    <t>战狂冲锋</t>
  </si>
  <si>
    <t>第10级起，你在狂暴中可以用一个附赠动作进行疾冲</t>
  </si>
  <si>
    <t>巧舌如簧</t>
  </si>
  <si>
    <t>第3级起，当你进行一个魅力（游说）或（欺瞒）检定时，你可以将d20骰掷10以下的结果都视为10</t>
  </si>
  <si>
    <t>自然大师</t>
  </si>
  <si>
    <t>第17级起，当生物受你的魅惑动植物特性魅惑时，你可以在自己回合内执行一个附赠动作并发出一个口头指令，而所有这些受魅惑生物都将在其下一回合执行该指令</t>
  </si>
  <si>
    <t>忠诚召唤</t>
  </si>
  <si>
    <t>第14级起，若你的生命值降到0，或非自愿地变得失能，你可以立即获得召唤野兽法术的好处，如同它是以一个9级法术位施展的那样。它召唤出四只由你选择的、挑战等级2或更低的野兽。被召唤的野兽出现在你周围20尺内。如它们没有从你那里获得命令，它们会保护你免受伤害并攻击你的敌人。此法术持续1小时，无需专注，或直到你解消它（无需动作）
你必须完成一次长休才能再次使用该特性</t>
  </si>
  <si>
    <t>当你距离一个盟友5尺以内时，你能够消耗一枚卓越骰，如果你同时消耗5尺的移动力，你能与该盟友互换位置，这一移动不会引发借机攻击
掷消耗的卓越骰。直到你的下个回合开始前，你或另一个生物（由你选择）的AC获得等于掷骰结果的加值</t>
  </si>
  <si>
    <t>你可以消耗2点气施展燃烧之手</t>
  </si>
  <si>
    <t>坚韧复仇</t>
  </si>
  <si>
    <t>第7级起，你以借机攻击中命中一个生物时，可以在该攻击后立刻移动至多相当于你速度一半的距离，本次移动是原反应的一部分。且本次移动不引起借机攻击</t>
  </si>
  <si>
    <t>第15级起，当敌人对你的近战攻击未命中时，你可以用反应迫使敌人向你所指定的生物（除攻击者外）重新发动攻击</t>
  </si>
  <si>
    <t>误导</t>
  </si>
  <si>
    <t>第13级起，每当你成为一次攻击的目标，并且在你的5尺距离内有生物为你对抗这次攻击提供了掩蔽，你可以使用你的反应将这次攻击的目标转移给这个生物</t>
  </si>
  <si>
    <t>幽暗之瞳</t>
  </si>
  <si>
    <t>第1级起，你获得120尺黑暗视觉
第3级起，你掌握了黑暗术，这不会占用你术士已知法术数量。你可以用2点术法点或1个法术位来释放。当你用法术点施法时，你能够看穿该法术所制造的黑暗</t>
  </si>
  <si>
    <t>当你自身回合内使用契约武器执行攻击动作时，你可以发动两次攻击而非一次
先决条件：刃之魔契</t>
  </si>
  <si>
    <t>幻术学者</t>
  </si>
  <si>
    <t>第2级起，你向法术书中抄写幻术系法术的时间和金钱花费减半</t>
  </si>
  <si>
    <t>魔炮师法术</t>
  </si>
  <si>
    <t>第3级起，当你获得表中所对应的魔炮师等级时，你将同时习得列出的法术。这些法术将会一直在你的准备法术列表中，且不计入你的每日准备法术上限
第3级起：护盾术、雷鸣波
第5级起：灼热射线、粉碎音波
第9级起：火球术、风墙术
第13级起：冰风暴、火墙术
第17级起：寒冰锥、力场墙</t>
  </si>
  <si>
    <t>自然探索者</t>
  </si>
  <si>
    <t>符文雕刻</t>
  </si>
  <si>
    <t>钉刺反冲</t>
  </si>
  <si>
    <t>第14级起，每当你5尺内有生物用近战攻击命中你，同时你处于狂暴中且并非失能，攻击者将立即受到3点穿刺伤害。你必须穿着钉刺甲才能使用这个能力</t>
  </si>
  <si>
    <t>扰神之词</t>
  </si>
  <si>
    <t>第3级起，你可以用一个附赠动作消耗一次诗人激励次数，并选择你身边60尺内一个你能看见的生物。骰掷一次诗人激励骰。在你的下一个回合开始前，该生物进行的下一次豁免必须在掷骰结果中减去你的激励骰结果的数字</t>
  </si>
  <si>
    <t>风暴领域法术</t>
  </si>
  <si>
    <t>第1级时：云雾术、雷鸣波
第3级时：造风术、粉碎音波
第5级时：召雷术、雪雨暴
第7级时：操控水体、冰风暴
第9级时：湮灭波、疫病虫群</t>
  </si>
  <si>
    <t>第2级起，你学会孢子结社法术
结社法术一旦获得，将会一直在你的已准备法术列表中，且不计入你的每日准备法术上限。任何结社法术对你而言都是德鲁伊法术，而不论其是否在德鲁伊法术列表之上
第2级时：冻寒之触
第3级时：遗体防腐、目盲/耳聋术
第5级时：操纵死尸、气化形体
第7级时：枯萎术、困惑术
第9级时：死云术、疫病术</t>
  </si>
  <si>
    <t>当一个生物移动进你的触及范围而你手握武器时，你能以一个反应消耗一枚卓越骰对该生物进行一次武器攻击。如果攻击命中，将消耗的卓越骰加入此次攻击的伤害检定中</t>
  </si>
  <si>
    <t>你可以用一个动作消耗2点气创造一根水鞭推拉目标使其失去平衡。指定你周边30尺区域内一个你能看见的生物，并迫使其进行一次敏捷豁免。豁免失败者将受到3d10点钝击伤害，此外你每额外消耗1点气则再增加1d10点钝击伤害，且你可以使目标倒地或者将其向你的方向拉近至多25尺。豁免成功则伤害减半，且不会被拉近和击倒
豁免DC＝8+你的熟练加值+你的感知调整值</t>
  </si>
  <si>
    <t>复仇之魂</t>
  </si>
  <si>
    <t>第15级起，一个受你仇敌誓言影响的生物发动攻击时，如果其身处你的近战武器攻击范围内，则你就可以用你的反应对其发动一次近战武器攻击</t>
  </si>
  <si>
    <t>第15级起，当一个你能看见的敌人攻击命中你时，你可以用反应让此次攻击的伤害减半</t>
  </si>
  <si>
    <t>心灵欺骗</t>
  </si>
  <si>
    <t>第17级起，除非你允许，否则你的思想不能被心灵感应或者其他能力阅读。如果你使用魅力（欺瞒）检定并在与思想阅读者的感知（洞悉）检定的对抗之中胜出，你还可以伪造思想使对方信以为真
此外，不管你说什么，你总是可以选择让魔法判定你在说真话并显现出相应的迹象。你也不会因为魔法效应的影响而被强迫说出真话</t>
  </si>
  <si>
    <t>终焉之力</t>
  </si>
  <si>
    <t>第1级起，当生命值被降至0点时，你可以通过一个DC=该次所受伤害+5的魅力豁免。若豁免成功，作为代替你的生命值被降至1点。若该次伤害为光耀或重击时你不可使用此能力
当你通过豁免后直到下一次长休前不能再使用此能力</t>
  </si>
  <si>
    <t>以一个附赠动作，你周身环绕起外观如同纷飞蚊蝇般的魔法灵光。灵光从你四周散发5英尺，但不会穿过全掩蔽。灵光持续到你失能或以一个附赠动作解消它
灵光给予你在魅力（威吓）检定的优势，但你在所有其他魅力检定上遭受劣势。任何在灵光内开始回合的生物，受到等于你魅力调整值的毒素伤害（最小为0）
你必须完成一次长休或短休才能再次使用该特性</t>
  </si>
  <si>
    <t>精通次级幻影</t>
  </si>
  <si>
    <t>第2级起，你习得戏法次级幻影。如果你已学会此戏法，则你可以学习另一个自选的法师戏法。该戏法不计入你的已知戏法数目限制
你施展戏法次级幻影时，可以在一次施法中同时创造出声音和影像</t>
  </si>
  <si>
    <t>魔能炮台</t>
  </si>
  <si>
    <t>第3级起，只要你手持木匠工具或铁匠工具，你能以一个动作在距离你5尺且没被占据的水平空格内魔法性地召唤出一架小型或微型炮台。小型魔能炮台会占据它所在的方格，而微型炮台能直接拿在手里
你每天能够免费召唤一次炮台，你在这么做后，必须完成一次长休才能再次进行。但是你也可以通过消费一个法术位来制造炮台。你不能制造第二个炮台
无论炮台有多大，它都是魔法物件。它的ac是18，生命值是你奇械师等级的5倍。它对毒素伤害和心灵伤害免疫。如果它被迫进行属性检定或豁免检定，则将其所有属性都视为10(+0)。如果对炮台施展修补术，它将恢复2d6生命值。炮台在生命值降低到0或者1小时后消失。你能够以一个动作来提早让它消失
当你制造炮台时，你可以决定它的外观以及是否有腿，并且需要从魔能炮台列表中选择它的类型。在你的每个回合中，只要你离炮台不到60尺，就能以一个附赠动作来激活炮台。作为同一动作的一部分，你可以引导有腿的炮台步行或攀爬到15英尺内的一个未占用的空间中</t>
  </si>
  <si>
    <t>原初意识</t>
  </si>
  <si>
    <t>先祖护卫</t>
  </si>
  <si>
    <t>第3级起，当你处于狂暴状态，你的回合内你攻击命中的第一个目标直到你的下一个回合开始，对你以外的生物的攻击骰取劣势，若目标在一次攻击中击中了除你以外的生物，该生物对那次攻击有伤害抗力。若你的狂暴结束，此效果也随之提前结束</t>
  </si>
  <si>
    <t>不竭鼓舞</t>
  </si>
  <si>
    <t>第6级起，当一个生物将一个你的诗人激励骰加到其属性检定、攻击检定或豁免检定而掷骰失败时，该生物可以保留那个诗人激励骰</t>
  </si>
  <si>
    <t>第1级时，你获得军用武器和重甲的熟练项</t>
  </si>
  <si>
    <t>孢子光晕</t>
  </si>
  <si>
    <t>第2级起，当一个生物进入你10尺内时，或在其中开始其回合时，你可以使用反应来激发孢子光晕特性。对方必须进行一次等同于你法术DC的体质豁免，豁免失败则受到1d4点黯蚀伤害
第6级起，提高到1d6；第5级起，提高到1d8；第14级起，提高到1d10</t>
  </si>
  <si>
    <t>当你进行一次魅力（威吓）、魅力（表演）或魅力（说服）检定时，你能够消耗一枚卓越骰，将消耗的卓越骰加入此次属性检定中</t>
  </si>
  <si>
    <t>你可以消耗3点气施展法术人类定身术</t>
  </si>
  <si>
    <t>复仇天使</t>
  </si>
  <si>
    <t>第20级时，你可以化身为复仇的天使。你可以使用动作实行这种转变，并在接下来的1小时内获得以下增益：
你背生双翼，获得60尺飞行速度
你散发出一个30尺半径范围的威胁灵光。在一次战斗中，任何敌对生物第一次进入灵光范围，或者在灵光范围内开始其回合时，都必须进行一次感知豁免。豁免失败者将在接下来的1分钟陷入对你的恐慌状态，直至受到伤害。对因此陷入恐慌的生物所进行的任何攻击检定都具有优势
你必须完成一次长休才能再次使用该特性</t>
  </si>
  <si>
    <t>第3级起，你获得一个野兽伴侣陪你一起冒险，指定一个不大于中型体型，且挑战等级为1/4或更低的野兽。将你的熟练加值加到该野兽的AC，攻击检定，伤害掷骰以及其所有具有熟练项的豁免和技能检定中。其生命值上限选用其原上限，或你游侠等级的四倍两者中较高者。跟其他别的生物一样，该野兽也可在短休时使用生命骰
动物伴侣会尽可能执行你的命令。它会在轮到你的先攻时行动。你在自己回合内可以用声音指令指示该野兽往何处移动（无需执行其他动作）。你可以用你的动作以声音指令指示它执行攻击，疾走，撤离或协助动作。若你无法发出指令，该野兽将自主执行回避动作。如果你具有额外攻击特性，则你可以在命令该野兽执行攻击动作的同时自己发动一次武器攻击
若你陷入失能或并不在场，该野兽将自主活动，并集中致力于保护你和它自己。该野兽此时无需你下达指令即可使用期反应，比如以此发动一次借机攻击
身处偏好地形时，如果只有该野兽与你一起，则你仍可以保持隐匿状态以正常步调旅行
如果该野兽死亡，则你可以耗费8小时与另一个非敌对关系的野兽建立魔法联结成为伴侣，新的伴侣不一定要与之前的野兽类型相同
该野兽可以跟其他生物一样在短休时使用其生命骰。当你陷入失能或不在身边时，该野兽也可以自主的保护你或者它自身。它被借机攻击时，不需等待你的命令就可以执行其反应</t>
  </si>
  <si>
    <t>散兵战术</t>
  </si>
  <si>
    <t>第3级起，当一个敌人在你周围5英尺内结束其回合时，你可以以一个反应移动至多你速度的一半。此移动不会导致借机攻击</t>
  </si>
  <si>
    <t>凶兆猎犬</t>
  </si>
  <si>
    <t>第6级起，你可以以一个附赠动作消耗3点术法点选择一个120尺内你可见的生物作为目标，用魔法召唤一头凶兆猎犬的猎犬去猎杀它。凶兆猎犬用恐狼的模板但有以下变化：
猎犬的体型由大体型变为中等体型，猎犬视作怪兽而不是野兽
当猎犬被召唤时获得等同于你术士等级一半的临时生命值
猎犬可以像穿越困难地形一样穿过其他生物或物体。如果当猎犬的回合结束时处于某个物体内则会受到5点的力场伤害
当猎犬的回合开始时，自动知晓猎物的所在。如果目标处于躲藏状态，它对猎犬来说不再处于该状态</t>
  </si>
  <si>
    <t>每回合一次，当你以契约武器命中一个生物，你可以消耗一个邪术师法术位，对目标造成额外1d8+每法术位等级1d8的力场伤害，如果目标体型是巨型或更小，你可以将它击倒
先决条件：刃之魔契</t>
  </si>
  <si>
    <t>易变幻象</t>
  </si>
  <si>
    <t>第6级起，你施展持续时间不少于1分钟的幻术系法术时，可以用你的动作改变幻象的外形（仍需遵守相应法术的描述），前提是你必须可以看见该幻象</t>
  </si>
  <si>
    <t>投火机</t>
  </si>
  <si>
    <t>炮台在你指定的一个15尺锥形范围内发射火焰。该区域内的每个生物必须对你的法术豁免DC做一次敏捷豁免检定，如果豁免失败则受到2d8火焰伤害，成功的豁免检定将使伤害减半。火焰会点燃该地区内任何未被穿戴或携带的易燃物品</t>
  </si>
  <si>
    <t>遁术</t>
  </si>
  <si>
    <t>精魂之盾</t>
  </si>
  <si>
    <t>第6级起，若你处于狂暴，而一个处于你周围30尺内的，你能看到的其他生物受到伤害，你可以用一个反应动作来降低2d6的伤害
10级起可以降低3d6的伤害；14级起可以降低4d6的伤害</t>
  </si>
  <si>
    <t>统一言说</t>
  </si>
  <si>
    <t>第6级起，以一个动作，选择你身边60尺内一个或多个生物，你最多可以选择与你魅力调整值相等数量的生物（至少一个生物）。不管你说哪种语言，被选择的生物都能在一小时内魔法般地理解你
一旦你使用了此特性，直到你完成一次长休息，或者消耗一个法术位才能再次使用它</t>
  </si>
  <si>
    <t>风暴狂怒</t>
  </si>
  <si>
    <t>第1级起，身处你周边5尺范围内一个你能看见的生物攻击命中你时，你可以用你的反应迫使该生物进行一次敏捷豁免。豁免失败者将受到2d8点闪电或雷鸣伤害（由你选择），豁免成功则伤害减半
你可以使用该特性的次数等于你的感知调整值（至少为一次）。而你将在完成一次长休后重新恢复所有的使用次数
豁免DC等于你的牧师法术豁免DC</t>
  </si>
  <si>
    <t>一体共生</t>
  </si>
  <si>
    <t>第2级起，你可以用一个动作使用一次荒野形态，以唤醒孢子，而非进行变形。当你这样做的时候，你获得等于你德鲁伊等级×4的临时生命值。当此特性激活时，你获得下以下增益：
当你的孢子光晕特性造成伤害时，额外骰一个伤害骰加在原有的伤害骰上
你的近战武器攻击对任何被命中的目标造成额外的1d6点黯蚀伤害
这些增益持续10分钟，或直到你失去所有临时生命值或再次使用了你的荒野形态</t>
  </si>
  <si>
    <t>当你在一次近战武器攻击命中一个生物时，你能够立即消耗一枚卓越骰，以一个附赠动作对目标进行一次擒抱。将消耗的卓越骰加入你的力量（运动）检定中</t>
  </si>
  <si>
    <t>你可以消耗3点气施展粉碎音波</t>
  </si>
  <si>
    <t>破誓者法术</t>
  </si>
  <si>
    <t>第3级时：炼狱叱喝、致伤术
第5级时：疯狂冠冕、黑暗术
第9级时：操纵死尸、降咒
第13级时：枯萎术、困惑术
第17级时：疫病术、支配人类</t>
  </si>
  <si>
    <t>第3级起，你召唤出一只原初的野兽，其力量来自于与你与自然的联系。这只野兽对你和你的伙伴态度友善，并会听从你的命令。从大地野兽，海洋野兽和天空野兽的数据中选择其一，它数据表中许多地方将会用到你的熟练加值（PB）。你决定原初野兽是何种动物，并选择适合其数据的种类。无论你选择什么样的动物，这只野兽都带有原始的印记，暗示着其神秘的起源
在战斗中，原初野兽在你的回合中行动。它能自行移动和使用反应动作，但除非你在你的回合中以一个附赠动作命令它执行其他动作，它只会执行回避动作。该动作可以是其数据中列出的动作或是之外的其他动作。你也能在使用自己的攻击动作时，牺牲一次自己的攻击命令野兽执行攻击动作。如果你陷入失能，野兽将会自主行动，而非仅使用回避动作
如果野兽在存在时间内死亡，你能使用你的动作触碰它并消耗一个一环或更高的法术位。原初野兽会在一分钟后死而复生并获得所有生命值
当你结束一次长休后，你能够召唤一只不同的原初野兽。这只新的野兽出现在你5尺内未被占据的空间内，并由你选择其数据和外表。如果你已经通过此特性获得了一只原初野兽，它会在新的原初野兽出现时消失。原初野兽也会在你死亡时消失
原初野兽
中型野兽
智力8（-1）
感知14（+2）
魅力11（+0）
护甲等级：13+熟练加值（天生护甲）
感官能力：60尺黑暗视觉，被动察觉12
语言能力：能听懂你所说的语言
熟练加值：与你等同
原初联结：你能将你的熟练加值加到野兽进行的一切属性检定和豁免检定上
大地野兽：
生命值：5+5×你的游侠等级（野兽具有你游侠等级数量的生命骰[d8]）
速度：40尺速度，40尺攀爬速度
力量14（+2）
敏捷14（+2）
体质15（+2）
冲锋：当大地野兽向一个目标直线移动了至少20尺，然后在同一回合以挥打攻击命中目标时。目标会额外受到1d6挥砍伤害。如果目标是生物，它必须成功通过对抗你法术豁免DC的力量豁免检定否则应击倒地
动作：
挥打：近战武器攻击：使用你的法术攻击调整值，触及5尺，单一目标，造成1d8+2+熟练加值的挥砍伤害
海洋野兽：
生命值：5+5×你的游侠等级（野兽具有你游侠等级数量的生命骰[d8]）
速度：5尺速度，60尺游泳速度
力量14（+2）
敏捷14（+2）
体质15（+2）
水陆两栖：野兽可以在空气和水中呼吸
动作：
攫击：近战武器攻击：使用你的法术攻击调整值，触及5尺，单一目标，造成1d8+2+熟练加值的穿刺或钝击伤害（由你选择），并且目标被擒抱（逃脱DC等于你的法术豁免DC）。直到擒抱结束，野兽无法对另一个目标使用该攻击
天空野兽：
生命值：4+4×你的游侠等级（野兽具有你游侠等级数量的生命骰[d6]）
速度：10尺速度，60尺飞行速度
力量6（-2）
敏捷16（+3）
体质13（+1）
飞掠：野兽以飞行离开敌人的触及范围时不会引发对方的借机攻击
动作：
撕咬：近战武器攻击：使用你的法术攻击调整值，触及5尺，单一目标，造成1d4+2+熟练加值的挥砍伤害</t>
  </si>
  <si>
    <t>生存专家</t>
  </si>
  <si>
    <t>第3级起，你得到对于自然和求生技能的熟练。当使用上述熟练进行的任何属性检定中，你的熟练加值加倍</t>
  </si>
  <si>
    <t>幽影漫步</t>
  </si>
  <si>
    <t>第14级起，当你处于微光或黑暗中时，以一个附赠动作你可以魔法地将自己传送至120尺内另一处未被占据并自己可见的微光或黑暗中</t>
  </si>
  <si>
    <t>你可以在水下呼吸，并且你得到等于你步行速度的游泳速度。
你可以施展一次水下呼吸法术，而无需消耗法术位。当你结束一次长休后，你重新获得此能力</t>
  </si>
  <si>
    <t>幻影化形</t>
  </si>
  <si>
    <t>第10级起，当一个生物对你发动攻击检定时，你可以用你的反应，在攻击者和你之间插入你自身的幻象分身。攻击者对你的攻击将直接判为未命中，幻象分身也随即消失
你必须完成一次长休或短休才能再次使用该特性</t>
  </si>
  <si>
    <t>力场弩炮</t>
  </si>
  <si>
    <t>对一个距离炮台120尺以内的生物或物体进行远程法术攻击。击中时，目标受到2d8力场伤害，如果目标是一个生物，它将向远离炮台的方向推开5尺</t>
  </si>
  <si>
    <t>问道精魂</t>
  </si>
  <si>
    <t>第10级起，你可以不消耗法术位和材料成分使用一次卜筮术或鹰眼术。取代法术描述里的球形探测器，这个法术会在指定位置创造一个无形的先祖之魂。感知是你的施法主属性
你必须完成一次长休或短休才能再次使用该特性</t>
  </si>
  <si>
    <t>启悟传播</t>
  </si>
  <si>
    <t>第14级起，当你身边60尺内的一个生物将你的诗人激励骰加到其属性检定、攻击检定或豁免检定并且该掷骰成功时，你可以用你的反应去激励在你身边60尺内能听到你声音的一个其他生物（不能指定你自身），给予该生物一个诗人激励而不需要消耗你任何的诗人激励
你能够使用该特性的次数等于你的魅力调整值（最低一次）。完成一次长休后，你将重获所有消耗掉的诗人激励次数</t>
  </si>
  <si>
    <t>引导神力-毁灭狂怒</t>
  </si>
  <si>
    <t>第2级起，当你造成闪电或雷鸣伤害时，可以使用引导神力使该伤害的伤害掷骰直接取最高值而无需掷骰</t>
  </si>
  <si>
    <t>真菌感染</t>
  </si>
  <si>
    <t>第6级起，如果一个小型或中型的野兽或类人生物在你10尺内死亡，你可以以一个反应动作活化它，令它站起并具有1点生命值。该生物使用僵尸的属性，它将持续活化状态1小时，之后会倒下死去
在战斗中，它的回合紧接着你的。它遵从你的精神指令，唯一能执行的动作为攻击，此动作只能进行一次近战攻击
该特性的可用次数等于你的感知调整值（至少1次）。而已消耗的特性使用次数则可以通过完成一次长休进行恢复</t>
  </si>
  <si>
    <t>以一个附赠动作，你能消耗一枚卓越骰以一件具有投掷属性的武器进行一次远程攻击。在进行此攻击时，你能拔出一把投掷武器作为攻击的一部分。如果此次攻击命中，你能将消耗的卓越骰加入此次攻击的伤害检定中</t>
  </si>
  <si>
    <t>你可以消耗4点气施展火球术</t>
  </si>
  <si>
    <t>引导神力-控制亡灵</t>
  </si>
  <si>
    <t>第3级起，以一个动作，你指定其身边30尺内一个能看见的不死生物。该目标必须进程一次感知豁免。豁免失败时，该目标必须在随后的24小时里遵从你的命令，或者直至你再次使用该引导神力选项为止。挑战等级等于或高于你角色等级的不死生物免疫该效应</t>
  </si>
  <si>
    <t>特殊训练</t>
  </si>
  <si>
    <t>第7级起，如果你的野兽伴侣在你的回合内未曾发动攻击，则你可以在本回合用一个附赠动作命令该野兽在其回合内执行“疾走”“撤离”或“协助”动作。此外，该野兽的攻击作用于非魔法攻击与伤害的免疫与抗性时视为魔法</t>
  </si>
  <si>
    <t>优异灵活</t>
  </si>
  <si>
    <t>第9级起，你的行走速度增加10英尺。若你具有攀爬或游泳速度，这个能力也会增加在这些速度上</t>
  </si>
  <si>
    <t>幽暗形态</t>
  </si>
  <si>
    <t>第18级起，你可以耗费6点术法点以一个附赠动作魔法地将自己转变为暗影形态。在此形态中，你对除力场和光耀之外的所有伤害形势都具有抗性。并且你可以像穿越困难地形一般地穿过其他生物或物体。若回合结束时你处于某个物体内则会受到5点的力场伤害
你能维持这种状态1分钟。当你以一个附赠动作来解除暗影形态、处于失能或死亡时会提前结束状态效果</t>
  </si>
  <si>
    <t>以一个附赠动作，对你以降咒法术或咒剑诅咒、凶兆符记等邪术师特性所诅咒的目标，你向他施加一种精神干扰。当你如此做时，你对诅咒目标和所有距他5英尺内的、你所选择的生物造成精神伤害。精神伤害值等于你的魅力调整值（最低为1）。为了使用此祈唤，你必须能看到诅咒目标，且他必须距你30英尺以内
先决条件：降咒法术或进行诅咒的邪术师特性</t>
  </si>
  <si>
    <t>亦真亦幻</t>
  </si>
  <si>
    <t>第14级起，你施展一个1环或更高环阶的幻术系法术时，可以选择幻象中一个非活化的非魔法物件，并让该物件化作真实。你可以在自己回合中，相应法术持续时间内以一个附赠动作完成此事。被指定的物件将在接下来1分钟内保持真实
被化作真实的物件无法造成伤害，也无法以任何其他方式直接伤害任何事物</t>
  </si>
  <si>
    <t>防御者</t>
  </si>
  <si>
    <t>炮台释放出一股正能量，给予它自己和10尺距离内每个你选择的生物1d8+你智力调整值的临时生命值（最低+1）</t>
  </si>
  <si>
    <t>永亡宗</t>
  </si>
  <si>
    <t>先祖复仇</t>
  </si>
  <si>
    <t>第14级起，当你使用精魂之盾保护生物、降低一次攻击的伤害时，攻击者受到精魂之盾所降低的等量力场伤害</t>
  </si>
  <si>
    <t>潜能微尘</t>
  </si>
  <si>
    <t>第3级起，每当你给予一个生物以诗人激励骰时，你可以唱出造物之歌的一个音符，创造一团微小的潜能微尘，在那个生物五尺以内的轨道上环绕。这个微尘是无形且不可被摧毁的，它将一直持续存在直到这个诗人激励骰被消耗掉
当这个生物使用那个诗人激励骰时，这团微尘将会根据这个诗人激励骰被使用的方式-属性检定，攻击检定或者豁免检定，会产生不同的额外效果。具体细节如下所示：
属性检定：当该生物将诗人激励骰用于增益属性检定时，他可以重新掷一次诗人激励骰并且选择使用其中一个掷骰结果。这团微尘会炸开，发射出多彩而无害的闪光
攻击检定：当该生物将诗人激励骰用于增益攻击检定时，掷出诗人激励骰后，这团微尘会立刻如雷霆般破碎。该生物这次攻击的目标以及其5尺距离内你能看到的由你决定的所有生物必须进行一次体质豁免，其DC为你的施法DC，如果豁免失败，将会承受等同于该诗人激励骰子所掷结果的雷鸣伤害
豁免检定：当该生物将诗人激励骰用于增益豁免检定时，掷出诗人激励骰后，这团微尘会立刻伴随着一段舒缓的音乐消失不见，给予这个生物等同于该诗人激励骰子所掷结果加上你的魅力调整值的临时生命值（最低为1）</t>
  </si>
  <si>
    <t>雷鸣打击</t>
  </si>
  <si>
    <t>第6级起，当你对一个大型或更小体型的生物造成闪电伤害时，你还可以同时将其往远离你的方向推动至多10尺</t>
  </si>
  <si>
    <t>扩散孢子</t>
  </si>
  <si>
    <t>第10级起，当你的一体共生特性处于激活状态下，你可以用一个附赠动作，将真菌孢子抛向至多30尺外，它们将漂浮在那里10尺立方的空间中，持续1分钟。若你再次使用此特性，或使用一个附赠动作取消掉，或你的一体共生特性不再起作用，这片孢子将提前消失
任何在此空间内开始其回合的生物受到你的孢子光晕伤害，除非其成功通过一次等于你法术DC的体质豁免，一个生物每轮只能受到一次该伤害
只要这片孢子存在，你就不能使用你孢子光晕的反应动作</t>
  </si>
  <si>
    <t>当你进行一次智力（调查）、智力（历史）或感知（洞悉）检定时，你能够消耗一枚卓越骰，将消耗的卓越骰加入此次属性检定中</t>
  </si>
  <si>
    <t>你可以消耗4点气对自身施展气化形体</t>
  </si>
  <si>
    <t>引导神力-恐怖显现</t>
  </si>
  <si>
    <t>第3级起，以一个动作，你可以指定周边30尺内每个能看到你的生物进行一次感知豁免。豁免失败的目标将陷入1分钟对你恐慌的状态。因该效应陷入恐慌的生物如果在距离你30尺外的位置结束其自己回合，则其可以尝试再进行一次该感知豁免，豁免成功则终止其自己身上的该效应</t>
  </si>
  <si>
    <t>兽性狂怒</t>
  </si>
  <si>
    <t>第11级起，当你命令野兽伴侣执行攻击动作时，它可以发动两次攻击。或者，若其拥有“多重攻击”动作项，则它也可以执行该动作项</t>
  </si>
  <si>
    <t>突袭大师</t>
  </si>
  <si>
    <t>第13级起，你在先攻检定时具有优势。此外，在第一轮战斗中你所命中的第一个生物对你和其他人而言会变得更容易打击；直到你下一回合开始之前，所有对它进行的攻击检定具有优势</t>
  </si>
  <si>
    <t>风语者</t>
  </si>
  <si>
    <t>第1级时，你学会听、说、读、写原初语</t>
  </si>
  <si>
    <t>当你受到伤害时，你可以以一个反应将自己封锁在冰墓中，冰墓会在你的下一个回合结束时融解。你得到每邪术师等级10点的临时生命值，此生命值会尽可能优先地抵消伤害。当你受到伤害之后，你立即得到对火焰伤害的易伤，速度降低至0，并且陷入失能状态。这些效果，以及剩余的临时生命值，会在冰墓融解时终止
你必须完成一次长休或短休才能再次使用该特性</t>
  </si>
  <si>
    <t>死灵学者</t>
  </si>
  <si>
    <t>第2级起，你向法术书中抄写死灵系法术的时间和金钱花费减半</t>
  </si>
  <si>
    <t>奥法火器</t>
  </si>
  <si>
    <t>第5级起，当你完成一次长休后，你可以用木匠工具在一根魔杖、法杖或权杖上刻印一个特殊印记，从而把它变成你的奥法火器。印记会一直存在，除非你之后在另一件物品上刻上这种印记，这样的话，之前物体上印记就会消失
你可以将你的奥法火器作为你奇械师法术的法器。当你通过奥法火器施放一个奇械师法术时，掷一个d8，你在法术的一次伤害检定中获得与掷骰结果相同的加值</t>
  </si>
  <si>
    <t>醉拳宗</t>
  </si>
  <si>
    <t>第3级起，当处于狂暴时，你散发出一个10尺半径的灵光，但无法穿透全掩护。你的灵光效果拥有一个由你进入狂暴时所激活的效果，你在每个自己的回合也可以用一个附赠动作来激活该效果。此灵光的效果基于你选择的环境类型。每当你在此职业中获得级别提升时，你可以改变所选环境</t>
  </si>
  <si>
    <t>造物表演</t>
  </si>
  <si>
    <t>第3级起，以一个动作，你可以引导造物之歌的魔力来创造一个你选择的非魔法物品，它会在你选择的距离你10尺内的一处未被占据的空间里生成。它必须要生成在一个可以支撑它的地方——这可以是在也体内或者一个表面上。这件物品的价值不能超过你吟游诗人等级×20gp，它必须是中型或者更小的物品。这件物品会闪烁着柔和的微光。当一个生物触碰它的时候，会听到轻微的音乐。在被创造出等同于你的熟练加值数的小时之后，这件物品会消失
每当你用这一特性创造出一件物品后，直到下一次长休结束前你都不能再次使用这个能力。你可以消耗一个2环或者更高级的法术位去重置这个能力的使用次数。你同时只能保持一件以此法被创造出的物品。如果在你使用这个能力创造物品时已经有一件被创造出来的物品了，那么那个旧的物品会立刻消失不见
6级起，你可以创造出大型物品，14级起，你可以创造出巨型物品</t>
  </si>
  <si>
    <t>第8级起，你在每个自己回合里有一次机会，可以在用武器攻击命中某生物时使该攻击额外造成1d8点雷鸣伤害。第14级起，该伤害提升到2d8</t>
  </si>
  <si>
    <t>真菌之躯</t>
  </si>
  <si>
    <t>第14级起，你不再会被目盲，耳聋，恐慌，或中毒；若一次攻击对你造成重击，它不会对你造成额外伤害除非你处于失能状态</t>
  </si>
  <si>
    <t>战争学徒</t>
  </si>
  <si>
    <t>第3级时，你选择一种工匠工具并获得其熟练项</t>
  </si>
  <si>
    <t>你可以消耗4点气对自身施展飞行术</t>
  </si>
  <si>
    <t>憎恨灵光</t>
  </si>
  <si>
    <t>第7级起，你与身边10尺内的所有邪魔和不死生物都将获得与你魅力调整值相同（至少为+1）的近战武器伤害掷骰加值。一个生物一次只能从一名圣武士的该特性中获益
第18级起，灵光的作用范围扩展至30尺</t>
  </si>
  <si>
    <t>法术共享</t>
  </si>
  <si>
    <t>第15级起，当你施展一个目标为自身的法术时，如果你的野兽伴侣处于你身边30尺范围内，则该法术效应同时也作用于你的野兽伴侣</t>
  </si>
  <si>
    <t>突袭打击</t>
  </si>
  <si>
    <t>第17级起，若你在你的回合进行攻击动作，你可以以一个附赠动作进行一次额外的攻击。此攻击可以从你的偷袭中收益，即使你已经在此回合中使用了它，但是你不能在一回合中对同一目标偷袭一次以上</t>
  </si>
  <si>
    <t>暴风魔法</t>
  </si>
  <si>
    <t>第1级起，每当你在你自己的行动轮内施展一个并非戏法的法术时，你可以用附赠动作导致旋转的风元素飙风围绕着你。此时你可以飞行10尺，而不引起借机攻击</t>
  </si>
  <si>
    <t>一张新的书页出现在你的影之书中。在你的允许之下，一个生物可以使用一个动作来将他的名字写在这一页上，这一页能包括的名字数量等于你的熟练加值
你可以对一个名字在这一页上的生物使用短讯术，而不需要消耗法术位和施法材料。你必须将传讯写在这一页上来完成这一行为。目标将在他们的意识中听到这个传讯，且如果目标回复了传讯，他们的回复将会出现在书页上而不是在你的意识中。这些文字将会在一分钟后消失
你可以使用一个动作，以触摸的形式魔法化地消除一个在书页上的名字
先决条件：书之魔契</t>
  </si>
  <si>
    <t>惧怖收割</t>
  </si>
  <si>
    <t>第2级起，你每回合有一次机会，在以一个环阶不低于1环的法术杀死一个或多个生物时，可以恢复等于该法术环阶两倍的生命值。如果你使用的是死灵系法术，则其恢复的生命值为法术环阶的三倍。你以此杀死不死生物或构装生物时，无法从该特性获得任何益处</t>
  </si>
  <si>
    <t>高爆炮台</t>
  </si>
  <si>
    <t>第9级起，你制造的所有炮台的伤害增加1d8
如果你距离炮台不到60尺，你能以一个动作命令你的炮台自爆。这么做会摧毁炮台，并迫使每一个离它20尺以内的生物对你的法术豁免dc进行一次敏捷豁免检定，若豁免失败，将受到3d8力场伤害，成功的豁免检定将使伤害减半</t>
  </si>
  <si>
    <t>剑圣宗</t>
  </si>
  <si>
    <t>第3级起，当处于狂暴时，你的灵光中所有其他生物都会受到2点火焰伤害
5级起，3点火焰伤害；10级起，4点火焰伤害；15级起，5点火焰伤害；20级时，6点火焰伤害</t>
  </si>
  <si>
    <t>活化表演</t>
  </si>
  <si>
    <t>第6级起，以一个动作，你可以选择你30尺内一个你可以看见大型或者更小的非魔法物品，赋予其生命。这件活化的物品将会使用舞空物品的属性，并且使用你的熟练加值。这件物品将会对你以及你的伙伴保持友好，而且会听从你的命令。它将持续保持活性一个小时，如果期间其生命值降低为0，或者你死亡，则该物品失去活性
在战斗中，该物品将会与你共用先攻，它会紧随在你的回合后行动。它可以自行移动并执行自己的反应，不过在它的回合它只会进行回避动作。除非使用附赠动作对它发出命令。他可以做其动作列表中的动作，当然你也可以命令它做其他事情。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你可以消耗一个3环或者更高级的法术位去重置这个能力的使用次数。你同时只能保持一件以此法被活化的物品。如果在你使用这个能力活化物品时已经有一件被活化的物品了，那么那个旧的物品会立刻停止不动，变回死物
舞空物品
大型或者更小体型的构装体
护甲等级：16（天生护甲）
生命值：10+5×你的吟游诗人等级
速度：30尺速度，30尺飞行速度（可以盘旋在空中）
力量18（+4）
敏捷14（+2）
体质16（+3）
智力4（-3）
感知10（+0）
魅力6（-2）
伤害免疫：毒素，心灵
状态免疫：魅惑，力竭，中毒，恐慌
感官能力：60尺黑暗视觉，被动察觉10
语言能力：能听懂你所说的语言
熟练加值：与你等同
不变之形：该物品不会受到任何使它形态发生改变的法术或者其他效果的影响
难抑舞动：若一个生物在该舞空物品10尺内开始回合，那么他将可以增加或者减少10尺的步行移动力（由你来决定），直到他的下一个回合结束。舞空物品需要保持清醒来提供这一效果
动作：力场猛击：近战武器攻击：使用你的法术攻击调整值，触及5尺，可以攻击你能看到的目标，造成1d10+熟练加值的力场伤害</t>
  </si>
  <si>
    <t>风暴降生</t>
  </si>
  <si>
    <t>第17级起，当你不在地底或室内时，你得到等同于你步行速度的飞行速度</t>
  </si>
  <si>
    <t>星图</t>
  </si>
  <si>
    <t>第2级时，你创造了一个星图。它是一个微型物体，可以作为你德鲁伊法术的法器
当你持握这件星图时，你获得这些好处：
你已知神导术戏法
你获得准备曳光弹。它对你来说视作德鲁伊法术，且不计入你的每日准备法术上限
你可以施放曳光弹而无需消耗法术位。你可以这样做的次数等同于你的熟练加值，且在你完成一次长休后会恢复所有已消耗使用次数
如果你丢失了星图，你可以举行一场为时一小时的仪式来使用魔法创造一个替代品。这一仪式可以在一场短休或长休时举行，并会摧毁先前的星图</t>
  </si>
  <si>
    <t>知己知彼</t>
  </si>
  <si>
    <t>第7级起，你在战斗外观察某生物或与之交互至少1分钟后，可以获知有关其能力的一些情报。从下列选项中选择其二，DM将告诉你在这两项上你是强于该生物，弱于该生物，或是与之相仿
力量值
敏捷值
体质值
护甲等级
当前生命值
总职业等级（如果有）
战士职业等级（如果有）</t>
  </si>
  <si>
    <t>你可以消耗6点气施展法术寒冰锥</t>
  </si>
  <si>
    <t>超然抗性</t>
  </si>
  <si>
    <t>第15级起，你获得对非魔法武器的钝击、刺穿、挥砍伤害的抗性</t>
  </si>
  <si>
    <t>幽域追踪者魔法</t>
  </si>
  <si>
    <t>第3级起，你学会以下法术，这些法术不占用你的游侠已知法术且被你视为巡林客法术
第3级时：易容术
第5级时：魔绳术
第9级时：恐惧术
第13级时：高等隐形术
第17级时：伪装术</t>
  </si>
  <si>
    <t>梦幻舞步</t>
  </si>
  <si>
    <t>第3级起，在你的回合，如果你对一个生物进行一次近身攻击，那个生物在你回合剩下的时间内无法对你进行借机攻击</t>
  </si>
  <si>
    <t>风暴之心</t>
  </si>
  <si>
    <t>第6级起，你对闪电和雷鸣伤害具有抗性。每当你施展一个1环或以上且造成闪电或雷鸣伤害的法术时，猛烈的魔法从你身体内爆发而出。这次爆发导致所有10尺内你选择的可见生物（每次使用此能力都指定），都承受等于你术士等级一半的闪电或雷鸣伤害</t>
  </si>
  <si>
    <t>你可以在不消耗法术位的情况下使用操纵死尸。每当你这么做时，你不能再次以这种形式使用该法术直到你完成一次长休</t>
  </si>
  <si>
    <t>不死奴仆</t>
  </si>
  <si>
    <t>第6级起，将法术操纵死尸加入法术书。施展操纵死尸时，你可以指定额外的一具尸体或一堆骸骨以创造一个额外的僵尸或骷髅，并按法术详述进行设定
此外，每当你用死灵系法术创造不死生物时，这些生物还可以获得以下增益：
其生命值上限增加，数值等于你的法师等级
其武器的伤害掷骰可以加上你的熟练加值</t>
  </si>
  <si>
    <t>坚固要塞</t>
  </si>
  <si>
    <t>第15级起，你和你的盟友在距离炮台不到10尺的地方有半身掩护
你现在同时拥有二个炮台，你能以一个动作同时制造两台炮台（但使用法术位制造时，每个炮台都要一个法术位），此外，你能够以一个附赠动作来同时激活两个炮台。这二个炮台可以是不同的类型。你在拥有两个炮台时，不能制造第三个炮台</t>
  </si>
  <si>
    <t>日魂宗</t>
  </si>
  <si>
    <t>游侠伴侣</t>
  </si>
  <si>
    <t>第3级起，当处于狂暴时，你可以选择一个处于灵光中且你能看到的其他生物。目标必须通过一个敏捷豁免，否则受到1d6闪电伤害，豁免成功则伤害减半
豁免DC等于8+你的熟练加值+你的体质调整
10级起，2d6闪电伤害；15级起，3d6闪电伤害；20级时，4d6闪电伤害</t>
  </si>
  <si>
    <t>高潮乐章</t>
  </si>
  <si>
    <t>第14级起，当你使用造物表演特性创造物品时，你能一次创造的物品数量等于你的魅力调整值（最低为两件物品）。如果同时创造的物品总数超过了这个数值，那么你可以选择你先前创造的物品中的哪几件将会消失不见。你所创造的物品中只有一件可以达到你创造物品的大小峰值，其他的必须是小型或者微型
你的创造表演特性不再有使用所创造物品的价值限制</t>
  </si>
  <si>
    <t>诡术领域法术</t>
  </si>
  <si>
    <t>第1级时：魅惑人类、易容术
第3级时：镜影术、行动无踪
第5级时：闪现术、解除魔法
第7级时：任意门、变形术
第9级时：支配人类、篡改记忆</t>
  </si>
  <si>
    <t>星耀形态</t>
  </si>
  <si>
    <t>第2级时，以一个附赠动作，你可以消耗一次荒野形态使用次数以呈现一个星曜形态
当处于星曜形态时，你保留你的游戏数据，但你的身体变得明亮；你的关节星光熠熠并有如星图一般由亮线连接。这一形态散发出10尺范围明亮光照以及其外10尺范围昏暗光照。这一形态持续10分钟。如果你解除它（无需动作），失能，死亡，或再次使用此特性，它就会提前结束
每当你化身星曜形态，选择以下哪个星座在你身上闪耀；你的选择为你在形态中获得特定好处：
射手座：一个弓箭手星座于你身上浮现。当你激活这个形态时，你可以在它持续的后续回合使用一个附赠动作进行一次远程法术攻击，对你60尺内的一个生物射出一发光箭。命中时，此次攻击造成的光耀伤害等同于1d8+你的感知调整值
圣杯座：一个予命圣杯星座于你身上浮现。每当你使用法术位施展生物生命值的法术，你或你30尺内的另一生物可以回复等同于1d8+你的感知调整值的生命值
巨龙座：一个智龙星座于你身上浮现。当你进行一次智力或感知检定或是进行一次体质豁免来维持法术专注时，你可以将d20中10以下的骰值视为10</t>
  </si>
  <si>
    <t>精通卓越战技</t>
  </si>
  <si>
    <t>第10级起，你的卓越骰变为d10。第18级起，你的卓越骰变为d12</t>
  </si>
  <si>
    <t>你可以消耗5点气对自身施展石肤术</t>
  </si>
  <si>
    <t>恐惧之王</t>
  </si>
  <si>
    <t>第20级时，以一个动作，你可以使自己在1分钟内环绕于阴郁的灵光中。该灵光可以周边30尺半径的亮光光照减弱为微光光照。任何受你恐慌的敌人在该灵光内开始其自己回合时将受到4d10的心灵伤害。此外，你和指定的身处灵光中的生物都将笼罩于更深的幽影中。依赖视觉的生物对笼罩于该幽影中的生物发动攻击检定时具有劣势
灵光持续时，你可以在自己回合内用一个附赠动作。对令该灵光内的一个目标发动一次近战法术攻击。若攻击命中，则该目标受到的黯蚀伤害等于3d10+你的魅力调整值
激活该灵光后，必须完成一次长休才能再次使用该特性</t>
  </si>
  <si>
    <t>恐惧奇兵</t>
  </si>
  <si>
    <t>第3级起，你获得一个等同于你的感知调整值的加值在你的先攻投上
在每一场战斗的你的第一个回合的开始，你的移动速度增加10尺，直到那个回合结束。如果你在那个回合进行攻击动作，你可以做一次额外的武器攻击作为那一个动作的一部分。如果那次攻击命中，目标受到额外1d8的武器伤害</t>
  </si>
  <si>
    <t>胆大无畏</t>
  </si>
  <si>
    <t>第3级起，你将你的魅力调整值加入你的先攻掷骰值
你也可以通过一种额外的方式来使用偷袭攻击：只要你在目标生物周围5尺内，并且没有其他生物在你5尺内，你的攻击检定也没有劣势，你就可以无需攻击检定的优势对目标生物进行偷袭。其他所有关于偷袭的规则依然适用于你</t>
  </si>
  <si>
    <t>风暴导向</t>
  </si>
  <si>
    <t>第6级起，你获得对你周边气象的微妙掌控：
如果正在下雨，你可以用一个动作，使你身边20尺半径的范围停止下雨。你可以以一个附赠动作终止这一效果
如果正在刮风，你可以每轮以一个附赠动作掌控你身边一百尺半径范围的风向。风会保持吹往你指定的方向，直到你的下一个行动轮。你无法改变风速</t>
  </si>
  <si>
    <t>你可以消耗你的邪术师法术位施展一个强迫术。你必须完成一次长休才能再次使用该特性</t>
  </si>
  <si>
    <t>不死适应</t>
  </si>
  <si>
    <t>第10级起，你对黯蚀伤害具有抗性，且你的生命值上限不会被降低</t>
  </si>
  <si>
    <t>第3级时，你获得铁匠工具的熟练。如果你已经拥有此熟练，你能获得另一种任意工匠工具的熟练</t>
  </si>
  <si>
    <t>命流宗</t>
  </si>
  <si>
    <t>第3级起，当处于狂暴时，灵光中每个你选择的生物获得2点临时生命
5级起，3点临时生命；10级起，4点临时生命；15级起，5点临时生命；20级时，6点临时生命</t>
  </si>
  <si>
    <t>呢喃指引</t>
  </si>
  <si>
    <t>第3级起，你习得神导术戏法，且不计入你已习得的吟游诗人戏法数量。对你来说，当你施展神导术时，其施法距离为60尺</t>
  </si>
  <si>
    <t>诡术祝福</t>
  </si>
  <si>
    <t>第1级起，你可以用你的动作触碰处你自身之外的一个自愿目标，并使他在进行敏捷（隐匿）检定时具有优势。该祝福持续1小时或直至你再次使用该特性为止</t>
  </si>
  <si>
    <t>宇宙预兆</t>
  </si>
  <si>
    <t>第6级起，每当你完成一次长休，你可以参照你的星图来寻找预兆。当你这样做时，掷一个骰子。直到你完成下一次长休，你获得一个基于此掷骰结果奇偶性的特殊反应。
吉兆（奇数）：每当你30尺内可见的一个生物进行一次攻击检定，豁免检定或属性检定，你可以使用你的反应来骰一个d6并将骰值加到检定结果中
凶兆（偶数）：每当你30尺内可见的一个生物进行一次攻击检定，豁免检定或属性检定，你可以使用你的反应来骰一个d6并将骰值从检定结果中减去
你可以使用你的反应次数等于你的熟练加值，且在你完成一次长休后会恢复所有已消耗使用次数</t>
  </si>
  <si>
    <t>坚韧</t>
  </si>
  <si>
    <t>第15级起，你骰先攻时若没可用的卓越骰，则你获得1枚卓越骰</t>
  </si>
  <si>
    <t>你可以消耗5点气施展火墙术</t>
  </si>
  <si>
    <t>王冠圣誓法术</t>
  </si>
  <si>
    <t>第3级时：命令术、强令对决
第5级时：守护之链、诚实之域
第9级时：活力灵光、灵体卫士
第13级时：放逐术、信仰守卫
第17级时：原力法阵、指使术</t>
  </si>
  <si>
    <t>阴影视野</t>
  </si>
  <si>
    <t>第3级起，你获得60尺黑暗视觉。如果你已经从种族特性中获得了黑暗视觉，它的范围增加30尺
另外，在黑暗中，你对于任何靠黑暗视觉观察你的角色是隐形的</t>
  </si>
  <si>
    <t>潇洒气质</t>
  </si>
  <si>
    <t>第9级起，你可以用一个动作进行一次魅力（游说）检定来对抗一个生物的感知（洞悉）检定。目标生物必须能听到你的声音，并且你们两个必须会同一种语言
如果那个生物是敌对的并且你的检定成功，它对除你之外的其他目标攻击取劣势，并且不能对除你之外的目标进行借机攻击。这个效果持续1分钟，或你的队友攻击/用法术影响了这个目标，或你移动到远离目标60尺外为止
如果那个生物不是敌对的并且你的检定成功，它被你魅惑1分钟。当它被魅惑时，它认为你是一个友好的熟人。这个效果会在你或者你的队友做出任何对他有害的行为之后立即结束</t>
  </si>
  <si>
    <t>暴风狂怒</t>
  </si>
  <si>
    <t>第14级起，每当你在一次近战攻击中被命中，你可以用你的反应动作对攻击者造成等于你术士等级的闪电伤害。此外，攻击者必须进行一次力量豁免，DC等于你的术士法术豁免。一旦豁免失败，攻击者将被直线推开20尺</t>
  </si>
  <si>
    <t>你可以消耗你的邪术师法术位施展一个困惑术。你必须完成一次长休才能再次使用该特性</t>
  </si>
  <si>
    <t>命令亡灵</t>
  </si>
  <si>
    <t>第14级起，以一个动作，你可以指定一个在距你60尺内你能看见的不死生物。该生物必须进行一次对抗你法师法术豁免DC的魅力豁免。若豁免成功，则你将不能对该生物再次使用此特性。若豁免失败，则该生物变为对你友善，并服从你的命令，直至你再次使用此特性
以该方式操纵智慧不死生物要更难一些。如果目标的智力值不低于8，则它在进行该豁免时具有优势。而智力不低于12的不死生物，即使其豁免失败也可以每小时重掷豁免，直至其豁免成功并挣脱你的控制</t>
  </si>
  <si>
    <t>战地匠师法术</t>
  </si>
  <si>
    <t>第3级起，当你获得表中所对应的战地匠师等级时，你将同时习得列出的法术。这些法术将会一直在你的准备法术列表中，且不计入你的每日准备法术上限
第3级起：英雄气概、护盾术
第5级起：印记斩、守护之链
第9级起：活力灵光、召唤箭雨
第13级起：净化灵光、火焰护盾
第17级起：放逐斩、群体疗伤术</t>
  </si>
  <si>
    <t>星我宗</t>
  </si>
  <si>
    <t>巨灵宗主扩展法术</t>
  </si>
  <si>
    <t>第6级起，获得增益。增益效果基于你选择风暴灵光的环境类型</t>
  </si>
  <si>
    <t>精魂法器</t>
  </si>
  <si>
    <t>第3级起，以下物品可作为你施展吟游诗人法术的法器：一根蜡烛、一个水晶球、一个头骨、一个通灵板或者一副塔罗卡牌
第6级起，当你通过精魂法器施放一个造成伤害或恢复生命的吟游诗人法术时，投一枚d6，你在该法术的一次伤害或治疗掷骰中获得等同于该d6掷骰结果的加值</t>
  </si>
  <si>
    <t>引导神力-召唤分身</t>
  </si>
  <si>
    <t>第2级起，你可以用一个动作创造一个完美的自身幻象。该幻象持续存在一分钟，或直至你失去对该特性的专注（等同于专注一个法术）。该幻象出现在你身边30尺内一个你能看见且未被占据的空间。你在自己回合内可以用一个附赠动作让该幻象移动至多30尺到某个你能看见的地方，但其必须始终保持离你120尺以内
在幻象持续期间，你可以从幻象所在位置施展法术，但仍必须使用你自己的感官。当你和幻象都在同一个目标身边5尺内，且该目标可以看见幻象时，由于幻象对目标造成的干扰，你对该目标发动攻击而进行的攻击检定具有优势</t>
  </si>
  <si>
    <t>闪耀星座</t>
  </si>
  <si>
    <t>第10级起，你的星耀形态星座增强了。射手座和圣杯座的1d8变成了2d8，而且在巨龙座激活时，你获得20尺飞行速度并且可以悬浮
此外，在星耀形态下的每回合开始时，你可以改变身上闪耀的星座</t>
  </si>
  <si>
    <t>施法-战士</t>
  </si>
  <si>
    <t>你学会以武斗技术施展法术的能力</t>
  </si>
  <si>
    <t>你可以消耗6点气施展石墙术</t>
  </si>
  <si>
    <t>引导神力-捍卫挑战</t>
  </si>
  <si>
    <t>第3级起，以一个附赠动作，你可以选择30尺内任意数量你可以看见的生物，他们每一个都必须要通过一次感知豁免。如果豁免失败，那个生物将不能自愿从你周围30尺范围离开。如果你死亡，或者你失能，或者生物与你距离超过30尺，则此效果终结
豁免DC等于你的圣武士法术豁免DC</t>
  </si>
  <si>
    <t>钢铁意志</t>
  </si>
  <si>
    <t>第7级起，你获得感知豁免熟练。如果你已经有这项熟练，你可以获得智力或者魅力豁免熟练（取决于你）来代替</t>
  </si>
  <si>
    <t>优雅战技</t>
  </si>
  <si>
    <t>第13级起，你可以在你的回合用一个附赠动作来获得在同一回合中下一个敏捷（体操）或力量（运动）检定的优势</t>
  </si>
  <si>
    <t>清风之灵</t>
  </si>
  <si>
    <t>第18级起，你获得60尺飞行速度，且免疫闪电与雷鸣伤害
以一个动作，你可以将你的飞行速度降低到30尺，持续一小时。当你这么做时，你可以指定在你身边30尺内的，3+你的魅力调整值个生物。这些被选定的生物获得30尺飞行速度，持续1小时。你必须完成一次长休或短休才能再次使用该特性</t>
  </si>
  <si>
    <t>你可以消耗你的邪术师法术位施展一个变形术。你必须完成一次长休才能再次使用该特性</t>
  </si>
  <si>
    <t>变化学者</t>
  </si>
  <si>
    <t>第2级起，你向法术书中抄写变化系法术的时间和金钱花费减半</t>
  </si>
  <si>
    <t>战斗准备</t>
  </si>
  <si>
    <t>第3级起，你得到军用武器的熟练。
当你以魔法武器攻击时，你可以在攻击和伤害检定使用智力调整值，以代替力量或敏捷</t>
  </si>
  <si>
    <t>神龙宗</t>
  </si>
  <si>
    <t>装甲型号</t>
  </si>
  <si>
    <t>第6级起，你得到对火焰伤害的抗力，并不会受到极端高温的效果影响。此外，以一个动作，你可以触摸一个没有被他人穿戴或携带的易燃物体，并且点燃它</t>
  </si>
  <si>
    <t>彼岸故事</t>
  </si>
  <si>
    <t>第3级起，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你可以使用一个动作选择30尺内一个你能够看到的生物（可以是你自身）作为故事效果所影响的目标。一旦这样做之后，在下一次投掷故事表以前，你都无法再次使用此故事的效果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如果故事的效果需要进行豁免，其DC为你的法术豁免DC
1：</t>
  </si>
  <si>
    <t>引导神力-幽影斗篷</t>
  </si>
  <si>
    <t>第6级起，你可以用一个动作变成隐形状态，该状态将持续至你的下一回合结束。当你攻击或施法时，将随即显形</t>
  </si>
  <si>
    <t>灿若繁星</t>
  </si>
  <si>
    <t>第14级起，当你处于星耀形态时，你的身体部分无实质化，使你对钝击，穿刺和劈砍伤害具有抗性</t>
  </si>
  <si>
    <t>戏法-战士</t>
  </si>
  <si>
    <t>第3级时，你选择两项法师法术列表中的戏法作为已知法术
第10级时，你再获得一个额外的法师戏法</t>
  </si>
  <si>
    <t>往生咒</t>
  </si>
  <si>
    <t>第3级起，当你使一个5尺距离内的生物生命值下降到0点时，你得到你的感知调整值+武僧等级的临时生命值（最小1点）</t>
  </si>
  <si>
    <t>引导神力-扭转局势</t>
  </si>
  <si>
    <t>第3级起，以一个附赠动作，你可以选择你周围30尺内任意数量可以听见你说话的生物，如果他们生命值在一半以下，他们将立即恢复1d6+你的魅力调整值（最小为1点）的生命值</t>
  </si>
  <si>
    <t>追猎如风</t>
  </si>
  <si>
    <t>第11级起，你的每个回合一次，当你的一次武器攻击未命中时，你可以做出另一次武器攻击作为同一动作的一部分</t>
  </si>
  <si>
    <t>决斗大师</t>
  </si>
  <si>
    <t>第17级起，如果你的一次攻击失手，你可以选择以优势再投一次攻击骰。你必须完成一次长休或短休才能再次使用该特性</t>
  </si>
  <si>
    <t>灵能法术</t>
  </si>
  <si>
    <t>第1级起，当你获得表中所对应的术士等级时，你将同时习得这些法术，这些法术对你而言视为术士法术，但不包含在“术士职业表”上“已知法术”一栏的所记录的数量之内
如果你以后替换了这些法术，你必须用术士、魔导士或法师的法术列表来替换它
第1级时：哈达之臂、不谐低语、心灵之楔
第3级时：安定心神、侦测思想
第5级时：哈达之欲、短讯术
第7级时：艾伐黑触手、异怪召唤术
第9级时：拉瑞心灵联结、心灵遥控</t>
  </si>
  <si>
    <t>以一个动作，你得到看穿30尺范围的固态物体的能力。这种特殊的视觉持续1分钟，或直到你的专注终止（如同你专注于一个法术）。在此期间，你观察物体所看到的是影子般的、透明的画面
你必须完成一次长休或短休才能再次使用该特性</t>
  </si>
  <si>
    <t>次级炼金</t>
  </si>
  <si>
    <t>第2级起，你可以暂时转变一件非魔法物件的物理属性，将其构成材料变成另一种物质。你对一件物件施行某些特殊的炼金程序使其完成转化，该物件必须完全由木材，石头（不包括宝石），钢铁，铜，或者白银制成，而后你可以将其变为上述材质中的另一种。你每花费10分钟施行该程序，就可以转变1立方尺的物质。1小时后，或者当你的专注中断时（其规则等同于进行法术专注），材质就会复原</t>
  </si>
  <si>
    <t>钢铁守卫</t>
  </si>
  <si>
    <t>第3级起，你可以创造一个钢铁守卫。它对你和你的同伴友好，并且服从你的命令。它的数据中某几项会适用你的熟练加值。该生物的外观由你决定
在战斗中，钢铁守卫使用你的先攻，并且在你的回合后立即行动。它能自由移动和执行反应，但除非你以一个附赠动作命令它进行数据中列出的动作或其他动作，否则它在回合中只能进行闪避动作。如果你失能，钢铁守卫可以进行任何动作，而不仅仅是闪避
如果你对钢铁守卫施放修复术，它将恢复2d6生命值。如果它在最近一小时内死亡，你能够以一个动作使用铁匠工具花费一个至少1环的法术位来在距离你5尺的空格内复活它。钢铁守卫会在1分钟后复活，在复活时会回满生命值
当你在手头有铁匠工具的情况下完成一次长休时，你可以创造一个新的钢铁守卫。如果你已经通过此特性拥有一个钢铁守卫，则上一个会立即消失。如果你死亡，钢铁守卫会随之损毁
钢铁守卫
中型构装体
护甲等级：15(天生护甲)
生命值：2+你的智力调整值+5×你的奇械师等级（野兽具有你奇械师等级数量的生命骰[d8]）
速度：40尺速度
力量14（+2）
敏捷12（+1）
体质14（+2）
智力4（-4）
感知10（+0）
魅力6（-2）
豁免：敏捷：1+熟练加值；体质：2+熟练加值
技能：运动：2+熟练加值；察觉：2×熟练加值
伤害免疫：毒素
状态免疫：魅惑、力竭、中毒
感官能力：60尺黑暗视觉，被动察觉10+2×熟练加值
语言能力：能听懂你所说的语言
熟练加值：与你等同
警惕：钢铁守卫不会被突袭
动作：
力场动能撕扯：近战武器攻击：使用你的法术攻击调整值，触及5尺，可以攻击你能看到的单一目标，造成1d8+熟练加值的力场伤害
修理（3次/天）：能够为钢铁守卫本身或距离其5尺内的构装体或物品恢复2d8+熟练加值的生命值
反应：
偏转攻击：当距离钢铁守卫5尺内的一个可见生物对钢铁守卫以外的生物进行攻击时，钢铁守卫能迫使此次攻击承受劣势</t>
  </si>
  <si>
    <t>第6级起，你得到对闪电伤害的抗力，并能在水下呼吸。你还获得了30尺的游泳速度</t>
  </si>
  <si>
    <t>精魂集会</t>
  </si>
  <si>
    <t>第6级起，你可以进行一个小时的仪式，使用精魂法器来与精魂们沟通（这可以在短休或长休中进行）。你可以召集等同于你熟练加值数目的自愿生物来参与仪式（包括你自己）。仪式结束时，你可以从任意职业的法术列表中选择一个法术，你暂时性地习得该法术
你习得的法术的环级需小于或等于参加仪式的生物数目，该法术必须为预言或死灵学派，并且必须是你可以施放的环级的法术。该法术对你而言是诗人法术，但不计入你已知的诗人法术数量中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</si>
  <si>
    <t>第8级起，你在每个自己回合里有一次机会，可以在用武器攻击命中某生物时使该攻击额外造成1d8点毒素伤害。第14级起，该伤害提升到2d8</t>
  </si>
  <si>
    <t>第2级起，你学会野火结社法术
结社法术一旦获得，将会一直在你的已准备法术列表中，且不计入你的每日准备法术上限。任何结社法术对你而言都是德鲁伊法术，而不论其是否在德鲁伊法术列表之上
第2级时：燃烧之手、疗伤术
第3级时：炽焰法球、灼热射线
第5级时：植物滋长、回生术
第7级时：生命灵光、火焰护盾
第9级时：焰击术、群体疗伤术</t>
  </si>
  <si>
    <t>法术位-战士</t>
  </si>
  <si>
    <t>“奥法骑士施法能力”表中列出了你用以施展你的法师法术的1环及更高环阶法术位数量。施展某个法师法术时，你必须同时消耗其对应环阶的法术位。已消耗的法术位可在完成长休后恢复</t>
  </si>
  <si>
    <t>索命镰</t>
  </si>
  <si>
    <t>第6级起，以一个动作，你使距离你30尺内的所有能看见你的生物立即进行一次感知豁免。若豁免失败，他们将对你恐慌直到你的下回合结束
豁免DC＝8+你的熟练加值+你的感知调整值</t>
  </si>
  <si>
    <t>神圣誓忠</t>
  </si>
  <si>
    <t>第7级起，如果一个在你周围5尺内的生物受到伤害，你可以使用你的反应魔法地代替目标生物承受这一次伤害，使目标不再受伤。你不能用任何方式减少或者阻止这个伤害</t>
  </si>
  <si>
    <t>暗影闪避</t>
  </si>
  <si>
    <t>第15级起，无论何时一名角色对你做出一次攻击投掷且那次投掷没有优势，你都能用反应对其施加劣势。你必须在知道攻击投掷的结果之前使用该特性</t>
  </si>
  <si>
    <t>亡者余声</t>
  </si>
  <si>
    <t>第3级起，每当你完成一次短休或长休时，你可以选择一项你没有熟练的工具或者技能并且获得该熟练，当你用这个能力来选择一项不同的熟练时，你会失去原来的熟练项</t>
  </si>
  <si>
    <t>传心谈话</t>
  </si>
  <si>
    <t>第1级起，以一个附赠动作，你可以选择30尺内一个你可见的生物，只要你与其距离的里数不超过你的魅力调整值（至少1里），你与其能够通过心灵感应方式进行交流。你们必须使用对方知晓的语言进行心灵交流才能使其理解你通过心灵感应传达的话语
心灵感应的链接持续等同于你术士等级的分钟数。当你失能或死亡，或你使用此能力与其他生物构建链接时，其提前结束</t>
  </si>
  <si>
    <t>你的诅咒为你和你的目标间建立了短暂的链接。以一个附赠动作，你可以魔法性质地传送到诅咒目标5英尺以内的、你能看到的未占据空间，传送距离最多30英尺。为了实现此方式的传送，你必须可以看到诅咒目标
先决条件：降咒法术或进行诅咒的邪术师特性</t>
  </si>
  <si>
    <t>变化师之石</t>
  </si>
  <si>
    <t>第6级起，你可以花费8小时时间创造一颗储存着变化魔力的变化师之石。你可以自己保有石头获得其增益或将其赠予别人。持有变化师之石的生物将从中获得你所选择的增益。在创造变化师之石时，选择下述效应其一：
60尺黑暗视觉
该生物未处于重载时，其速度提升10尺
具有体质豁免检定的熟练项
具有对强酸、冷冻、闪电、火焰、雷鸣伤害之一的抗性（每当你选择该增益时自选一种伤害类型）
你自己持有变化师之石时，你每施展一个1环或更高环阶变化系法术，都可以改变你的变化师之石所带的效应
你创造了一颗新的变化师之石后，原有的石头便会失效</t>
  </si>
  <si>
    <t>第6级起，你得到对寒冷伤害的抗力，并不会受到极端低温的效果影响。此外，以一个动作，你可以触摸水并且把5立方尺的水冻结成冰，这种冰将会在1分钟后融化。如果有生物处于该立方空间中，你的行动将会失败</t>
  </si>
  <si>
    <t>神秘连接</t>
  </si>
  <si>
    <t>第14级起，在使用彼岸故事特性时，你可以掷骰两次，自选其中一个效果使用。如果两次掷骰结果相同，则你此次可以忽略掷骰结果，并从表中任选一个效果使用</t>
  </si>
  <si>
    <t>精通分身</t>
  </si>
  <si>
    <t>第17级起，你使用召唤分身时可以同时制造至多四个自身的幻象分身而非一个。作为你自己回合内的一个附赠动作，你可以让任意数量的该分身移动至多30尺到某个你可以看见的地方，但幻象必须始终保持离你120尺之内</t>
  </si>
  <si>
    <t>召唤野火精魂</t>
  </si>
  <si>
    <t>第2级起，以一个动作，你可以消耗一次荒野形态使用次数召唤你的野火精魂
精魂出现在你所选择的距离你30尺内未被占据的可见空间内。每个精魂10尺内的生物（除你之外）在它出现时都必须成功一次对抗你法术豁免DC的敏捷豁免否则受到2d6火焰伤害
野火精魂对你与你的同伴保持友善并遵从你的命令。由你来决定精魂的外形
在战斗中，野火精魂与你使用同一先攻，但在你的回合之后紧接着行动。它仅能使用回避动作，除非你使用一个附赠动作命令它采取其他动作。那个动作可以是其资料表上的一个，也可以是其他动作。如果你陷入失能，精魂可以采取任何它选择的动作，不只是回避
野火精魂持续存在1小时，直到其生命值降低至0，或直到你再次使用此特性召唤此精魂，或直到你死亡
野火精魄
小型元素
护甲等级：13(天生护甲)
生命值：10+5×你的德鲁伊等级
速度：30尺速度，30尺飞行速度（悬浮）
力量10（+0）
敏捷14（+2）
体质14（+2）
智力13（+1）
感知15（+2）
魅力11（+0）
伤害免疫：火焰
状态免疫：魅惑，恐慌，擒抱，倒地，束缚
感官能力：60尺黑暗视觉，被动察觉12
语言能力：能听懂你所说的语言
熟练加值：与你等同
动作：
火种：远程武器攻击：使用你的法术攻击调整值，射程60尺，可以攻击你能看到的目标，造成1d6+熟练加值的火焰伤害
烈焰传送：精魂与每个在其5尺内你所选择的自愿生物传送至15尺内你可见的未被占据的空间。随后每个处于精魂离开空间5尺范围内的生物必须成功通过对抗你法术豁免DC的敏捷豁免，否则受到1d6+熟练加值的火焰伤害</t>
  </si>
  <si>
    <t>已知法术-战士</t>
  </si>
  <si>
    <t>你从法师法术列表中选择三个1环法术作为已知法术
“奥法骑士施法能力”中“已知法术”一栏记录了你获得更多已知法术时的相应等级
你只能选择防护系或塑能系法术，且只能获取已有相应环阶法术位的法术
另外，你每提升一个战士等级，可以从法师法术列表中选择一个新法术来代替一个已知法术列表中的旧法术，不过你必须已有新法术的相应环阶法术位
在第8、14和20级，你可以学习任何学派的法术</t>
  </si>
  <si>
    <t>握生死</t>
  </si>
  <si>
    <t>第11级起，每次你的生命值下降为0，你可以花费1点气（无需任何动作）使自己保留1点生命值</t>
  </si>
  <si>
    <t>顽强精神</t>
  </si>
  <si>
    <t>第15级起，你进行对抗震慑和麻痹的豁免时具有优势</t>
  </si>
  <si>
    <t>边界行者魔法</t>
  </si>
  <si>
    <t>第3级起，你学会以下法术，这些法术不占用你的游侠已知法术且被你视为巡林客法术
第3级时：防护善恶
第5级时：迷踪步
第9级时：加速术
第13级时：放逐术
第17级时：传送法阵</t>
  </si>
  <si>
    <t>墓穴惊嚎</t>
  </si>
  <si>
    <t>第3级起，当你在你的回合对于一个生物造成了偷袭伤害之后，你可以立即选择该生物30尺内第二个可见生物，掷你一半的偷袭骰（向上取整），对其造成等同于结果的暗蚀伤害
你可以使用此特性的次数等同于你的熟练加值，当你完成一次长休时恢复所有使用次数</t>
  </si>
  <si>
    <t>灵能术法</t>
  </si>
  <si>
    <t>第6级起，当你施放一个你通过灵能法术特性知晓的法术时，你可以改为使用等同于该法术环数数量的术法点而非消耗法术位施放该法术。你依然可以用法术位正常施放这些法术
当你通过此能力施放法术时，你无视该法术施法需要的语言成分或姿势成分。你同时无视该法术需要的不会消耗的材料成分</t>
  </si>
  <si>
    <t>你可以对自己施展一次行动自如法术，而无需消耗法术位。你必须完成一次长休才能再次使用该特性</t>
  </si>
  <si>
    <t>第10级起，你将变形术加入法术书。你可以无需消耗法术位的施展变形术。此时，你可以指定的目标将限定为你自身，而其效应为变成一种挑战等级不高于1的野兽
你以该方式施展变形术后，必须完成一次长休或短休才能再次使用该特性，但仍可正常消耗法术位地施展变形术</t>
  </si>
  <si>
    <t>奥能震荡</t>
  </si>
  <si>
    <t>第9级起，当你使用魔法武器或指挥钢铁守卫命中目标时，你可以将奥术能量引导至攻击中，以获得以下一种效应：
目标受到额外的2d6力场伤害
选择距离目标30尺以内的一个可见生物或物体。为其恢复2d6生命值
你可以引导奥术能量的次数等同于你的智力调整值（至少1次），但每回合只能这么做一次。在你完成长休时，恢复所有可用次数</t>
  </si>
  <si>
    <t>风暴之盾</t>
  </si>
  <si>
    <t>第10级起，当处于狂暴时。处于你灵光内的、你选择的生物得到你的风暴之魂特性所带来的伤害抗力</t>
  </si>
  <si>
    <t>战争领域法术</t>
  </si>
  <si>
    <t>第1级时：神恩、虔诚护盾
第3级时：魔化武器、灵体武器
第5级时：十字军披风、灵体卫士
第7级时：行动自如、石肤术
第9级时：焰击术、怪物定身术</t>
  </si>
  <si>
    <t>强化链接</t>
  </si>
  <si>
    <t>第6级起，当你在野火精魂处于召唤状态下施展一个造成火焰伤害或回复生命值的法术时，骰一个d8，你在该法术的一次掷骰时获得等同于骰出数值的加值
此外，当你施展一个射程非自身的法术时，该法术可以源自你或你的野火精魂</t>
  </si>
  <si>
    <t>施法关键属性-战士</t>
  </si>
  <si>
    <t>长眠触</t>
  </si>
  <si>
    <t>第17级起，以一个动作，你触碰一个5尺内的生物，同时花费1到10点气。目标必须进行一次体质豁免，若失败将受到每点被耗费的气2d10的黯蚀伤害。成功通过豁免可以使这个伤害降低到一半
豁免DC＝8+你的熟练加值+你的感知调整值</t>
  </si>
  <si>
    <t>崇高卫士</t>
  </si>
  <si>
    <t>第20级时，你可以用一个动作在接下来1个小时里得到如下好处：
你抵抗由非魔法武器造成的钝击、穿刺和挥砍伤害
在你30尺距离内的盟友在进行死亡豁免时具有优势
你和你30尺距离内的盟友在感知豁免上具有优势
如果你死亡或者进入失能状态，这个效果将提前结束。你必须完成一次长休才能再次使用该特性</t>
  </si>
  <si>
    <t>侦测传送门</t>
  </si>
  <si>
    <t>第3级起，以一个动作，你侦测1英里的范围内离你最近的传送门的距离和方向。你必须完成一次长休或短休才能再次使用该特性</t>
  </si>
  <si>
    <t>逝者遗物</t>
  </si>
  <si>
    <t>第9级起，当你30尺内一个可见生物死亡时，你可以以一个反应张开一只空手，使得一个微型的饰物出现在你的掌心，那是一个魂器。DM决定魂器的外观或者让你骰玩家手册中的饰品表来决定。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若你如此做，你可以向与魂器相关的灵体一个问题。灵体将出现在你面前并以它生前所知的一种语言回答。它并无义务对你诚实，并由于其对自由的渴望将回答地尽量简略。DM应当决定在这个灵体只知道他生前所知</t>
  </si>
  <si>
    <t>心灵防御</t>
  </si>
  <si>
    <t>第6级起，你对心灵伤害具有抗性。此外，你在对抗魅惑或恐慌的豁免检定上获得优势</t>
  </si>
  <si>
    <t>当佩戴者在一次豁免检定中失败，他们可以在骰掷结果上增加一个d4骰，这可能将结果变为成功。这一能力可使用的次数等于你的熟练加值，且所有已消耗的次数将会在你完成一次长休之后全部恢复
先决条件：符之魔契</t>
  </si>
  <si>
    <t>变化宗师</t>
  </si>
  <si>
    <t>第14级起，你可以用你的动作将储存在你变化师之石中的变化魔力一次耗尽。此时你可以选择下述效应之一。你的变化师之石将因此被毁，而你必须完成一次长休后才能再创作新的变化师之石头
高等转化：你可以将一件不大于5尺立方的非魔法物件变成体积和质量相近，价值等同或更低的另一件非魔法物件。你必须花10分钟来完成转化
万灵秘药：你用变化师之石触碰一个生物，移除其身上生效的所有诅咒、中毒以及疾病效应，同时恢复该生物的全部生命值
起死回生：你用变化师之石触碰一个生物，并以此对其施展法术死者复活，而无需消耗任何法术位，也不需要法术书中有该法术
返老还童：你用变化师之石触碰一个自愿的生物，并将该生物的表面年龄减少3d10年（至少减少13年的表面年龄）。不过该效应并不能延长生物的寿命</t>
  </si>
  <si>
    <t>改良守卫</t>
  </si>
  <si>
    <t>第15级起，你的奥能震荡和钢铁守卫变得更强：
奥能震荡的额外伤害和生命恢复变为4d6
你的钢铁守卫AC+2
当你的钢铁守卫使用偏转攻击时，攻击者受到1d4+你的智力调整值的力场伤害</t>
  </si>
  <si>
    <t>第14级起，强化你的愤怒风暴</t>
  </si>
  <si>
    <t>额外熟练项-牧师</t>
  </si>
  <si>
    <t>灼烧烈焰</t>
  </si>
  <si>
    <t>第10级起，当一个小型或更大生物在你或你的野火精魂30尺内死亡时，无害幽火从其死亡生物空间中涌现并在此处摇曳1分钟。当一个你可见的生物进入该空间时，你可以用反应扑灭那里的幽火并对该生物进行治疗或火焰伤害。伤害或治疗数值等于2d10+你的感知调整值
你能使用该特性的次数等于你熟练加值，你在完成一次长休后会恢复所有已消耗使用次数</t>
  </si>
  <si>
    <t>武器联结</t>
  </si>
  <si>
    <t>第3级起，你习得一种让你和你的武器建立魔法联结的仪式。仪式耗时1小时，且可在短休时进行。仪式过程中武器必须在你的触及范围内，直至仪式结束前，你都要碰触该武器以完成联结
联结建立后，只要你不处于失能状态，使用联结武器时就不会被缴械。如果联结武器与你处于同一位面，则你可以用一个附赠动作召唤其回到你手中
你至多可以拥有两把建立联结的武器，但一个附赠动作只能召唤一把武器。如果你试图和第三把武器建立联结，则必须与已经联结的一把武器取消联结</t>
  </si>
  <si>
    <t>额外熟练-武僧</t>
  </si>
  <si>
    <t>第3级时，你获得表演的技能熟练项和酿酒工具的工具熟练项</t>
  </si>
  <si>
    <t>征服圣誓法术</t>
  </si>
  <si>
    <t>第3级时：艾嘉西斯之铠、命令术
第5级时：人类定身术、灵体武器
第9级时：降咒、恐惧术
第13级时：支配野兽、石肤术
第19级时：死云术、支配人类</t>
  </si>
  <si>
    <t>位面战士</t>
  </si>
  <si>
    <t>第3级起，以一个附赠动作，选择一名在你30尺范围内对你可见的角色，这回合你对其的下一次武器攻击造成的伤害变成力场伤害，且目标额外受到来自于该攻击的1d8力场伤害
第11级起，额外伤害变成2d8</t>
  </si>
  <si>
    <t>幽灵漫步</t>
  </si>
  <si>
    <t>第13级起，以一个附赠动作，你化为灵体的形态。处于这种形态时，你拥有10尺的飞行速度，能够盘旋，并且针对你的攻击都具有劣势。你也可以如同是困难地形那样穿过生物或者物品，但是如果回合结束时你仍然在内部，你将受到1d10点力场伤害
该形态持续10分钟或直到你以一个附赠动作将其解除。你再次使用此特性前必须完成一次长休。或者你以同一个附赠动作销毁一个你的魂器并激活幽灵漫步</t>
  </si>
  <si>
    <t>血肉启示</t>
  </si>
  <si>
    <t>第14级起，以一个附赠动作，你使用至少1术法点以魔法性地转变形态，持续10分钟。你每因此使用了1术法点，你便可以在转变形态期间选择并获得以下一种增益：
你能看见60尺内的隐形生物，前提是其对你不为全遮蔽
你获得等同于你行走速度的飞行速度，并能停留在空中。当你飞行时，你的皮肤表面流出发光的粘液或是散发出超凡脱俗的光芒
你获得等同于你两倍行走速度的游泳速度，且你能在水下呼吸。此外，腮从你的脖子上长出来，或从耳后呈扇状翻出，你的手指变成蹼趾，或有卷曲的细毛从你的衣服底下翻腾而出
你的身体和你携带的装备都变得柔韧粘滑。你能够轻松穿过最窄1寸宽的狭窄空间而不用挤进去，且你可以消耗5尺移动速度以逃离非魔法的束缚或擒抱</t>
  </si>
  <si>
    <t>你可以随意以自身为目标施展浮空术，且无需消耗法术位和材料成分</t>
  </si>
  <si>
    <t>战法兼修</t>
  </si>
  <si>
    <t>第2级时，你获得轻甲的护甲熟练，并获得一种自选单手近战武器的武器熟练
你同时获得对表演的技能熟练项</t>
  </si>
  <si>
    <t>第3级时，你获得重甲的护甲熟练，另外你获得铁匠工具的熟练。如果你已经拥有铁匠工具熟练，你能获得另一种任意工匠工具的熟练</t>
  </si>
  <si>
    <t>破誓者</t>
  </si>
  <si>
    <t>第14级起，当处于狂暴时，处于你灵光中的生物在一次攻击命中你后，你可以用你的反应迫使该生物立刻做一次敏捷豁免。豁免失败则受到等于你野蛮人等级一半数值的火焰伤害
豁免DC等于8+你的熟练加值+你的体质调整</t>
  </si>
  <si>
    <t>战争祭司</t>
  </si>
  <si>
    <t>第1级起，当你执行攻击动作时，你可以用一个附赠动作发动一次武器攻击
你可以使用该特性的次数等于你的感知调整值（至少为一次）。而你将在完成一次长休后重新恢复所有的使用次数</t>
  </si>
  <si>
    <t>炽烈回生</t>
  </si>
  <si>
    <t>第14级起，当你生命值降至0从而昏迷时，如果精魂在你的120尺之内，你可以使精魂降至0生命值。之后你就会恢复一半生命值，并立刻站起来
你必须完成一次长休才能再次使用该特性</t>
  </si>
  <si>
    <t>战争魔法</t>
  </si>
  <si>
    <t>第7级起，当你使用动作施展戏法时，可以用附赠动作发动一次武器攻击</t>
  </si>
  <si>
    <t>醉拳法门</t>
  </si>
  <si>
    <t>第3级起，每当你使用疾风连击时，你将获得撤离动作的好处，而你的步行速度增加10尺直到当前回合结束</t>
  </si>
  <si>
    <t>引导神力-征服威压</t>
  </si>
  <si>
    <t>第3级起，以一个动作，你强迫每个处于你周围30尺内、你能看见的、由你选择的生物各进行一次感知豁免检定。若豁免失败，目标变得恐慌于你，持续1分钟。变得恐慌的生物可以在其每个回合的结束时重复此豁免检定，成功则结束其身上的此效果
豁免DC等于你的圣武士法术豁免DC</t>
  </si>
  <si>
    <t>灵界漫步</t>
  </si>
  <si>
    <t>第7级起，以一个附赠动作，你能够以这个特性不消耗法术位施放以太化，但是这个法术在当前回合结束时结束，你必须完成一次长休或短休才能再次使用该特性</t>
  </si>
  <si>
    <t>死亡之友</t>
  </si>
  <si>
    <t>第17级起，你获得了如下益处：
当你使用墓穴惊嚎的时候，你可以同时对你的攻击目标和第二目标造成那份暗蚀伤害
在一次长休的结束时，假如你没有任何魂器，死者的灵魂会自动被你吸引，在你手中形成一个魂器</t>
  </si>
  <si>
    <t>扭曲爆裂</t>
  </si>
  <si>
    <t>第18级起，以一个动作，你可以传送到120尺内你可见的一个未被占据的位置，然后你消失位置30尺内的生物必须进行一次力量豁免，失败受3d10力场伤害并被立即拉向你原本的位置或最近的一个未被占据的位置，成功半伤且不受拉扯
一旦你使用了此特性，除非你消耗5术法点，否则将无法再次使用，直到你完成一次长休</t>
  </si>
  <si>
    <t>你可以消耗你的邪术师法术位施展一个召唤元素生物。你必须完成一次长休才能再次使用该特性</t>
  </si>
  <si>
    <t>剑歌之术</t>
  </si>
  <si>
    <t>第2级起，只要你并未穿着中甲、重甲或使用盾牌，就可以用一个附赠动作开始剑歌，它将持续1分钟。如果你陷入失能，或穿上中甲、重甲或盾牌，或你用双手发动一次武器攻击，你的剑歌将提前结束。你也可以随时解消剑歌（不需要动作）
在剑歌激活期间，你获得以下好处：
你的AC获得等于你智力调整值的加值（最少+1）
你的陆地移动速度增加10英尺
你在敏捷（体操）检定上获得优势
你在为维持法术专注所进行的体质豁免检定上获得加值，加值等于你的智力调整值（最少+1）
你能使用本特性的次数等于你的熟练加值。完成一次短休息或长休息后你重获所有已用的使用次数</t>
  </si>
  <si>
    <t>装甲师法术</t>
  </si>
  <si>
    <t>第3级起，当你获得表中所对应的装甲师等级时，你将同时习得列出的法术。这些法术将会一直在你的准备法术列表中，且不计入你的每日准备法术上限
第3级起：魔法飞弹、雷鸣波
第5级起：镜影术、粉碎音波
第9级起：催眠图纹、闪电束
第13级起：火焰护盾、高等隐形术
第17级起：穿墙术、力场墙</t>
  </si>
  <si>
    <t>王冠之誓</t>
  </si>
  <si>
    <t>第14级起，当处于狂暴时，任何处于你灵光中的生物若被你以一次攻击击中，你可以用你的反应迫使该生物进行一次力量豁免，豁免失败则则变为俯卧状态
豁免DC等于8+你的熟练加值+你的体质调整</t>
  </si>
  <si>
    <t>引导神力-导引打击</t>
  </si>
  <si>
    <t>第2级起，你在进行攻击检定时，可以使用引导神力令该次检定获得+10加值。你可以在看到掷骰结果后DM公布是否命中前，决定是否使用该特性</t>
  </si>
  <si>
    <t>秘法打击</t>
  </si>
  <si>
    <t>第10级起，当你的武器攻击命中敌人后，直至你下一回合结束前，该生物对抗你下一个法术所进行的豁免检定具有劣势</t>
  </si>
  <si>
    <t>微醺摇摆</t>
  </si>
  <si>
    <t>第6级起，你获得以下动作：
鲤鱼打挺：当你倒地时，你可以花费5尺移动力起身而不是一半的移动力。
借力打力：当一个生物对你的一次近战攻击失手时，你可以花费1点气作此反应，让这次攻击击中在你周围5尺范围内由你选择的一名可见生物，但不能是攻击者</t>
  </si>
  <si>
    <t>引导神力-神助打击</t>
  </si>
  <si>
    <t>第3级起，当你进行一次攻击检定时，你可以使用你的引导神力以在此检定中得到+10加值。你在你看到掷骰后进行决定，但需要在DM宣布此攻击命中与否前声明</t>
  </si>
  <si>
    <t>闪现打击</t>
  </si>
  <si>
    <t>第11级起，当你进行攻击动作时，你能够在每一次攻击前传送10尺到一片对你可见的空地上
如果你用一个动作攻击了至少两名不同的角色，你可以额外攻击一次第三名角色</t>
  </si>
  <si>
    <t>灵能天赋</t>
  </si>
  <si>
    <t>第3级起，你获得灵能骰，它的起始大小是d6。你拥有等同于你熟练加值两倍数量的灵能骰，并且他们供你发挥出你拥有的多种灵能力量
一些你的能力会消耗它们使用的灵能骰，如能力中确切描述的一样，而且你不能在你灵能骰全部用完的时候使用要求你使用灵能骰的能力。你在完成一次长休之后恢复所有的灵能骰。此外，作为一个附赠动作，你可以恢复一个你消耗的灵能骰，但是直到你完成一次短休或者长休之前，你都无法再次这样做
第5级起，灵能骰变为d8；第11级起，灵能骰变为d10；第17级起，灵能骰变为d12</t>
  </si>
  <si>
    <t>时械法术</t>
  </si>
  <si>
    <t>第1级起，当你获得表中所对应的术士等级时，你将同时习得这些法术，这些法术对你而言视为术士法术，但不包含在“术士职业表”上“已知法术”一栏的所记录的数量之内
如果你以后替换了这些法术，你必须用术士、魔导士或法师的法术列表来替换它
第1级时：警报术、防护善恶
第3级时：援助术、次级复原术
第5级时：解除魔法、防护能量伤害
第7级时：行动自如、构装体召唤术
第9级时：高等复原术、力场墙
此外，你可以从决定一种你在施法时显现出与秩序之联系的方式</t>
  </si>
  <si>
    <t>你可以随意以自身为目标施展1环法术跳跃术，且无需消耗法术位和材料成分</t>
  </si>
  <si>
    <t>额外攻击-剑咏者</t>
  </si>
  <si>
    <t>第6级起，你在自己回合内执行攻击动作时可以发动两次攻击。此外，你还可以施展一个戏法以替代其中一次攻击</t>
  </si>
  <si>
    <t>奥能装甲</t>
  </si>
  <si>
    <t>第3级起，只要你手持铁匠工具，就能以一个动作将你正穿着的一套护甲变成奥能装甲。在穿着奥能装甲时，你获得以下好处：
如果你的盔甲通常对穿戴者的力量有要求，奥能装甲能让你无视它
你能够将奥能装甲作为你奇械师法术的法器
穿在你身上的奥能装甲除非你自愿，否则无法移除。同时，奥能装甲能够扩展到复盖你的整个身体，并替换你所有缺失的肢体，替换肢体的部分拥有和正常肢体一样的功能
转化为奥能装甲的盔甲会一直保有其功能，直到你脱下它、装上另一套盔甲、或你死亡</t>
  </si>
  <si>
    <t>征服之誓</t>
  </si>
  <si>
    <t>第14级起，当处于狂暴时，你可以选择一个你可以看见的、处于灵光里的生物。该生物必须通过一次力量检定，豁免失败则其速度降为0，直到你的下一个回合开始
豁免DC等于8+你的熟练加值+你的体质调整</t>
  </si>
  <si>
    <t>引导神力-战神祝福</t>
  </si>
  <si>
    <t>第6级起，身处你周边30尺范围内的一个生物进行攻击检定时，你可以用一个反应使用引导神力令该检定获得+10加值。你可以在看到掷骰结果后DM公布是否命中前，决定是否使用该特性</t>
  </si>
  <si>
    <t>秘法冲锋</t>
  </si>
  <si>
    <t>第15级起，你可以在使用动作如潮时传送至多30尺距离。传送的目的地必须是你能看到且未被占据的空间。你可以在使用动作如潮提供的额外动作之前或之后进行传送</t>
  </si>
  <si>
    <t>醉汉机运</t>
  </si>
  <si>
    <t>第11级起，当你进行一次属性检定，攻击检定或豁免检定并在检定中拥有劣势时，你可以花费2点气抵消这个劣势</t>
  </si>
  <si>
    <t>征服光环</t>
  </si>
  <si>
    <t>第7级起，只要你并未失能，你便弥漫出一阵威吓的灵光。光环从你向各个方向延伸10尺，它会被全掩蔽所阻挡
若一个生物恐慌于你，当其处于此光环内，其速度降为0，若其在光环内开始其回合，则受到等于你圣武士等级一半的心灵伤害
第18级起，光环的作用范围扩展至30尺</t>
  </si>
  <si>
    <t>虚体防御</t>
  </si>
  <si>
    <t>第15级起，当你受到一次攻击伤害时，你可以用你的反应来给予你在这一回合对那次攻击全部伤害的抗性</t>
  </si>
  <si>
    <t>灵能诀窍</t>
  </si>
  <si>
    <t>第3级起，如果你使用具有熟练项的技能或工具进行一次属性检定，但失败时，你可以掷灵能天赋骰，将掷骰结果加到检定结果中，这可能会让失败的检定变为成功。你只在灵能让检定成功时消耗灵能骰</t>
  </si>
  <si>
    <t>归复平衡</t>
  </si>
  <si>
    <t>第1级起，当你60尺内一个你可见的生物即将进行一次具有优势或劣势的检定时，你可以用反应使其免受优势或劣势的影响
你可以使用此能力的次数等同于你的熟练加值。每当你完成一次长休息，你重新获得已消耗的使用次数</t>
  </si>
  <si>
    <t>你可以随意施展法术死者交谈，且无需消耗法术位</t>
  </si>
  <si>
    <t>守御之歌</t>
  </si>
  <si>
    <t>第10级起，在剑歌激活期间，如果你受到伤害，你可以用你的反应动作消耗一个法术位，使你受到的伤害数值下降那个法术位环数的五倍</t>
  </si>
  <si>
    <t>第3级起，你能够定制你的奥能装甲。当你这么做时，能够从守护者或渗透者两种型号中选择其一。你选择的型号会在你穿着时提供特殊的好处。每种型号都包括一种特殊武器。当你使用该武器攻击时，你可以使用你的智力调整值，而不是力量或敏捷，来进行攻击和伤害检定。只要你手上有铁匠工具，就可以在完成一次短休或长休后更换你的装甲型号</t>
  </si>
  <si>
    <t>救赎之誓</t>
  </si>
  <si>
    <t>神性之怒</t>
  </si>
  <si>
    <t>第3级起，当处于狂暴时，当你处于狂暴中，你在自己回合中用武器攻击命中的第一个生物会受到额外伤害，数值等于1d6+你野蛮人等级的一半。此伤害的类型为黯蚀或光耀；你在你得到此特性时选择它的类型</t>
  </si>
  <si>
    <t>第8级起，你在每个自己回合里有一次机会，可以在用武器攻击命中某生物时，使该攻击额外造成1d8点与该武器伤害类型相同的伤害
第14级起，该伤害提升到2d8</t>
  </si>
  <si>
    <t>精通战争魔法</t>
  </si>
  <si>
    <t>第18级起，你执行施法动作时，可以用附赠动作发动一次武器攻击</t>
  </si>
  <si>
    <t>酒疯沉醉</t>
  </si>
  <si>
    <t>第17级起，每当你使用你的疾风连击时，你可以用它进行最多三次的额外攻击（疾风连击最多可以进行五次攻击），前提是每一次疾风连击都能在本回合中取一个不同生物作为攻击目标</t>
  </si>
  <si>
    <t>轻蔑呵斥</t>
  </si>
  <si>
    <t>第15级起，当一个生物以一次攻击击中你时，若你并未失能，该生物受到等于你魅力调整值（最小为1）的心灵伤害</t>
  </si>
  <si>
    <t>怪物杀手魔法</t>
  </si>
  <si>
    <t>第3级起，你学会以下法术，这些法术不占用你的游侠已知法术且被你视为巡林客法术
第3级时：防护善恶
第5级时：诚实之域
第9级时：防护法阵
第13级时：放逐术
第17级时：怪物定身术</t>
  </si>
  <si>
    <t>心灵低语</t>
  </si>
  <si>
    <t>第3级起，你能够利用灵能力在自己和他人之间建立起基于心灵感应的交流——在需要无声渗透时这堪称完美。以一个动作，掷一个灵能骰，从可见的生物中选择一到至多等同于你熟练加值数量的生物，你和选择的生物获得通过心灵感应进行交流的能力。在等同于灵能骰结果个小时内，你可以和选择生物进行双向的心灵感应交流，但在发送或接收信息时（无需动作），你和选择生物之间的距离不可超过一英里。不会说任何语言的生物无法通过此方法进行交流，而且生物可以随时终止心灵感应的链接（无需动作）。你和链接的生物不需要能说同一种语言也能互相理解话语。你每次长休后的第一次使用这个能力不会消耗你的灵能骰，在其它情况下使用这个能力的话，你会消耗灵能骰</t>
  </si>
  <si>
    <t>律令之壁</t>
  </si>
  <si>
    <t>第6级起，以一个动作，你可以使用1至5术法点创造出一个环绕你或30尺内一个你可见的生物的魔法屏障。此屏障持续存在直到你完成一次长休息或直至你再次使用此能力
屏障具有等同于你所消耗术法点数量的d8骰。当被守护的生物受到伤害时，其可以消耗任意数量的这些d8骰，并使该伤害减少掷出结果的数值</t>
  </si>
  <si>
    <t>一张新的书页出现在你的影之书中。在你的允许之下，一个生物可以使用一个动作来将他的名字写在这一页上，这一页能包括的名字数量等于你的熟练加值
当一个名字在这一页上的生物生命值降为0，但是还没有完全死亡，这个生物的生命值魔法化的变为1点。每当这个魔法效应被触发，没有任何生物可以触发该效应直到你完成一次长休
你可以使用一个动作，以触摸的形式魔法化地消除一个在书页上的名字
先决条件：书之魔契</t>
  </si>
  <si>
    <t>胜利之歌</t>
  </si>
  <si>
    <t>第14级起，在你的剑歌激活期间，你将你的智力调整值（最低+1）加在你的近战武器伤害上</t>
  </si>
  <si>
    <t>雷霆战拳：每一只装甲附带的手套在没有持握任何物品时皆可被视为一件简单近战武器，命中后会造成1d8雷鸣伤害。被战拳击中的生物，会被装甲释放的魔法性干扰脉冲影响，使其对除你之外的目标攻击时有劣势，直到你的下个回合到来
防护场：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t>
  </si>
  <si>
    <t>荣耀之誓</t>
  </si>
  <si>
    <t>神之勇者</t>
  </si>
  <si>
    <t>第3级起，若一个法术只具有让你起死回生（但不能是不死生物）的效果，该施法者在对你施展法术时不需要材料成分</t>
  </si>
  <si>
    <t>战斗化身</t>
  </si>
  <si>
    <t>第17级时，你对非魔法武器造成的钝击、穿刺、挥砍伤害具有抗性</t>
  </si>
  <si>
    <t>重整姿态</t>
  </si>
  <si>
    <t>第3级起，当你使用你的回气能力，你可以选择在你60尺范围内最多3个盟友，他们每个人都恢复等同于你的战士等级的生命值。他们必须要能看到或者听到你的声音才能获得这个好处</t>
  </si>
  <si>
    <t>剑圣之途</t>
  </si>
  <si>
    <t>第3级起，你特殊的武术训练使你精通于某些特定武器使用技巧。这一流派同时还包括了对书画艺术的研究。你获得剑圣武器、灵巧格挡、持弓审固、书画之道等好处</t>
  </si>
  <si>
    <t>不移胜者</t>
  </si>
  <si>
    <t>第20级时，以一个动作，你可以魔法性的变成征服的化身，获得下述的好处，持续1分钟：
你对于所有伤害得到抗性
当你在你的回合进行攻击动作时，你可以进行一次额外的攻击，作为该动作的一部分
你的近战武器攻击在掷出19或20时即可造成重击
你必须完成一次长休才能再次使用该特性</t>
  </si>
  <si>
    <t>猎人感知</t>
  </si>
  <si>
    <t>第3级起，以一个动作，选择一名60尺范围内对你可见的角色。你立刻知晓该角色的伤害免疫，抗性和易伤。如果该角色被预言系魔法覆盖，你感觉它没有任何伤害免疫，抗性和易伤
你能使用该特性的次数等同于你的感知调整值（至少为1）。你重新获得所有使用过的次数当你完成一次长休时</t>
  </si>
  <si>
    <t>念刃</t>
  </si>
  <si>
    <t>第3级起，当你准备对一个生物进行近战或远程武器攻击时，你能以空闲的手中塑造灵能之刃，并使用它来进行攻击。念刃是一种简易近战武器，具有灵巧和投掷特性。它的常规射程为60尺，没有最大射程，在命中后造成1d6+你用于攻击的属性调整值的心灵伤害。念刃会在击中或未击中目标后立即消失，如果它造成伤害，其伤害不会在目标上留下痕迹
当你使用念刃攻击后，只要你的另一只手空闲，就能以一个附赠动作塑造第二把念刃再进行一次近战或远程武器攻击。此附赠攻击的伤害骰是1d4，而不是1d6</t>
  </si>
  <si>
    <t>序列意识</t>
  </si>
  <si>
    <t>第14级起，以一个附赠动作，你可以在1分钟内进入意识和机械境无尽的计算达成同步的状态。在此期间，对你进行的攻击免受优势的影响，且每当你进行一次攻击检定、属性检定或豁免检定时，你可以将d20掷出的10以下的数值视为10
一旦你使用了此特性，除非你消耗了一个五环法术位，否则将无法再次使用，直到你完成一次长休</t>
  </si>
  <si>
    <t>玄奥秘法</t>
  </si>
  <si>
    <t>第11级起，你可以选择一个6环的邪术师法术作为你的玄奥秘法
你施展秘法时无需消耗法术位，而消耗掉的秘法可以通过完成一次长休进行恢复
第13级起，再选一个7环法术；第15级起，再选一个8环法术；第17级起，再选一个9环法术</t>
  </si>
  <si>
    <t>奥术偏斜</t>
  </si>
  <si>
    <t>第2级起，当你被一次攻击击中，或未通过一次豁免时，你可以使用你的反应来在对抗那次攻击的AC上获得+2加值，或在那次豁免检定中得到+4加值
当你使用此特性时，你不能施展戏法之外的法术，直到你下个回合结束</t>
  </si>
  <si>
    <t>闪电发射器：你在胸部或复盖装甲的拳头（根据你的选择）上安装了一个宝石状的节点。它被视为一件简单远程武器，它拥有90尺的常规射程和300尺的最大射程，在命中后会造成1d6闪电伤害。每个你的回合一次，你在通过闪电发射器命中一个生物时，能够额外造成1d6闪电伤害。
动力步伐：你的步行速度增加5尺。
减震场：你在敏捷（隐匿）检定中具有优势。如果你的盔甲原本会让你在此检定上具有劣势，优势和劣势将会正常抵消</t>
  </si>
  <si>
    <t>守望之誓</t>
  </si>
  <si>
    <t>狂热专注</t>
  </si>
  <si>
    <t>第6级起，若你在狂暴时未通过一次豁免检定，你可以重新投掷该豁免检定，但你必须接受第二次投掷的数值。你每次狂暴只能使用此能力一次</t>
  </si>
  <si>
    <t>死亡领域法术</t>
  </si>
  <si>
    <t>第1级时：虚假生命、致病射线
第3级时：目盲/耳聋术、衰弱射线
第5级时：操纵死尸、吸血鬼之触
第7级时：枯萎术、防死结界
第9级时：防活物护罩、死云术</t>
  </si>
  <si>
    <t>皇家特使</t>
  </si>
  <si>
    <t>第7级起，你熟练于游说技能。如果你已经对这项技能熟练，你可以选择以下列表中的一项技能熟练：驯兽、洞悉、威吓或表演
你在进行魅力（游说）检定时可以将双倍的熟练值加在上面</t>
  </si>
  <si>
    <t>剑圣武器</t>
  </si>
  <si>
    <t>选择一种近战武器和一种远程武器作为你的剑圣武器。这两种武器可以在不带有重型和特殊属性的简易或军用武器中任选，长弓也算在内。你获得所选武器的武器熟练项。所选武器算作你的武僧武器。这一宗派的许多职业特性只有当你使用剑圣武器时才能生效。当你的武僧职业等级分别达到第6级、第11级和第17级时，你可以遵从上述标准，选择另一种武器--近战或远程武器均可--作为你的剑圣武器</t>
  </si>
  <si>
    <t>救赎圣誓法术</t>
  </si>
  <si>
    <t>第3级时：庇护术、睡眠术
第5级时：安定心神、人类定身术
第9级时：法术反制、催眠图纹
第13级时：欧提路克弹力法球、石肤术
第17级时：怪物定身术、力场墙</t>
  </si>
  <si>
    <t>狩猎开始</t>
  </si>
  <si>
    <t>第3级起，以一个附赠动作，你选择一名60尺范围内对你可见角色作为该特性的目标。每回合你以一次武器攻击第一次击中该目标，它额外受到1d6的武器伤害
该收益持续到你完成一次短休或者长休。如果你选择一名不同的目标，它会提前结束</t>
  </si>
  <si>
    <t>灵魂之刃</t>
  </si>
  <si>
    <t>第9级起，你能够更好地控制念刃</t>
  </si>
  <si>
    <t>时械矩阵</t>
  </si>
  <si>
    <t>第18级起，以一个动作，你在以你为中心30尺立方空间的范围内召唤出精魂。这些精魂看起来像是魔冢或你选择的其他构装体，没有实体也不能摧毁，并在消失前使立方范围内产生以下效应：
精魂合计提供至多回复100生命值，由你随意分配给范围内任意数量的生物
范围内受到伤害的物件被立即修复
你选择范围内任意数量的生物或物件，其承受的任何6环或以下的法术结束
一旦你使用了此特性，除非你消耗7术法点，否则将无法再次使用，直到你完成一次长休</t>
  </si>
  <si>
    <t>你使用契约武器命中某个生物时，额外造成相当于你魅力调整值的黯蚀伤害（最少为1）
先决条件：刃之魔契</t>
  </si>
  <si>
    <t>战术思维</t>
  </si>
  <si>
    <t>第2级起，你在先攻检定中获得等于你智力调整值的加值</t>
  </si>
  <si>
    <t>狂热存在</t>
  </si>
  <si>
    <t>第10级起，以一个附赠动作，你愤怒的怒吼并释放出一道蕴含神圣能量的战吼。选择至多10个距离你60尺以内并且能听到你吼叫的其他生物，直到你的下个回合开始，在攻击检定和豁免检定中获得优势
你必须完成一次长休才能再次使用该特性</t>
  </si>
  <si>
    <t>第1级时，你获得军用武器的熟练项</t>
  </si>
  <si>
    <t>振奋之潮</t>
  </si>
  <si>
    <t>第10级起，每当你使用你的动作如潮能力时，你可以选择一个在你周围60尺内的盟友，他可以立刻用他的反应进行一次近战或者远程武器攻击。他必须要能看见或者听见你的声音才能获得这个好处
第18级起，你可以选择两个盟友</t>
  </si>
  <si>
    <t>灵巧格挡</t>
  </si>
  <si>
    <t>如果你持握一件近战剑圣武器，并在你的回合中进行了一次徒手攻击作为攻击动作的一部分，则只要武器还在你的手中且你未陷入失能状态，直到你的下回合开始之前你的AC获得+2加值</t>
  </si>
  <si>
    <t>引导神力-和平使节</t>
  </si>
  <si>
    <t>第3级起，以一个附赠动作，你为自己在接下来的10分钟内进行的下次魅力（说服）检定中提供+5加值</t>
  </si>
  <si>
    <t>卓越防守</t>
  </si>
  <si>
    <t>第7级起，如果你的狩猎开始特性目标要求你进行豁免鉴定，或让你做一次技能检定来脱离目标的擒抱，加1d6到你的那次投掷上</t>
  </si>
  <si>
    <t>寻的攻击</t>
  </si>
  <si>
    <t>第9级起，如果在使用念刃进行的攻击中失手，你能掷灵能骰，将掷骰结果加到这次攻击检定中。如果这会使攻击变为命中，你将消耗一个灵能骰</t>
  </si>
  <si>
    <t>当别人佩戴你的护身符时，只要你们存在于同一位面，你可以用一个标准动作将你传送至靠近他们的空区域。佩戴该护身符的人也能做同样的事，用他们的动作来传送到你身边。该传送能力可使用的次数等于你的熟练加值，且所有已消耗的次数会在你完成一次长休之后完全恢复
先决条件：符之魔契</t>
  </si>
  <si>
    <t>力量涌动</t>
  </si>
  <si>
    <t>第6级起，你可以将魔法能量存于体内并于之后增幅你危险异常的法术。
你不能储存超过你智力调整值（至少1）的力量涌动。当你完成一次长休息，你的力量涌动数重置为1。当你成功用解除魔法或反制法术终结一个法术时，你获得1点力量涌动。当你在没有力量涌动次数时完成一次短休息，你获得1点力量涌动
每回合一次，当你用一个法师法术对一生物或物体造成伤害时，你可以消耗1点力量涌动来对目标造成额外的力场伤害。额外伤害值等于你的法师等级的一半</t>
  </si>
  <si>
    <t>装甲改造</t>
  </si>
  <si>
    <t>第9级起，在你进行注法时，奥能装甲能够被视为下列独立物品：盔甲（胸甲）、靴子、护腕和武器。每件物品都能进行一次注法，此外，你的注法物品的上限增加2，但增加的部分只能用于为奥能装甲的一部分注法</t>
  </si>
  <si>
    <t>怒不畏死</t>
  </si>
  <si>
    <t>第14级起，当处于狂暴时，具有0点生命值不会让你昏迷。你仍然必须进行死亡豁免检定，而你在0生命值下受到伤害时承受正常的效果。然而，若你因为未通过死亡豁免检定而即将死去，你拒绝死亡直到你的狂暴结束，如果你那时仍保持0生命值则死亡</t>
  </si>
  <si>
    <t>收割者</t>
  </si>
  <si>
    <t>第1级时，你可以从任意法术列表中选择学习一个死灵戏法。施展一个通常指定一个生物为目标的死灵戏法时，该法术现在可以指定施法距离内两个相互之间距离不超过5尺的生物</t>
  </si>
  <si>
    <t>意志壁垒</t>
  </si>
  <si>
    <t>第15级起，每当你决定用不屈重投智力，感知或者魅力豁免并且你未处于失能状态，你可以选择一个在你60尺距离内对同样的效果豁免失败的盟友。如果他能看见你或者听见你的声音，他可以重投豁免骰。他必须采用新的结果</t>
  </si>
  <si>
    <t>持弓审固</t>
  </si>
  <si>
    <t>你可以在你的回合中使用一次附赠动作，之后你用剑圣武器发动的远程攻击所命中的任何目标将会额外受到1d4点该武器的属性种类的伤害。你保留这一好处直到当前回合结束</t>
  </si>
  <si>
    <t>引导神力-斥喝暴力</t>
  </si>
  <si>
    <t>第3级起，当一个处于你周围30尺内的敌人以一次攻击对一个你之外的生物造成伤害时，以一个反应，你强迫攻击者进行一次感知豁免检定。检定失败则攻击者受到等同于其刚刚造成的伤害的光耀伤害。成功则受到一半伤害
豁免DC等于你的圣武士法术豁免DC</t>
  </si>
  <si>
    <t>魔法克星</t>
  </si>
  <si>
    <t>第11级起，60尺内，当你看到一名角色使用法术或者传送，你可以用你的反应魔法性地来尝试打断它。角色必须成功通过一个难度等同于你的施法DC的感知豁免，否则它的法术和传送失败并浪费
你必须完成一次长休或短休才能再次使用该特性</t>
  </si>
  <si>
    <t>心灵传送</t>
  </si>
  <si>
    <t>第9级起，如果你的灵能天赋骰可用，你能通过投掷念刃来将自己魔法性地传送到其他地方。以一个附赠动作，你塑造一把念刃，消耗并掷一个灵能骰，将念刃投掷到至多距离灵能骰结果数字10倍尺数的可见空闲区域。你传送到目标位置，同时念刃消失</t>
  </si>
  <si>
    <t>你可以随意施展针对于天界生物、邪魔、或元素生物的怪物定身术，且无需消耗法术位和材料成分。你必须完成一次长休才能再次对同一生物使用此祈唤
先决条件：链之魔契</t>
  </si>
  <si>
    <t>耐久魔法</t>
  </si>
  <si>
    <t>第10级起，当你于一个法术上维持专注时，你在AC和所有豁免上获得+2加值</t>
  </si>
  <si>
    <t>完美装甲</t>
  </si>
  <si>
    <t>第15级起，你的奥能装甲根据其型号获得下列额外好处：
守护者：当你可见的一个体型为巨型或更小的生物在距离你30尺内的地方结束其回合时，你能以一个反应迫使该生物对你的法术豁免DC进行一个力量豁免检定，失败将被拉向你最多30尺。如果你将目标拉到距离你5尺的地方，作为此反应的一部分，你能对该生物进行一次近战武器攻击
你每天能够执行此反应的次数等于你的熟练加值。在完成一次长休后将恢复所有可用次数
渗透者：任何被你闪电发射器造成闪电伤害的生物将在你的下个回合到来前发光。发光的生物会放出5尺半径的微光光照，当它试图攻击你时，光芒会突然增强，使其在针对你的攻击检定中具有劣势。另外，下次针对发光生物的攻击检定具有优势。如果那次攻击命中，将额外造成1d6闪电伤害</t>
  </si>
  <si>
    <t>察觉魔法</t>
  </si>
  <si>
    <t>第3级起，以一个动作，直到你的下一个回合结束前，你可以知晓你60尺内任何法术或者魔法物品的位置，除非它们对你有完全掩护。当你察觉到一个法术的存在时，你还能判断这个法术属于哪一个学派
你每天可以使用该能力的次数等于你的熟练加值。每完成一次长休之后你补充齐所有已消耗的使用次数</t>
  </si>
  <si>
    <t>引导神力-死亡之触</t>
  </si>
  <si>
    <t>第2级起，你以近战攻击命中一个生物时，可以使用引导神力对该目标造成额外的黯蚀伤害。该伤害值等于5+其牧师等级两倍的数值</t>
  </si>
  <si>
    <t>魔射手学识</t>
  </si>
  <si>
    <t>第3级时，你从奥秘或者自然中选择一个技能获得熟练，而且从魔法伎俩或者德鲁伊伎俩中选择一个戏法并学会</t>
  </si>
  <si>
    <t>书画之道</t>
  </si>
  <si>
    <t>你在书法工具或画家工具中选择其一，获得熟练项</t>
  </si>
  <si>
    <t>护卫光环</t>
  </si>
  <si>
    <t>第7级起，当一个处于你10尺内的生物受到伤害时，你可以用一个反应动作，魔法性地使你代替该生物承受此伤害。此特性不会传递任何该伤害可能附带的效果，该伤害也无法被任何方式减少
第18级起，光环的作用范围扩展至30尺</t>
  </si>
  <si>
    <t>杀手反制</t>
  </si>
  <si>
    <t>第15级起，如果你的狩猎开始特性目标要求你进行豁免鉴定，你能够使用你的反应来对其做出一次武器攻击。你需要在进行豁免检定前做出该攻击。如果你击中，你的豁免自动成功，否则只造成普通攻击效果</t>
  </si>
  <si>
    <t>灵能面纱</t>
  </si>
  <si>
    <t>第13级起，以一个动作，你连同你所穿或携带的任何东西可以魔法性地隐形至多1小时，或直到你主动解除隐形（无需动作）。如果你发动攻击或迫使一个生物进行豁免检定，则此隐身状态结束
一旦你使用了此特性，除非你选择消耗一个灵能骰，否则将无法再次使用，直到你完成一次长休</t>
  </si>
  <si>
    <t>你可以随意施展法术变身术，且无需消耗法术位</t>
  </si>
  <si>
    <t>偏斜罩幕</t>
  </si>
  <si>
    <t>第14级起，当你使用你的奥术偏斜特性时，你可以让至多三个60尺内你能看见的目标受到半数于你法师等级的力场伤害</t>
  </si>
  <si>
    <t>幽域追踪者</t>
  </si>
  <si>
    <t>狂野浪潮</t>
  </si>
  <si>
    <t>第3级起，当你进入狂暴状态时，掷D8骰子并根据狂野魔法列表决定所产生的狂野魔法
如果这个狂野魔法需要进行豁免检定，则其DC等于8+你的熟练加值+你的体质调整值
1：阴暗的卷须在你身边疯狂挥舞。在你能看到的30尺内，你选择若干生物，他们都必须进行一次体质豁免，如果失败，则将收到1d12的暗蚀伤害。你获得1d12的临时生命值
2：你可以传送到30尺内的一个未被占据的，你可以看到的地方。直到你的狂暴终止，你的每一个回合都可以消耗一个附赠动作再次发动这个效果
3：一个无形的灵体，看起来像一个呋噜或者皮克精（由你决定），出现在一个你30尺内可以看到的生物的5尺以内。并且在当前回合结束时，这个灵体会爆炸，所有5尺以内的生物必须进行一次敏捷豁免，如果失败，将承受1d6的力场伤害。直到你的狂暴结束前，你每个回合都可以消耗一次附赠动作来再次发动这个效果
4：魔力与牛所选择的一把你正持握着的武器相融在一起。直到你的狂暴结束前，这把武器的伤害类型转变为力场伤害，并且获得轻型和投掷（20尺/60尺）的属性。如果你手中不在持握有这把武器，它会在当前回合结束的时候重新出现在你的手中
5：在你的狂暴结束前，每当一个生物以攻击检定的方式对你进行攻击并命中，你身上的魔力抽打反击对其造成1d6的力场伤害
6：在你的狂暴结束前，你周身围绕着彩色的防护光芒。你的AC加一，并且在你10尺内的伙伴也可以享受到这一加成
7：你身边暂时生长出花朵与藤蔓。在你的狂暴结束前，你周围15尺的地面对你的敌人视作困难地形
8：一束光从你胸膛射出。你所选择的30尺内的你可以看到的另一个生物必须进行一次体质豁免检定，如果失败，将会收到1d6的光耀伤害并且直到你的下一个回合开始前他将一直处于失明状态。直到你的狂暴结束前，你每个回合都可以消耗一次附赠动作来再次发动这个效果</t>
  </si>
  <si>
    <t>命定毁伤</t>
  </si>
  <si>
    <t>第6级起，你的牧师法术与引导神力选项所造成的黯蚀伤害将无视对黯蚀伤害抗性</t>
  </si>
  <si>
    <t>第3级起，你学会两种你选择的奥术射击选项
每个回合，当你以一个攻击动作的一部分来用短弓或者长弓射出箭矢时，你可以为你的箭矢挑选一个你拥有的奥术射击选项。你可以在箭矢击中一名角色时决定是否使用该选项，除非该选项不包括一个攻击骰。你拥有两次使用该特性的机会，而且你在完成一次短休或长休后重新获得所有被消耗的的使用次数
在第7、10、15和18级你将分别额外获得一个奥术射击选项</t>
  </si>
  <si>
    <t>人剑合一</t>
  </si>
  <si>
    <t>第6级起，你能将“气”灌注到剑圣武器之中，获得剑气和巧劲的好处</t>
  </si>
  <si>
    <t>守护之魂</t>
  </si>
  <si>
    <t>第15级起，若你在战斗中结束你的回合时，剩余的生命值少于一半，且你未处于失能状态，则你恢复等于1d6+你圣武士等级一半的生命值</t>
  </si>
  <si>
    <t>蜂聚集群</t>
  </si>
  <si>
    <t>第3级起，无形自然精魂形成的集群与你形影不离并会在战斗中对你施以援手。直到你死亡，你决定集群的外观
在你的回合中每回合一次，当你以一次攻击命中一个生物之后，你能让集群以以下一种方式助你一臂之力。
这次攻击的目标因集群受到1d6穿刺伤害
这次攻击的目标必须成功通过对抗你法术DC的力量豁免检定否则被集群朝你选择的方向水平移动最多15尺
你被集群朝着你所选择的方向水平移动5尺</t>
  </si>
  <si>
    <t>撕裂心智</t>
  </si>
  <si>
    <t>第17级起，当你使用念刃对一个生物造成偷袭伤害时，你能迫使其进行一次感知豁免检定（DC=8+你的熟练加值+你的敏捷调整值）。若豁免失败，目标将在一分钟里前陷入震慑。被震慑的目标可以在他的回合结束时重复豁免，如果成功将会移除这个效果在他身上的影响
一旦你使用了此特性，除非你消耗3个灵能骰，否则将无法再次使用，直到你完成一次长休</t>
  </si>
  <si>
    <t>你可以随意施展法术秘法眼，且无需消耗法术位</t>
  </si>
  <si>
    <t>时间变幻</t>
  </si>
  <si>
    <t>第2级起，在你或者30尺内你可以看见的一个生物进行一次攻击检定，属性检定或者豁免检定后，你可以以一个反应迫使该生物重投。你可以在得知该检定是否成功后做出这一反应。该生物必须使用第二次的结果
你可以使用这一特性两次。你在完成一次长休后重获所有已消耗的使用次数</t>
  </si>
  <si>
    <t>边界行者</t>
  </si>
  <si>
    <t>振奋魔法</t>
  </si>
  <si>
    <t>第6级起，以一个动作，你触碰一个生物（也可以是你自己）并且为该生物提供以下增益中你所选择的一种：
1.持续10分钟，该生物在掷攻击骰或者属性检定时可以额外掷一个d3的骰子，将其加到所扔的d20中
2.掷一个d3骰子。这个生物将恢复一个法术位，其环数必须小于等于所掷出骰子的结果（由这个生物决定）。当一个生物享受了这一增益后，直到下一次长休结束前都不能再次从此获益
你每天可以使用该能力的次数等于你的熟练加值。每完成一次长休之后你补充齐所有已消耗的使用次数</t>
  </si>
  <si>
    <t>第8级起，每个自己回合里有一次机会，你可以在用武器攻击命中某生物时额外造成1d8的黯蚀伤害
第14级时，该伤害提升到2d8</t>
  </si>
  <si>
    <t>被这发箭击中的角色必须通过一个魅力豁免或者被放逐。当被这种方式放逐时，目标速度降为0，变为失能。在他的回合结束时，目标在他被放逐前的位置出现。如果该位置被占据，则他在最近的未被占据空间出现
第18级起，目标被箭击中时还会受到2d6的力场伤害
豁免DC＝8+你的熟练调整值+你的智力调整值</t>
  </si>
  <si>
    <t>剑气</t>
  </si>
  <si>
    <t>攻击对非魔法攻击和伤害具有抗性或免疫的目标时，你的剑圣武器攻击视为魔法攻击</t>
  </si>
  <si>
    <t>救赎使节</t>
  </si>
  <si>
    <t>第20级时，使你获得下述好处：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</si>
  <si>
    <t>集群守卫魔法</t>
  </si>
  <si>
    <t>第3级起，你学会戏法法师之手，当你施展它的时候，其形式是聚集在一起的自然精魂
另外你学会以下法术，这些法术不占用你的游侠已知法术且被你视为巡林客法术
第3级时：妖火
第5级时：蛛网术
第9级时：气化形体
第13级时：秘法眼
第17级时：疫病虫群</t>
  </si>
  <si>
    <t>变形生物以及由幻术和变化系魔法变形的生物在你身边30尺视线范围内时，你将直接看出其真实形态</t>
  </si>
  <si>
    <t>现世感知</t>
  </si>
  <si>
    <t>怪物杀手</t>
  </si>
  <si>
    <t>无常反冲</t>
  </si>
  <si>
    <t>第10级起，每当你在狂暴时受到伤害或者没能通过豁免检定，你可以消耗一次反应动作再次触发狂野魔法浪涌，重新掷骰子并根据狂野魔法列表立刻产生一次新的魔法效果。这个魔法效果将会替代你当前拥有的狂野魔法效果</t>
  </si>
  <si>
    <t>精通收割者</t>
  </si>
  <si>
    <t>第17级时，你施展一个1至五环的死灵法术时，若该法术只指定一个生物为目标，则将其改为指定施法距离内相互之间距离不超过5尺的两个生物。如果该法术消耗其材料耗材，则你必须为每个目标提供一份耗材</t>
  </si>
  <si>
    <t>被这发箭击中的角色会额外受到2d6的精神伤害，而且选择距离目标30尺内的一名队友。目标必须成功通过一个感知豁免，或者被选择的队友魅惑直到你的下一个回合开始。这个效果会提前结束如果被选择的队友攻击，伤害被魅惑的目标或者强迫其投豁免
第18级起，该精神伤害增加到4d6
豁免DC＝8+你的熟练调整值+你的智力调整值</t>
  </si>
  <si>
    <t>巧劲</t>
  </si>
  <si>
    <t>当你使用剑圣武器命中目标时，你可以消耗1点“气”使得该武器对该目标造成额外伤害，数值等于你的“武艺”投骰。该特性你每回合只能使用一次</t>
  </si>
  <si>
    <t>荣耀圣誓法术</t>
  </si>
  <si>
    <t>第3级时：曳光弹、英雄气概
第5级时：强化属性、魔化武器
第9级时：加速术、防护能量伤害
第13级时：强迫术、行动自如
第17级时：通神术、焰击术</t>
  </si>
  <si>
    <t>翻腾浪涌</t>
  </si>
  <si>
    <t>第7级起，以一个附赠动作，你获得10尺飞行速度并且能悬浮在空中。该效应持续1分钟或直到你陷入失能状态
你能使用该特性的次数等于你的熟练加值，而你在结束一次长休后重新获得所有消耗的次数</t>
  </si>
  <si>
    <t>你可以施展法术隐形术，而无需消耗法术位</t>
  </si>
  <si>
    <t>瞬时静止</t>
  </si>
  <si>
    <t>第6级起，以一个动作，你可以魔法地迫使60尺内你可以看见的一个大型或更小的生物进行一次对抗你法术豁免DC的体质豁免检定。若失败，该生物将被禁锢于一个魔法力场中，直至你的下回合结束或者该生物受到任何伤害。当以此法被禁锢时，该生物陷入失能，并且速度被降至0
你可以使用这一特性等同于你智力调整值的次数（至少一次）。你在完成一次长休后重获所有已消耗的使用次数</t>
  </si>
  <si>
    <t>集群守卫</t>
  </si>
  <si>
    <t>掌控浪潮</t>
  </si>
  <si>
    <t>第14级起，每当你掷骰决定狂野魔法效果时，你可以掷两次骰子并且选择其中之一作为所释放的狂野魔法效果。如果你掷出的两个骰子数值相同，那么你可以无视这个数字，任意选择一个狂野魔法列表里的效果</t>
  </si>
  <si>
    <t>奥秘领域法术</t>
  </si>
  <si>
    <t>第1级时：侦测魔法、魔法飞弹
第3级时：魔化武器、涅斯图魔法灵光
第5级时：解除魔法、防护法阵
第7级时：秘法眼、李欧蒙秘藏箱
第9级时：异界誓缚、传送法阵</t>
  </si>
  <si>
    <t>当箭击中目标后，目标和其10尺内所有的角色都受到2d6的力场伤害
第18级起，该力场伤害增加到4d6</t>
  </si>
  <si>
    <t>锋锐剑影</t>
  </si>
  <si>
    <t>第11级起，你可以用一次附赠动作，消耗最多3点“气”灌注进你接触的一件剑圣武器，在你使用它攻击时获得攻击检定和伤害投骰的加值。加值等于你为此消耗的“气”点数。这一加值效果持续1分钟，除非你再次使用该特性。该特性无法作用于一件已经提供攻击检定与伤害骰加值的魔法武器</t>
  </si>
  <si>
    <t>引导神力-无敌健将</t>
  </si>
  <si>
    <t>第3级起，以一个附赠动作，你可以消耗引导神力增强你的运动能力。之后的十分钟里，你在力量（运动）和敏捷（体操）检定上具有优势，你可以推拉抬两倍重量的重物。并且你的跳高跳远距离增加十尺（这会如常消耗你的移动力）</t>
  </si>
  <si>
    <t>壮大集群</t>
  </si>
  <si>
    <t>第11级起，你的蜂聚集群通过以下方式变得更加强大：
蜂聚集群的伤害提升到d8
如果一个生物在对抗被蜂聚集群移动的豁免检定中失败，你也能让集群将该生物击倒在地
当你被蜂聚集群移动时，直到你下个回合开始它使你获得半身掩护</t>
  </si>
  <si>
    <t>魔能掌控</t>
  </si>
  <si>
    <t>第20级时，你可以利用储备的魔力祈求你的宗主为你恢复已消耗的法术位。你可以花1分钟祈求宗主的帮助，恢复所有你已消耗的契约魔法法术位。使用该特性恢复法术位后，你必须完成一次长休才能再次使用该特性</t>
  </si>
  <si>
    <t>奥法暂滞</t>
  </si>
  <si>
    <t>第10级起，当你消耗一个四环或更低的法术位来施展法术时，你可以将该法术的法力浓缩至一抹微尘中。该法术将冻结在施展的那一刻，并被保存在一个灰色的小珠中，持续一小时。这个小珠是一个拥有15AC和1点生命值的物件，并免疫毒素和心灵伤害。在持续时间结束或者珠子被摧毁时，它会在光芒一闪中消失，而法术将会失去
持握着小珠的生物可以使用他的动作来释放其内的法术，随后小珠将会消失。该法术使用你的法术攻击加值和豁免DC，而在其他方面视为由释放它的生物施展
在你以此特性创造一个小珠后，你在完成一次短休或长休前不能再次这样做</t>
  </si>
  <si>
    <t>妖精漫游者</t>
  </si>
  <si>
    <t>野兽之形</t>
  </si>
  <si>
    <t>第3级起，每当你进入狂暴时，你将长出一种自选的天生武器，直至狂暴结束，它被视为简易近战武器并正常使用你的力量调整值攻击。每次狂暴时可变的天生武器如下：
1）啃咬。你的嘴变成一张野兽的血盆大口或双颚长得巨大（由你选择）。你的啃咬攻击造成1d8穿刺伤害。每个你的回合一次，当你用啃咬攻击命中一个生物，并且你的HP小于一半时，你能恢复等于你的熟练调整值的HP
2）爪击。你的双手变成利爪，当你空手时可以作为武器，造成1d6挥砍伤害。当你在自己回合用利爪执行攻击动作后，你能再发动一次爪击作为动作的一部分
3）尾击。你长出一条如长鞭般带刺的尾巴，造成1d8穿刺伤害，具有“触及”属性。如果一个你可见距离你10尺以内的生物攻击击中了你，你可以用反应挥起你的尾巴，骰一个d8并将骰值加在你的AC上，可能导致这次攻击打失</t>
  </si>
  <si>
    <t>奥术传承-牧师</t>
  </si>
  <si>
    <t>第1级起，你得到奥秘技能的熟练，并且你可以从法师法术列表选择两个戏法掌握。对于你而言，这些戏法是牧师戏法</t>
  </si>
  <si>
    <t>被这发箭击中的角色会额外受到2d6的黯蚀伤害。目标必须成功通过一个体质豁免，或者他的武器攻击造成的伤害在你的下一个回合开始之前减半
第18级起，该黯蚀伤害增加到4d6
豁免DC＝8+你的熟练调整值+你的智力调整值</t>
  </si>
  <si>
    <t>精妙剑法</t>
  </si>
  <si>
    <t>第17级起，如果你使用武僧武器进行的攻击检定失败了，你可以重新掷骰。该特性你每回合只能使用一次</t>
  </si>
  <si>
    <t>引导神力-鼓舞一击</t>
  </si>
  <si>
    <t>第3级起，在你以至圣斩造成一次伤害后，你可以用附赠动作消耗一次引导神力，给予你周围三十尺任意个你选择的生物（包括你）临时生命。临时生命＝2d8+你的圣武士等级，你可以任意分配这些生命值</t>
  </si>
  <si>
    <t>群逸逃散</t>
  </si>
  <si>
    <t>第15级起，当你受到伤害时，你能使用你的反应动作让自己活得对该次伤害的抗性。你消失在自己的集群之中，然后传送至30尺内一个未被占据的空间，你在那里与自己的集群一同重新出现
你能使用该特性的次数等于你的熟练加值，而你在结束一次长休后重新获得所有消耗的次数</t>
  </si>
  <si>
    <t>至高妖精扩展法术</t>
  </si>
  <si>
    <t>第1级起，在选择已知法术时，你可将以下法术加入邪术师法术列表进行选择
1环：妖火、睡眠术
2环：安定心神、魅影之力
3环：闪现术、植物滋长
4环：支配野兽、高等隐形术
5环：支配人类、伪装术</t>
  </si>
  <si>
    <t>收束未来</t>
  </si>
  <si>
    <t>第14级起，当你或60尺内一个你可以看见的生物进行一次攻击检定，属性检定或者豁免检定时，你可以以你的反应来跳过掷骰，直接决定骰子结果将会是使检定成功的最低骰值，或者比该骰值低出一点（由你选择）
当你使用该特性时，你获得一级力竭。你只能通过长休来移除以此法获取的力竭</t>
  </si>
  <si>
    <t>龙兽守卫</t>
  </si>
  <si>
    <t>第6级起，攻击对非魔法攻击或伤害具有抗性或免疫的目标时，“野兽之形”特性的天生武器视为魔法攻击。
你也可以改变你的形态来适应周遭环境，当你完成一次短休或长休后，选择一项变形的好处，持续到你完成下一次短休或长休</t>
  </si>
  <si>
    <t>引导神力-奥秘阻绝</t>
  </si>
  <si>
    <t>第2级起，以一个动作，你可以展示你的圣徽，同时你选择一个30尺内能看见或者听见你声音的天界，元素，精类或者邪魔类生物进行一次感知豁免。如果他未通过，他在1分钟之内被驱散直到他受到任何伤害
一个被驱散的生物必须使用他的回合尽力远离你，并且无法主动靠近你30尺以内。同时他们无法使用反应。在他们行动中，只能使用疾走或者从任何妨碍他们移动的效果中挣脱出来。如果没有任何地方移动，该生物使用闪避动作
第5级起，如果一个挑战等级小于等于以下数值且不是这个位面原住民的生物在对抗你的奥秘阻绝能力时豁免失败，他将在1分钟之内被放逐（如同驱逐术，但不需要专注）
第5级起，DC½；第8级起，DC1；第11级起，DC2；第14级起，DC3；第17级起，DC4
豁免DC等于你的牧师法术豁免DC</t>
  </si>
  <si>
    <t>被这发箭击中的角色会额外受到2d6的毒性伤害，他的速度减少10尺，当他在每个回合第一次不使用传送移动1尺以上的距离时他会受到2d6的挥砍伤害。这个目标或其他能触碰到荆棘的角色可以使用一个动作，以一个成功对抗你的奥术射击DC的力量（体能）检定来解除荆棘。否则，荆棘会在1分钟后或者你再次使用该选项时结束
第18级起，该毒性和挥砍伤害增加到4d6
豁免DC＝8+你的熟练调整值+你的智力调整值</t>
  </si>
  <si>
    <t>阳光箭</t>
  </si>
  <si>
    <t>第3级起，你可以在攻击动作中使用一种特殊的远程法术攻击（射程30尺）。你熟练于这次攻击，并且在攻击和伤害骰上加上敏捷调整值。它造成光耀伤害，伤害骰使用武艺骰
如果你在自己的回合内用攻击动作使用这种特殊攻击，你可以花费1点气，并且再用附赠动作用阳光箭进行两次额外的攻击
当你得到额外攻击能力时，你可以在作为攻击动作一部分的任意某次攻击中使用这种特殊攻击</t>
  </si>
  <si>
    <t>迅捷灵光</t>
  </si>
  <si>
    <t>第7级起，你的步行速度增加10尺。此外，如果你未失能，则任何在你周围5尺范围内开始其回合的同伴的步行速度将增加10尺，直到回合结束
第18级起，灵光的作用范围扩展至30尺</t>
  </si>
  <si>
    <t>哀惧灵袭</t>
  </si>
  <si>
    <t>第3级起，当你使用武器命中一个生物时，你可以对目标造成额外的1d4心灵伤害，一个目标一回合只能够受到一次这个伤害
第11级起，额外伤害变成1d6</t>
  </si>
  <si>
    <t>妖精仪态</t>
  </si>
  <si>
    <t>第1级起，以一个动作，你可以令以你为原点的10尺立方区域内所有生物进行一次对抗你法术豁免DC的感知豁免，豁免失败者直至你下一回合结束前受你魅惑或陷入对你恐慌（由你选择）
你必须完成一次长休或短休才能再次使用该特性</t>
  </si>
  <si>
    <t>调节密度</t>
  </si>
  <si>
    <t>第2级起，以一个动作，你能魔法地改一个物件或生物的重量，目标必须变位于你30尺内，且你能看见目标。物件和生物必须为大型或更小的。目标的重量减半或者翻倍，持续时间至多一分钟，或在你的专注终止（如同你专注法术一样）时提前结束
当一个生物的重量通过该效果减半时，该生物的移动速度增加10尺，跳跃距离变为正常的两倍，并且在进行力量检定或者力量豁免时具有劣势。当一个生物的重量通过该效果翻倍时，该生物的移动速度减少10尺，并且在进行力量检定或者力量豁免时具有优势
第10级起，你能对一个巨型或更小的物件或生物使用本特性</t>
  </si>
  <si>
    <t>战技</t>
  </si>
  <si>
    <t>第6级起，你获得等于步行速度的游泳速度，并且能够水下呼吸</t>
  </si>
  <si>
    <t>幻想杀手</t>
  </si>
  <si>
    <t>第6级起，每次你使用1环或者更高环数的法术恢复了一名盟友的生命值，你同时可以选择作用于此生物的一个法术终止。被终止的法术等级不能高于你用来施放恢复法术所占用的法术位</t>
  </si>
  <si>
    <t>当你使用该选项时，你不用为该次攻击投攻击骰，取而代之，这只箭会在消失前划出一条一尺宽30尺长的直线。这只箭会无害地穿过物品且无视遮蔽。每一个在这条直线上的角色都必须通过一个敏捷豁免。如果失败，角色会受到如同被这只箭击中的伤害和额外1d6的穿刺伤害。如果成功，伤害减半
第18级起，该穿刺伤害增加到2d6
豁免DC＝8+你的熟练调整值+你的智力调整值</t>
  </si>
  <si>
    <t>热能袭</t>
  </si>
  <si>
    <t>第6级起，如果你在你的回合内进行了攻击动作，你可以立即消耗2点气来用附赠动作施放一环燃烧之手。你可以花费额外的气来施展更高环的燃烧之手法术，每一点额外的气都使法术等级上升1环。你最多可以在这个法术上花费的气（2+额外的点数）等同你一半的武僧等级（向下取整）</t>
  </si>
  <si>
    <t>神圣防御</t>
  </si>
  <si>
    <t>第15级起，当一次攻击检定命中你或十尺内另一个你可见的生物时，你可以用反应来获得额外AC对抗该次攻击，这可能会导致它打失。加值等于你的魅力调整值(最小值+1)。如果该次攻击失败，作为此反应的一部分，如果攻击者在你的触及内，你可以对攻击者进行一次武器攻击
你能使用的次数等于魅力调整值（至少有一次），你必须完成一次长休才能再次使用该特性</t>
  </si>
  <si>
    <t>妖精漫游者魔法</t>
  </si>
  <si>
    <t>第3级起，你学会以下法术，这些法术不占用你的游侠已知法术且被你视为巡林客法术
第3级时：魅惑人类
第5级时：迷踪步
第9级时：解除魔法
第13级时：任意门
第17级时：假象术
你还获得了来自一位妖精盟友或一处妖精神力的神奇祝福</t>
  </si>
  <si>
    <t>雾遁</t>
  </si>
  <si>
    <t>第6级起，你受到伤害时，可以使用你的反应进入隐形，并传送到60尺内一处你能看见且未被占据的空间。直至你的下一回合开始，或直至你发动攻击或施法，你将维持隐形状态
你必须完成一次长休或短休才能再次使用该特性</t>
  </si>
  <si>
    <t>重力井</t>
  </si>
  <si>
    <t>第6级起，无论何时你对一个生物释放法术，只要该目标自愿被移动，或是法术攻击命中了该目标，亦或是该目标在对抗这道法术的豁免时失败了，你就能让该目标朝着一个由你选择且未被占据的空间移动5尺</t>
  </si>
  <si>
    <t>第6级起，你获得等于步行速度的攀爬速度。你无需进行属性检定也可攀爬于困难表面，包括倒挂天花板</t>
  </si>
  <si>
    <t>第8级起，在你的任何牧师戏法造成的伤害中加上你的感知加值</t>
  </si>
  <si>
    <t>当你使用该选项时，你不用为该次攻击投攻击骰，取而代之，选择一名在过去的1分钟里你见过的角色。如果需要的话，这只箭会立刻掉头飞向那名角色，且忽视四分之三和半遮蔽。如果目标在箭的射程范围内且中间路程适合箭飞行至目标，目标必须做一个敏捷豁免。否则，箭会在飞行到最大距离后消失。如果豁免失败，角色会受到如同被这只箭击中的伤害和额外1d6的穿刺伤害，而且你得知目标的确切位置。如果成功，伤害减半且你无法得知其方位
第18级起，该穿刺伤害增加到2d6
豁免DC＝8+你的熟练调整值+你的智力调整值</t>
  </si>
  <si>
    <t>阳光爆</t>
  </si>
  <si>
    <t>第11级起，以一个动作，你可以魔法般地创造一个球体并且向150尺内的任意一点投掷，在那里瞬间扩张成一个光芒四射的区域。以目标点为中心半径20尺内的所有生物必须立即通过一次体质豁免，若未通过将受到2d6的光耀伤害。若生物处于全掩护环境并且掩体不透光，那么他不需要进行豁免
你可以花费额外的气以提高这个能量球的威力。每花费1点可以使伤害上升2d6，上限3点
豁免DC＝8+你的熟练加值+你的感知调整值</t>
  </si>
  <si>
    <t>在世神话</t>
  </si>
  <si>
    <t>第20级时，以一个附赠动作，你可以在1分钟内获得以下好处：
你被赋予超凡脱俗的表征，在所有魅力属性检定中获得优势
在你的每回合中，当你进行武器攻击而未命中时，你可以将该次攻击改为命中。每回合你只能使用一次此能力
如果你的豁免失败了，你可以用反应重骰，你必须使用新的骰值。
一旦你使用了此特性，除非你消耗一个五环法术位，否则将无法再次使用，直到你完成一次长休</t>
  </si>
  <si>
    <t>妖冶嫺都</t>
  </si>
  <si>
    <t>第3级起，每当你进行一次魅力检定时，你可以在结果中加入等于你的感知调整值的加值(最低为1)。
另外，你从以下技能中选择一项获得熟练项：欺瞒，表演或游说</t>
  </si>
  <si>
    <t>斗转星移</t>
  </si>
  <si>
    <t>第10级起，你获得魅惑状态的免疫，且当其他生物试图魅惑你时，你可以使用你的反应将魅惑效应反施予该生物。该生物必须进行一次对抗你法术豁免DC的感知豁免，豁免失败者将受你魅惑，并持续1分钟。该效应会在其受到任何伤害时终止</t>
  </si>
  <si>
    <t>狂暴牵引</t>
  </si>
  <si>
    <t>第10级起，当一个除你以外，位于你60尺内且你可见的生物被武器攻击命中时，你能用你的反应加快这次攻击的速度，使得被攻击的目标额外受到1d10的该武器类型所造成的伤害
此外，如果一个位于你60尺内的生物遭受了坠落伤害，你能用你的反应来增加这次坠落所造成的伤害，增加值为2d10
你能使用本特性的次数等于你的智力调整值（最少一次）。当你完成一次长休后，你恢复所有的使用次数</t>
  </si>
  <si>
    <t>第6级起，每回合一次，你能在跳跃时进行一次力量（运动）检定，使你的跳跃距离延长等于检定结果的尺数</t>
  </si>
  <si>
    <t>奥术宗师</t>
  </si>
  <si>
    <t>第17级起，你从法师的施法列表中选择6环、7环、8环、9环法术各一，并将它们加入自己的领域法术列表。你总是准备了它们，并且对你而言它们被视为牧师法术</t>
  </si>
  <si>
    <t>被这发箭击中的角色会额外受到2d6的精神伤害，而且目标必须成功通过一个感知豁免，或者无法看见5尺之外的任何事物直到你的下一个回合开始
第18级起，该精神伤害增加到4d6
豁免DC＝8+你的熟练调整值+你的智力调整值</t>
  </si>
  <si>
    <t>光辉护盾</t>
  </si>
  <si>
    <t>第17级起，你发散出30尺的明亮照明和额外30尺的昏暗照明。你可以以一个附赠动作将这个光芒熄灭或者恢复
如果一个被光芒照耀的生物对你进行近战攻击并击中了你，你可以用你的反应对这个生物造成5+你的感知调整值的光耀伤害</t>
  </si>
  <si>
    <t>守望圣誓法术</t>
  </si>
  <si>
    <t>第3级时：警报术、侦测魔法
第5级时：月华之光、识破隐形
第9级时：法术反制、回避侦测
第13级时：净化灵光、放逐术
第17级时：怪物定身术、探知</t>
  </si>
  <si>
    <t>妖思魅缕</t>
  </si>
  <si>
    <t>第7级起，你在对抗造成恐惧与魅惑的豁免检定上具有优势
另外，120尺内你可见的一个生物成功地通过了一个对抗魅惑或恐惧的豁免检定时，你可以用你的反应迫使120尺内你可见的另一个生物通过一个DC为你的法术DC的感知豁免。若其豁免失败，则目标会被你魅惑或恐惧(由你选择)一分钟。目标能够在他的每回合结束时重复豁免，若其豁免成功，则效果终止</t>
  </si>
  <si>
    <t>幻影黑幕</t>
  </si>
  <si>
    <t>第14级起，你可以使一个生物陷入虚幻领域中。作为一个动作，你可以指定你周边60尺范围内一个你能看见的生物。目标生物必须进行一次对抗你法术豁免DC的感知豁免。豁免失败者将受你魅惑或因你而陷入恐慌（由你选择），并持续1分钟，或直至你的专注被打断（等同于你专注一个法术）。如果该生物受到伤害，那么该效应提前终止
直至幻象结束前，该生物都会以为自己迷失在了一个迷雾区域中，而区域的形象则由你选择。该生物只看见和听到其自身、你和幻象三者
你必须完成一次长休或短休才能再次使用该特性</t>
  </si>
  <si>
    <t>事件视界</t>
  </si>
  <si>
    <t>第14级起，以一个动作，你能魔法地发散出由重力能量引起的强大力场，把其他生物拖拽至多1分钟，或在你的专注终止（如同你专注法术一样）时结束。在持续时间内，当一个位于你30尺内，且与你敌对的生物开始回合时，该生物必须进行一次力量豁免对抗你的法术DC。当豁免失败时，该生物受到2d10的力场伤害，并且移动速度降低至0尺，减速持续直到该生物的下一个回合开始。当豁免成功时，该生物受到一半的伤害，并且每移动一尺就需要额外花费2尺的移动力
一旦你使用了此特性，除非你消耗一个三环或更高的法术位，否则将无法再次使用，直到你完成一次长休</t>
  </si>
  <si>
    <t>感染之怒</t>
  </si>
  <si>
    <t>第10级起，当你在狂暴时用天生武器命中一个敌人时，使之进行一次感知豁免，DC=8+你的体质调整值+你的熟练值，豁免失败则遭受以下效应之一（由你选择）：
1）目标用反应对一个由你选择且你能看见的生物发动一次近战攻击
2）目标受到2d12心灵伤害
你能使用本特性的次数等于你的熟练调整值，完成一次长休后恢复</t>
  </si>
  <si>
    <t>锻造领域法术</t>
  </si>
  <si>
    <t>第1级时：鉴定术、炽焰斩
第3级时：灼热金属、魔化武器
第5级时：元素武器、防护能量伤害
第7级时：鬼斧神工、火墙术
第9级时：活化物件、造物术</t>
  </si>
  <si>
    <t>魔法箭矢</t>
  </si>
  <si>
    <t>第7级起，无论何时你用短弓或者长弓射出普通箭，你都可以为了让它能够克服对非魔法攻击伤害的抗性和免疫而将其转变为魔法箭矢。这个魔法会在箭击中或未命中目标后立刻消失</t>
  </si>
  <si>
    <t>命流之器</t>
  </si>
  <si>
    <t>第3级时，你获得洞悉和医药技能熟练项，以及你获得草药工具的熟练项
你还可以获得一个特殊的面具，当你使用这个子职的特性时，你通常会戴着它。你可以自由决定它的外观</t>
  </si>
  <si>
    <t>引导神力-守望者的意志</t>
  </si>
  <si>
    <t>第3级起，以一个动作，你可以选择30尺内你可见的生物，数量至多等同于你的魅力调整值（至少为1）。在1分钟内，你和所有被选择的生物在智力、感知和魅力豁免上都获得优势</t>
  </si>
  <si>
    <t>精宸所与</t>
  </si>
  <si>
    <t>第11级起，你习得精类召唤术。这不占用你的已知游侠法术，且你可以施展它而无需材料成分。你可以不消耗法术位而施展这个法术一次，并在你完成一次长休后重获该能力
当你开始施展这个法术时，你可以对其进行调整使其无需专注。若你这么做，那么法术的持续时间会在那一次施展时变为一分钟</t>
  </si>
  <si>
    <t>邪魔宗主扩展法术</t>
  </si>
  <si>
    <t>第1级起，在选择已知法术时，你可将以下法术加入邪术师法术列表进行选择
1环：燃烧之手、命令术
2环：目盲/耳聋术、灼热射线
3环：火球术、臭云术
4环：火焰护盾、火墙术
5环：焰击术、圣居</t>
  </si>
  <si>
    <t>法师之笔</t>
  </si>
  <si>
    <t>第2级起，以一个附赠动作，你能用魔法创造一支微型羽毛笔。这支魔法羽毛笔具有以下特性：
这支毛笔不需要墨水。当你用它书写时，它会在用于书写的表面上自行生成墨水，颜色由你选择
若你使用这根羽毛笔来将法术抄入法术书，你只需花费每个法术等级2分钟的时间
若你用羽毛笔书写的文本在你身边5尺范围之内，你可以用一个附赠动作在文字上方晃动羽毛将其消除
这根羽毛笔将在你创造另一支笔或是死亡时消失</t>
  </si>
  <si>
    <t>审判官</t>
  </si>
  <si>
    <t>狩猎之唤</t>
  </si>
  <si>
    <t>第14级起，你能在进入狂暴时选择30尺内最多等于你可见的体质调整值（至少1）个其他自愿生物，每一个接受狂怒的目标会给予你5点临时生命。直至狂暴结束前，他们可以每轮使用一次以下能力：当攻击命中一个目标并造成伤害时，可以骰一个d6并把骰值加入到伤害中。你能使用本特性的次数等于你的熟练调整值，完成一次长休后恢复</t>
  </si>
  <si>
    <t>额外熟练-牧师</t>
  </si>
  <si>
    <t>第1级时，你获得重甲熟练和铁匠工具熟练</t>
  </si>
  <si>
    <t>曲线射击</t>
  </si>
  <si>
    <t>第7级起，当你使用了魔法箭矢投攻击骰且未命中时，你能够使用一个附赠动作来指定一个距离原本目标60尺内的不同目标重投攻击骰</t>
  </si>
  <si>
    <t>予命之手</t>
  </si>
  <si>
    <t>第3级起，以一个动作，你能花费1点气来接触一个生物，恢复目标1个你的武艺骰+感知调整值数量的生命值
当你使用疾风连击时，你能在不消耗气的情况下用此特性替换一次徒手攻击</t>
  </si>
  <si>
    <t>引导神力-驱散异域</t>
  </si>
  <si>
    <t>第3级起，以一个动作，你展示你的圣徽，你30尺范围内能够听到你祷言的异怪、天界生物、元素、精类或邪魔都必须进行一次感知豁免，豁免失败者将受到驱散，其效应持续1分钟或直至其受到任何伤害。以此方式被驱散的生物必须花费其回合内的所有移动速度尽量远离你，且无法主动靠近你30尺内。被驱散的生物无法执行反应，只能使用既有的疾走动作或从任何妨碍其移动的效应中挣脱。该生物无路可走时将执行回避动作
豁免DC等于你的圣武士法术豁免DC</t>
  </si>
  <si>
    <t>雾行漫游</t>
  </si>
  <si>
    <t>第15级起，你可以施展迷踪步而不需要消耗法术位。你可以这么做的次数等于你的感知调整值(最低一次)，你在完成一次长休后重获所有的使用次数。另外，每当你施展迷踪步时，你可以携带一个五尺以内你看得见的自愿生物与你一起移动。那个生物会被传送到由你选择的，位于你的目标位置五尺以内的未被占据空间</t>
  </si>
  <si>
    <t>黑暗赐福</t>
  </si>
  <si>
    <t>第1级起，每当你把一个敌对生物的生命值降至0，你都会获得等同于你的魅力调整值＋你的邪术师等级的临时生命值（最低为1）</t>
  </si>
  <si>
    <t>觉醒魔典</t>
  </si>
  <si>
    <t>第2级起，当你持握法术书时，它将为你提供以下增益：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当你用仪式施法施展一个法术时，你可以使用法术的正常施法时间，而不用额外增加10分钟。你必须完成一次长休才能再次使用此增益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</si>
  <si>
    <t>策士</t>
  </si>
  <si>
    <t>锻造祝福</t>
  </si>
  <si>
    <t>第1级时，在长休的结束，你可以触摸一件非魔法护甲或者简易或军用武器，直到你下一次长休或者你死亡，若是护甲，其ac获得+1加值；若是武器，其攻击骰和伤害骰获得+1加值
你必须完成一次长休才能再次使用该特性</t>
  </si>
  <si>
    <t>预备射击</t>
  </si>
  <si>
    <t>第15级起，如果你投了先攻骰且没有任何奥术射击使用次数，你重新获得一次使用机会</t>
  </si>
  <si>
    <t>夺命之手</t>
  </si>
  <si>
    <t>第3级起，当你用徒手攻击命中一个生物时，可以花费1点气来额外造成等于1个你的武艺骰+感知调整值的黯蚀伤害。每回合你能使用该特性一次</t>
  </si>
  <si>
    <t>哨卫灵光</t>
  </si>
  <si>
    <t>第7级起，若你未失能，你散发出一道令人保持警觉的灵光。当你和你10尺内由你选择的生物进行一次先攻检定时，获得等同于你熟练加值的加值
第18级起，灵光的作用范围扩展至30尺</t>
  </si>
  <si>
    <t>龙族赠礼</t>
  </si>
  <si>
    <t>第3级起，你习得戏法奇术，这对你而言是一个游侠法术
并学会说，读，写龙语或另一门你选择的语言</t>
  </si>
  <si>
    <t>黑暗强运</t>
  </si>
  <si>
    <t>第6级起，当你进行属性检定或豁免检定时，可以使用该特性为此次掷骰增添一个d10骰。你可在看到掷骰结果后，其结果生效前使用该特性
你必须完成一次长休或短休才能再次使用该特性</t>
  </si>
  <si>
    <t>神识显现</t>
  </si>
  <si>
    <t>第6级起，当你持有觉醒魔典时，你可以以一个附赠动作令书中的意识显现为一个微型的灵体物件，使其悬浮于距离你60尺以内且未被占据的、由你选择的空间中。这一灵体意识是无形的，不会占据其空间，并会在其周围半径10尺范围内发出微光光照。它看上去如同一本灵体卷宗、一摞文字、或是一位历史中的学者（由你选择）
显现时，该灵体意识能够听音视物，并具有60尺的黑暗视觉。它能用心灵感应将它所看见和听到的信息分享给你（无需动作）
每当你在自己的回合内施放法师法术时，你可以使用灵体意识的感官、如同身处它所在的空间一样释放该法术。你能使用该能力的次数等于你的熟练加值，完成一次长休后，你将重获所有消耗掉的使用次数
以一个附赠动作，你可以令灵体意识飘浮到其周围30尺内、你或它可见且未被占据的空间。灵体意识可以穿过生物但不能穿过物件
若遇到以下情况之一，灵体意识的显现将会停止：与你的距离超过300尺，成为解除魔法的目标，觉醒魔法书被摧毁，你死亡时，或是你以一个附赠动作将其驱散
召唤过灵体意识后，你必须完成一次长休、或是消耗一枚任意环位的法术位，才能再次召唤</t>
  </si>
  <si>
    <t>斥候</t>
  </si>
  <si>
    <t>引导神力-铁匠祝福</t>
  </si>
  <si>
    <t>第2级起，花费一小时来引导仪式，你可以创造包含有金属的非魔法物品:一件护甲，一把简易或军用武器，十份弹药，工具或是其他物品（参考phb的物品章节）。在仪式的结束，物品被创造并且出现在你选择的，一个五尺内未被占据的空间内
你创造的物品的价值必须低于100gp。作为仪式的一部分，你必须提供等同于物品价值的金属物品，比如钱币。在仪式的结束，这些物品会不可逆地变成你创造的物品，魔法会形成非金属的部分
仪式可以创造包括金属的非魔法物品的复制品，但你在仪式过程中必须拥有原件</t>
  </si>
  <si>
    <t>额外熟练-战士</t>
  </si>
  <si>
    <t>第3级时，你选择以下技能中的一个并获得其熟练：驯兽，历史，洞悉，表演和游说。或者你学会一门你选择的语言</t>
  </si>
  <si>
    <t>生死之触</t>
  </si>
  <si>
    <t>第6级起，当你对一个生物使用予命之手时，你还可以结束一种疾病或影响该生物的下列状态之一：目盲、耳聋、麻痹、中毒或震慑
当你对一个生物使用夺命之手时，你可以使该生物处于中毒状态，直到你的下一回合结束</t>
  </si>
  <si>
    <t>警戒呵斥</t>
  </si>
  <si>
    <t>第15级起，当你或你30尺内一个你可见的生物在一次智力、感知或魅力豁免上成功时，你可以用反应对迫使你或该生物进行豁免检定的生物造成力场伤害，数值等同于你的魅力调整值+2d8</t>
  </si>
  <si>
    <t>龙兽伙伴</t>
  </si>
  <si>
    <t>第3级起，以一个动作，你能魔法地召唤与你联结的龙兽。龙兽会出现在你30尺内一处由你选择的未被占据的空间里
龙兽听从你的指令，并且对你和你的同伴友善。当你召唤龙兽时，从强酸、冷冻、闪电、火焰、毒素中选择一项伤害类型决定伤害免疫和注能打击的类型。你能自订龙兽的外观特征，如颜色，鳞片纹理，和龙族精粹的视觉效果；你的外观选择对游戏数据没有影响
战斗中，龙兽与你共享先攻，会在你的回合结束之后立即进行自己的回合。龙兽能自己独自移动和使用反应动作，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龙兽持续直到它的生命值降为0，或你使用本特性召唤另一只龙兽，或你死亡。当龙兽消失时，它穿戴和携带的物品会留在原地
当你召唤龙兽后，你需要完成一次长休才能再次这样做。你也能使用一个一环或更高的法术位来召唤龙兽
龙兽伙伴
小型龙
护甲等级：14+熟练加值(天生护甲)
生命值：5+5×你的游侠等级（龙兽具有你游侠等级数量的生命骰[d10]）
速度：40尺速度
力量16（+3）
敏捷12（+1）
体质15（+2）
智力8（-1）
感知14（+2）
魅力8（-1）
豁免：敏捷：1+熟练加值，感知：2+熟练加值
伤害免疫：召唤时选择
状态免疫：力竭、中毒
感官能力：40尺黑暗视觉，被动察觉12
语言能力：龙语
熟练加值：与你等同
动作：
啃咬：近战武器攻击：命中3+熟练加值，触及5尺，单一目标，造成1d6+熟练加值的穿刺伤害
反应：
注能打击：当龙兽30尺内一个龙兽可见的生物用武器攻击命中一个生物时，龙兽能用它的精粹注能本次打击，使目标额外受到1d6伤害，伤害类型在召唤时选择</t>
  </si>
  <si>
    <t>邪魔体魄</t>
  </si>
  <si>
    <t>第10级起，每当你完成一次长休或短休后你都可以选择一种伤害类型。直到你使用此能力选择另外一种伤害类型之前，你都拥有对于所选伤害类型的抗性。魔法武器或银质武器所造成的伤害无视此抗力</t>
  </si>
  <si>
    <t>书士宗师</t>
  </si>
  <si>
    <t>第10级起，每当你完成一次长休，你可以令你的法师笔触碰一张空白的纸张或是羊皮纸，以将你觉醒魔典中的一个法术并复制到这张纸上、并制造一个魔法卷轴。你制造卷轴时，魔典必须在你5尺之内
被复制的法术必须是1环或2环法术，且施法时间必须为1个动作。卷轴将增强法术的力量，令其视为比平常高1环阶的法术。你可以以一个动作阅读卷轴来施展其中的法术。卷轴对其他任何人都不可理解，且当你施展其中法术、或是完成下次长休后，卷轴上记载的法术将会消失。
你同样熟练于制造城主指南第七章中所描述的法术卷轴。若你使用你的法术笔制造卷轴，所需要花费的金币和时间减半</t>
  </si>
  <si>
    <t>游荡剑客</t>
  </si>
  <si>
    <t>锻造之魂</t>
  </si>
  <si>
    <t>第6级起，你对火焰伤害有抗性
当你穿着重甲，你的ac获得+1加值</t>
  </si>
  <si>
    <t>生而为骑</t>
  </si>
  <si>
    <t>第3级起，在进行避免从你坐骑上摔下的豁免检定中，你获得优势。若你从你的坐骑上摔落时不超过10尺并且你没有失能，你能够双脚着陆。另外，骑上或离开一个角色只需要5尺的移动力，而非你速度的一半</t>
  </si>
  <si>
    <t>活杀自在</t>
  </si>
  <si>
    <t>第11级起，当你使用疾风连击时，你现在可以用你的予命之手代替每一次徒手打击，而不用花费气来治疗
另外，当你进行徒手攻击时，你可以使用夺命之手进行攻击，而不必花费夺命之手所须的气，你仍然在每回合只能使用夺命之手一次</t>
  </si>
  <si>
    <t>尘世壁垒</t>
  </si>
  <si>
    <t>第20级时，以一个附赠动作，你在1分钟内获得以下增益：
你获得120尺的真实视觉。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当你对一个生物进行攻击并击中，并对其造成伤害时，你可以使其进行一次魅力豁免。若其失败且其不属于此位面，其将被魔法性地放逐到其原本的位面。若目标豁免成功，其在24小时内不能再被此能力放逐。
一旦你使用了此特性，除非你消耗一个五环法术位，否则将无法再次使用，直到你完成一次长休</t>
  </si>
  <si>
    <t>牙鳞之联</t>
  </si>
  <si>
    <t>第7级起，当你召唤龙兽时，其获得与步行速度相等的游泳速度，并且能在水里或空气中呼吸，或其获得与步行速度相等的飞行速度（由你选择）
此外，当召唤的龙兽在场时，你和龙兽获得以下增益:
·龙兽坐骑：龙兽成长为中等体型。你能够将龙兽当做坐骑骑乘，即使你的体型也为中型。当你骑乘龙兽时，龙兽不能使用从本特性中获得的飞行速度
·魔法獠牙：龙兽的啃咬攻击额外造成1d6召唤时所选类型的伤害
·抗性：你获得与龙兽召唤时所选免疫伤害类型相同的伤害抗性</t>
  </si>
  <si>
    <t>直坠噩梦</t>
  </si>
  <si>
    <t>第14级起，每当你的攻击成功命中一个生物时，你可以使用此能力将目标瞬间传送并穿越下层位面。该生物立刻消失并前往如同噩梦一般的风景
在你下一回合结束时，目标返回先前所占据的空间、或是最近的未被占据空间。如果目标并非邪魔，则他因这次可怖的经历而受到10d10点心灵伤害
你必须完成一次长休才能再次使用该特性</t>
  </si>
  <si>
    <t>书人合一</t>
  </si>
  <si>
    <t>第14级起，携带觉醒魔典时，你在所有智力（奥秘）检定中具有优势
此外，如果你在法术书的意识处于显现状态时受到伤害，你可以利用你的反应驱散灵体意识、利用其中的魔法来拯救自己，从而避免所有对你的伤害。之后，掷3d6。法术书暂时失去由你自选的法术，其环阶之和必须大于或等于骰值。如果书中没有足够的法术来支付这个代价，你就会降到0点生命。
你必须完成1d6次长休，才能再次施放失去的法术；在此期间，即使你在卷轴上或其他法术书中找到这些法术，也不能施展它们。完成所需的长休次数后，法术会重新出现在法术书中。
用过这个反应之后，你必须完成一次长休才能再次使用</t>
  </si>
  <si>
    <t>鬼魅</t>
  </si>
  <si>
    <t>第8级起，每个你自己的回合一次，当你的武器攻击命中，你可以对目标额外造成1d8的火焰伤害。第14级起，该伤害提升到2d8</t>
  </si>
  <si>
    <t>坚定之印</t>
  </si>
  <si>
    <t>第3级起，当你以一次近战武器攻击击中一名敌人时，你可以标记他直到你的下一个回合，如果你失能、死亡或者有其他人标记该敌人，这个效果会提前结束
该名被你标记的敌人在你5尺之内并且不以你为目标，他的攻击骰承受劣势。另外，如果该敌人对除你之外的人造成了伤害，在你的下一个回合你可以用一个附赠动作对该敌人进行一次特殊近战攻击，你这次攻击骰有优势，如果击中，对目标额外造成等同于你战士等级一半的伤害
无论你标记了多少名角色，你能够使用的特殊攻击次数等同于你的力量调整值（至少为1），而且你在长休后重新获得所有被消耗的特殊攻击次数</t>
  </si>
  <si>
    <t>命极之手</t>
  </si>
  <si>
    <t>第17级起，以一个动作，你可以接触一个在过去24小时内死亡生物的尸体并消耗5点气，该生物则会复活，恢复相当于4D10+你的感知调整值的生命值。如果该生物是在以下这些状态时死亡，它会在移除这些状态后复活：目盲、耳聋、麻痹、中毒和震慑
你必须完成一次长休才能再次使用该特性</t>
  </si>
  <si>
    <t>龙兽吐息</t>
  </si>
  <si>
    <t>第11级起，以一个动作，你或你的龙兽能喷吐30尺锥形的伤害吐息，伤害类型为强酸、冷冻、闪电、火焰、毒素之一。范围内的生物进行一次敏捷豁免对抗你的法术DC，豁免失败时受到8d6伤害，成功时受到一半的伤害
15级时，伤害增长至10d6
当你使用本特性后，你需要完成一次长休才能再次这样做。你也能使用一个三环或更高的法术位来再次使用</t>
  </si>
  <si>
    <t>旧日支配者扩展法术</t>
  </si>
  <si>
    <t>第1级起，在选择已知法术时，你可将以下法术加入邪术师法术列表进行选择
1环：不谐低语、塔莎狂笑术
2环：侦测思想、魅影之力
3环：鹰眼术、短讯术
4环：支配野兽、艾伐黑触手
5环：支配人类、心灵遥控</t>
  </si>
  <si>
    <t>魂刃</t>
  </si>
  <si>
    <t>火与钢的圣徒</t>
  </si>
  <si>
    <t>第17级起，你免疫火焰伤害
当你穿着重甲，你对源于非魔法攻击的钝击，穿刺，挥砍伤害有抗性</t>
  </si>
  <si>
    <t>防护战术</t>
  </si>
  <si>
    <t>第7级起，当你手持一把近战武器或者一面盾牌时，如果你或者在你5尺之内你能看到的一名角色被一次攻击击中，你能以一个反应投一个1d8加入被攻击角色的AC中，如果这次攻击仍然击中，被攻击目标对这次攻击伤害有抗性
你能够使用该特性的次数等同于你的体质调整值（至少为1），而且你在长休后重新获得所有被消耗的使用次数</t>
  </si>
  <si>
    <t>星我之臂</t>
  </si>
  <si>
    <t>第3级起，以一个附赠动作，你可以花费1点气来召唤你的星我之臂，当你这么做时，你选择的每一个你所见的10尺范围内的生物必须进行一次敏捷豁免检定，如果失败则受到相当于你两倍武艺骰的力场伤害
在10分钟内，这些幽光般的手臂会盘旋在你的肩膀附近或环绕着你的手臂（由你选择），你来决定手臂们的外观，如果你失能或死亡，它们就会立即消失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当你在自己回合用星我之臂进行徒手攻击时，你的触及范围增加5尺
当你用星我之臂进行徒手攻击时，可以用感知调整值代替力量或敏捷调整值来进行攻击检定和伤害检定，它们的伤害类型是力场</t>
  </si>
  <si>
    <t>完美联结</t>
  </si>
  <si>
    <t>第15级起，当召唤的龙兽在场时，你和龙兽获得以下增益:
·增强啃咬：龙兽的啃咬攻击额外造成召唤时所选类型的1d6伤害（总共2d6额外伤害）
·大型龙兽：你的龙兽成长为大型。当你骑乘龙兽时，使用飞行速度不再受限于牙鳞之联
·反射抗性：当你与龙兽相距30尺内，你或你的龙兽受到伤害时，你能使用你的反应为你或你的龙兽对这次伤害提供抗性。你能使用本反应的次数与你的熟练值相等，当你完成一次长休后恢复所有的使用次数</t>
  </si>
  <si>
    <t>唤醒心灵</t>
  </si>
  <si>
    <t>第1级起，你可以与身边30尺内任意你能看见的生物通过心灵感应方式进行交流。你不必须懂得该生物的语言也能使其理解你通过心灵感应所传达的话语，但它必须至少能够理解一种语言</t>
  </si>
  <si>
    <t>坟墓领域法术</t>
  </si>
  <si>
    <t>第1级时：灾祸术、虚假生命
第3级时：遗体防腐、衰弱射线
第5级时：回生术、吸血鬼之触
第7级时：枯萎术、防死结界
第9级时：防活物护罩、死者复活</t>
  </si>
  <si>
    <t>坚守战线</t>
  </si>
  <si>
    <t>第10级起，当敌人在你的攻击范围里移动了5尺以上的距离，你就可以对其进行借机攻击，而且如果你用借机攻击击中敌人，敌人的移动速度降为0直到当前回合结束</t>
  </si>
  <si>
    <t>星我之容</t>
  </si>
  <si>
    <t>第6级起，以一个附赠动作，或者作为你召唤星我之臂时的附赠动作中的一部分，你可以花费1点气来召唤星我之容，持续10分钟，如果你失能或死亡，则它会立即消失
幽光般的头盔或面具遮挡着你的脸，你来决定它的外观
当星我之容存在时，你将获得如下增益：
星之视觉：你在黑暗中拥有120尺的可视距离，而无论其属于魔法黑暗还是非魔法黑暗
灵魂感知：你的感知（洞悉）和魅力（威吓）检定具有优势
灵魂之语：当你说话时，你可以将你的话语指向你选择的一个60尺范围内的可视生物，这种情况下只有这个生物才能听到你的声音。或者你可以放大你的声音，这种情况下600尺内的所有生物都能听到你的声音</t>
  </si>
  <si>
    <t>熵光结界</t>
  </si>
  <si>
    <t>第6级起，当一个生物对你发动攻击检定时，你可以用你的反应迫使该攻击检定具有劣势。如果该攻击检定失败，则你直至你下一回合结束前，下一次对该生物发动攻击检定时具有优势
你必须完成一次长休或短休才能再次使用该特性</t>
  </si>
  <si>
    <t>死之环</t>
  </si>
  <si>
    <t>第1级起，当你使用法术投掷骰子用于恢复生命值为0的生物的生命时，你的每个骰子都可以直接取满
此外，你获得维生术戏法，这不会计入你已知的牧师戏法。对你来说，此法术射程为30尺，并且你可以用附赠动作施展他</t>
  </si>
  <si>
    <t>野蛮冲撞</t>
  </si>
  <si>
    <t>第15级起，无论你是否乘骑，如果你在攻击一名角色前至少直线移动10尺且这次攻击成功，目标必须通过一个力量豁免（DC8+你的熟练调整值+你的力量调整值）或者被击倒，你的每个回合都可以使用一次该特性</t>
  </si>
  <si>
    <t>星我之躯</t>
  </si>
  <si>
    <t>第11级起，当你同时召唤星我之臂和星我之容时，你可以让你的星我之躯出现（不需要任何动作），这个幽光般的躯体如同一件盔甲般复盖着你的身体，与星我之臂和星我之容相连。你来决定它的外观
当星我之躯出现时，你将获得如下增益：
拨挡能量：当你受到强酸、冷冻、火焰、力场、闪电或雷鸣伤害时，你可以用你的反应来偏转它，如果你这么做，则你所受的该次伤害减少1D10+你的感知调整值（最小减少1）
注能之臂：你的每回合中有一次机会，当你用星我之臂攻击命中目标时，你可以对目标造成额外伤害，相当于你的武艺骰</t>
  </si>
  <si>
    <t>思维之盾</t>
  </si>
  <si>
    <t>第10级起，除非获得你的允许，否则你的思维无法被心灵感应或者其他手段阅读。此外你还具有对心灵伤害抗性，且每当一个生物对你造成心灵伤害时，该生物将受到与你相同的伤害</t>
  </si>
  <si>
    <t>坟墓之眼</t>
  </si>
  <si>
    <t>第1级起，以一个动作，你可以伸张意识来魔法性地辨识不死生物。直到你的下回合结束，你可以定位60尺内的没有处于全掩护之下或是没有被预言魔法保护的不死生物，这不会告诉你生物的能力和身份
你可以使用此能力的次数等同于你的感知调整值（至少一次），当你完成长休，你重获使用过的次数</t>
  </si>
  <si>
    <t>警戒守卫</t>
  </si>
  <si>
    <t>第18级起，战斗中，你会得到一个特殊的反应，在除你自己的回合以外的每个回合，你都能用这个特殊反应进行一次借机攻击，你不能在一回合内同时使用特殊反应和普通反应</t>
  </si>
  <si>
    <t>星我觉醒</t>
  </si>
  <si>
    <t>第17级起，以一个附赠动作，你可以花费5点气召唤你的星我之臂、星我之容和星我之躯，这种星我觉醒状态持续10分钟，如果你失能或死亡，这种觉醒状态会提前结束
当你处于星我觉醒时，你将获得如下增益：
灵魂盔甲：你的AC获得+2加值
星之连击：当你使用额外攻击特性进行两次攻击时，可以改为三次攻击，所有的攻击必须都是星我之臂进行的</t>
  </si>
  <si>
    <t>创造奴仆</t>
  </si>
  <si>
    <t>第14级起，你可以用你的动作触碰一个处于失能状态的类人生物。该生物随即陷入受你魅惑的状态，直至被施以法术移除诅咒、其魅惑状态被移除，或直至你再使用此特性。
只要你和你的奴仆处于同一位面，你就可以通过心灵感应与你的奴仆进行交流</t>
  </si>
  <si>
    <t>神性之魂</t>
  </si>
  <si>
    <t>引导神力-往墓之途</t>
  </si>
  <si>
    <t>第2级起，以一个动作，直到你下回合结束，你诅咒30尺内的一个可视生物。当被诅咒的生物下一次被你或你的盟友的攻击命中，他对此次攻击的所有伤害具有易伤，之后诅咒终止</t>
  </si>
  <si>
    <t>第3级时，你获得以下你选择的技能熟练：历史、洞悉、表演和游说。或者，你学会一门你选择的语言</t>
  </si>
  <si>
    <t>龙之威仪</t>
  </si>
  <si>
    <t>第3级起，如果你在一次威吓或一次游说检定中失败，你可以以一个反应来重骰此检定。一旦此特性将一次检定结果从失败变为成功，直到你完成一次长休息你无法再使用此特性</t>
  </si>
  <si>
    <t>不朽者扩展法术</t>
  </si>
  <si>
    <t>第1级起，在选择已知法术时，你可将以下法术加入邪术师法术列表进行选择
1环：虚假生命、致病射线
2环：目盲/耳聋术、沉默术
3环：假死术、死者交谈
4环：生命灵光、防死结界
5环：疫病术、通晓传奇</t>
  </si>
  <si>
    <t>幽影魔法</t>
  </si>
  <si>
    <t>死卫</t>
  </si>
  <si>
    <t>第6级起，以一个反应，当你或你30尺内的可见盟友被重击，你可以将此变为普通命中，所有重击引起的效果无法起效
你可以使用此能力的次数等同于你的感知调整值（至少一次），当你完成长休，你重获使用过的次数</t>
  </si>
  <si>
    <t>战意</t>
  </si>
  <si>
    <t>第3级起，在你的回合以一个附赠动作，直到当前回合结束前你的武器攻击骰有优势。当你这么做时，你还获得5点临时生命
第10级起，临时生命值增加到10点；第15级起，临时生命值增加到15点
你能使用该特性3次，你在完成一次长休后重新获得所有的使用次数</t>
  </si>
  <si>
    <t>龙之打击</t>
  </si>
  <si>
    <t>第3级起，当你以一次徒手攻击对一个目标造成伤害时，你可以将伤害类型改变为强酸，冷冻，火焰，闪电或毒素</t>
  </si>
  <si>
    <t>历经死亡</t>
  </si>
  <si>
    <t>第1级起，你学会戏法维生术，并将它视作一个邪术师戏法。你同时在对任何疾病的豁免上具有优势
此外，若有不死生物直接指定你为攻击或者有害法术的目标，这个生物必须进行一次感知豁免来对抗你的施法DC（但他不需要在使用包括你在内的区域能力时进行豁免）。若失败，这个生物必须选择一个新的目标，如果他没有除你以外的目标可以选择则他失去这次法术或者攻击。若他成功通过了豁免，或者你以他为目标进行攻击或者施放有害法术，那么这个不死生物在接下来24小时里对这个效果免疫</t>
  </si>
  <si>
    <t>风暴术法</t>
  </si>
  <si>
    <t>第8级起，当你施展牧师戏法，你可以额外造成等同于你感知调整值的伤害</t>
  </si>
  <si>
    <t>雅臣</t>
  </si>
  <si>
    <t>第7级起，当你进行魅力（游说）检定时，你获得等同于你的感知调整值的额外加值
另外你获得了感知豁免的熟练。如果你已经有这项熟练，你获得智力或者魅力的豁免熟练来代替（自选）</t>
  </si>
  <si>
    <t>龙之言语</t>
  </si>
  <si>
    <t>第3级起，你学会说、读、写龙语或其他一种你选择的语言</t>
  </si>
  <si>
    <t>反抗死亡</t>
  </si>
  <si>
    <t>第6级起，当你成功进行一次死亡豁免，或者在你使用维生术帮助其他生物稳定伤势的时候，你可以立即回复1d8+你的体质调整值（最少为1点）的生命值
你必须完成一次长休才能再次使用该特性</t>
  </si>
  <si>
    <t>畸变心智</t>
  </si>
  <si>
    <t>守魂者</t>
  </si>
  <si>
    <t>第17级起，当你60尺内可见的敌人死亡，你或者你选择的60尺内的一个生物恢复等同于死亡敌人生命骰数量的生命。你只有不处于失能状态时才可使用此特性。当你使用了此特性，你下回合开始之后才可以再次使用它</t>
  </si>
  <si>
    <t>不懈</t>
  </si>
  <si>
    <t>第10级起，当你投先攻且没有剩余的战意使用次数时，你重新获得一次使用机会</t>
  </si>
  <si>
    <t>龙之息</t>
  </si>
  <si>
    <t>第3级起，当你在你的回合进行攻击动作，你可以将其中一次攻击替换为喷吐出一团20尺锥状或30尺长5尺宽线状（由你选择）的龙类能量。伤害类型为强酸、冷冻、火焰、闪电、毒素之一。豁免DC＝8+你的熟练加值+你的感知调整值，敏捷豁免失败者将于受到2D4的对应类型的伤害，豁免成功则伤害减半
第5级起，伤害提升至2D6，第11级起，伤害提升至3D8，第17级起，伤害提升至3D10
你可以使用此特性的次数等同于你的熟练加值，且在完成一次长休后恢复所有使用次数。当你没有使用次数时，你可以花费2点气来使用此特性</t>
  </si>
  <si>
    <t>不朽之理</t>
  </si>
  <si>
    <t>第10级起，你可以无限制地屏住呼吸，并且你不再需要食物、水和睡眠，虽然你仍旧需要休息来恢复疲惫并且从长/短休息中获得收益
并且，你的年龄增长速度被放慢。每过去10年，你的身体只会衰老1年，并且你免疫魔法衰老</t>
  </si>
  <si>
    <t>时械之魂</t>
  </si>
  <si>
    <t>秩序领域法术</t>
  </si>
  <si>
    <t>第1级时：命令术、英雄气概
第3级时：人类定身术、诚实之域
第5级时：群体治愈真言、缓慢术
第7级时：强迫术、生物定位术
第9级时：通神术、支配人类</t>
  </si>
  <si>
    <t>燕返</t>
  </si>
  <si>
    <t>第15级起，如果你在这回合进行攻击动作且对目标的一个攻击骰有优势，你可以放弃那个优势骰转而对目标进行一次额外的武器攻击，作为同一个动作的一部分。每个回合你都只能使用一次该特性</t>
  </si>
  <si>
    <t>龙翼翱翔</t>
  </si>
  <si>
    <t>第6级起，当你使用飞檐走壁时，你可以在背后展开虚幻的龙翼，其在你回合结束时消失。当龙翼存在时，你获得与你的步行速度相同的飞行速度。
你可以使用此特性的次数等同于你的熟练加值，且在完成一次长休后恢复所有使用次数</t>
  </si>
  <si>
    <t>永恒生命</t>
  </si>
  <si>
    <t>第14级起，在你的回合，你可以使用一个附赠动作恢复1d8+邪术师等级的生命值。此外，如果你在使用这个能力的同时把自己一部分被切断的躯体放置在断口处，那部分伤口将会愈合
你必须完成一次长休或短休才能再次使用该特性</t>
  </si>
  <si>
    <t>第1级时，你获得重甲的熟练项。你还获得由你选择的威吓或游说的熟练项</t>
  </si>
  <si>
    <t>生死流转</t>
  </si>
  <si>
    <t>第18级起，如果你受到会将你的生命值降到0且不会完全杀死你的伤害，你可以使用你的反应来延缓倒地昏迷，而且你立刻获得一个额外的回合并打断当前回合。当你在这个额外回合为0生命值时，承受伤害仍旧如往常一样造成死亡豁免失败，而且失败3个死亡豁免仍旧会杀死你。当这个额外回合结束时，如果你还是0生命值，你倒下并昏迷
你必须完成一次长休才能再次使用该特性</t>
  </si>
  <si>
    <t>古龙姿</t>
  </si>
  <si>
    <t>第11级起，以一个附赠动作，你可以在你身边10尺内具现出一股持续1分钟的龙力灵光。在持续时间内，你获得以下1种好处：
·骇人威仪：当你散发出此灵光时，或在维持此灵光时以一个附赠动作，选择灵光范围内的一个生物。目标必须成功通过DC＝8+你的熟练加值+你的感知调整值的感知豁免，否则对你恐慌1分钟。目标可以在每次自己回合结束时重复一次豁免，豁免成功则效应中止 
·抗性：你启动此灵光时从强酸、冷冻、火焰、闪电、毒素选择一种。你和你灵光内的盟友对所选伤害类型具有抗性
一旦你散发出此灵光，直到你完成一次长休你都无法再这么做，除非你花费3点气来再次使用它</t>
  </si>
  <si>
    <t>天界宗主扩展法术</t>
  </si>
  <si>
    <t>第1级起，在选择已知法术时，你可将以下法术加入邪术师法术列表进行选择
1环：疗伤术、曳光弹
2环：炽焰法球、次级复原术
3环：昼明术、回生术
4环：信仰守卫、火墙术
5环：焰击术、高等复原术</t>
  </si>
  <si>
    <t>权威之音</t>
  </si>
  <si>
    <t>第1级起，如果你施展了一个一环或高于一环并目标是一位盟友的法术，那位盟友可以在法术后立即使用她们的反应来对你指定且能看见的一名目标进行一次武器攻击</t>
  </si>
  <si>
    <t>显现回音</t>
  </si>
  <si>
    <t>第3级起，你能使用一个附赠动作来在你可见的15尺内，一处尚未被占据的空间处，魔法地显现一个你自身的回音。该回音是魔法的，半透明的，形如你的黑白形象，回音持续直到被摧毁、你用一个附赠动作消解、显现另一个回音，或你处于失能状态
你的回音的AC值为14+你的熟练值，生命值为1，并对所有的状态都免疫。如果回音要进行一次豁免，它在这次豁免中使用你的豁免调整值。它的体型和你一样，并且会占据空间。在你的回合时，你能精神地命令回音朝任意方向移动至多30尺（无需动作）。如果你的回音在你的回合结束时远离你超过30尺，那么它会被摧毁
你能按照以下方法使用回音：
使用一个附赠动作，你能消耗15尺的移动力进行传送，魔法地与你的回音交换位置，且无论回音与你之间的距离
当你在你的回合里进行攻击动作时，你用该动作进行的任何攻击可以用你或回音的空间作为源点。每一次攻击的源点都由你决定
当一个位于你的回音5尺内，且你可见的生物远离回音至少5尺时，你能用你的反应动作来对该生物进行一次借机攻击，就如同你位于回音的空间上一样</t>
  </si>
  <si>
    <t>强化吐息</t>
  </si>
  <si>
    <t>第17级起，当你使用你的龙之息时，你可以消耗1点气将其范围增长至60尺锥状或90尺长5尺宽线状（由你选择），且范围内的每个生物豁免失败时受到的伤害提升至4D10，豁免成功则伤害减半</t>
  </si>
  <si>
    <t>额外戏法</t>
  </si>
  <si>
    <t>第1级时，你学会了光亮术和圣火术两个戏法。他们对你而言是邪术师戏法，但并不计入到你的邪术师可知戏法总数中</t>
  </si>
  <si>
    <t>引导神力-秩序之令</t>
  </si>
  <si>
    <t>第2级起，以一个动作，你展示出你的圣徽，30尺内你所指定的每个能看到或听到你的生物必须成功通过一次感知豁免，否则直到你下个回合结束或受到一次伤害，生物将被你魅惑。当生物豁免失败时，你还可以指定任意被你魅惑的生物扔掉手中所持物
豁免DC等于你的牧师法术豁免DC</t>
  </si>
  <si>
    <t>释放化身</t>
  </si>
  <si>
    <t>第3级起，无论何时你进行攻击动作，你能在回音的位置上进行一次额外的近战攻击
你能使用本特性的次数等于你的体质调整值（最少一次）。当你完成一次长休后，你恢复所有的使用次数</t>
  </si>
  <si>
    <t>盲视</t>
  </si>
  <si>
    <t>第17级起，你获得10尺盲视。在盲视范围内，即使你目盲或处于黑暗中，你仍可以清晰地看到任何不处于全身掩护的事物。而且，你可以在盲视范围内看到隐形生物，除非此生物对你躲藏成功</t>
  </si>
  <si>
    <t>治愈之光</t>
  </si>
  <si>
    <t>第1级起，你获得了一个d6骰池，用以使用此治愈能力。骰池的总数等于1+你的邪术师等级
以一个附赠动作，你可以消耗骰池，治疗一个你视线中的、距你60尺以内的生物。单独一次能消耗的最大骰子数量等于你的魅力调整值（最小为1）。投掷你消耗的骰子，将骰值相加来决定所能恢复的生命值总量
当你完成一次长休后，骰池重获所有已消耗的骰子</t>
  </si>
  <si>
    <t>法律化身</t>
  </si>
  <si>
    <t>第6级起，如果你用一个1环或更高的法术位施展一个附魔学派的法术，倘若这个法术的施法时间是1动作，你可以在这次施法时将法术的施法时间改为1附赠动作
你可以使用该特性的次数等于你的感知调整值（最少一次）。完成一次长休后，你将重获其所有消耗掉的使用次数</t>
  </si>
  <si>
    <t>回音化身</t>
  </si>
  <si>
    <t>第7级起，以一个动作，你能用你的回音的双眼和双耳来视物与聆听。在这期间，你本体处于目盲和耳聋状态。你能维持这种效果至多10分钟，并且你能随时终止该效果（无需动作）。当你用这种方法操纵回音时，它能远离你至多1000尺而不被摧毁</t>
  </si>
  <si>
    <t>怒气爆发</t>
  </si>
  <si>
    <t>第17级起，当你使用古龙姿时，选择你灵光内可见的任意数量的生物，每个生物必须通过一次DC＝8+你的熟练加值+你的感知调整值的敏捷豁免，豁免失败者受到3d10伤害，伤害类型为强酸、冷冻、火焰、闪电、毒素之一（由你选择）</t>
  </si>
  <si>
    <t>光耀之魂</t>
  </si>
  <si>
    <t>第6级起，你获得对光耀伤害的抗性，当你施展一个造成光耀或火焰伤害的法术时，你可以将你的魅力调整值加到法术对其中一个目标造成的一次光耀或火焰伤害骰上</t>
  </si>
  <si>
    <t>不朽者</t>
  </si>
  <si>
    <t>第8级起，你的每回合一次，在用一次武器攻击命中某一名生物时，你可以使该攻击造成额外的1d8心灵伤害。第14级起，该伤害提升到2d8</t>
  </si>
  <si>
    <t>阴影殉道者</t>
  </si>
  <si>
    <t>第10级起，在一个除你以外的，且你可见的生物受到攻击前，你能让你的回音冲向该生物。在攻击检定投掷前，你能用你的反应动作来传送回音到目标生物周围5尺内，尚未被占据的空间。触发该反应的攻击检定将由你的回音代为承受
你必须完成一次长休或短休才能再次使用该特性</t>
  </si>
  <si>
    <t>天界韧性</t>
  </si>
  <si>
    <t>第10级起，当你完成一次长休或短休后，你会得到临时生命值。得到的临时生命值等于你的邪术师等级+你的魅力调整值。另外，在你完成休息时，你可以选择最多五个视线中的生物。这些生物各自获得等于你的邪术师等级的一半+你的魅力调整值的临时生命值</t>
  </si>
  <si>
    <t>天界宗主</t>
  </si>
  <si>
    <t>秩序之怒</t>
  </si>
  <si>
    <t>第17级起，如果在你的回合里你对一名生物造成了你的神圣打击的伤害，你可以诅咒该生物直到你下回合的开始。下一次当你的一名盟友以一次攻击击中被诅咒的生物时，目标将额外受到2d8心灵伤害，随后诅咒结束。你一回合只能以这种方式诅咒一名生物一次</t>
  </si>
  <si>
    <t>回收潜能</t>
  </si>
  <si>
    <t>第15级起，当你的一个回音因承受伤害而被摧毁，而你也没有临时生命值时，你获得相当于2d6+体质调整值点数的临时生命值
你能使用本特性的次数等于你的体质调整值（最少一次）。当你完成一次长休后，你恢复所有的使用次数</t>
  </si>
  <si>
    <t>灼光复仇</t>
  </si>
  <si>
    <t>第14级起，当你在回合开始需要进行一次死亡豁免检定时，你可以选择在一次光耀能量的爆发中一跃而起。你恢复等于你最大生命值一半的生命值，如果你愿意的话可以选择处于站立状态。距你30尺以内的、你所选择的所有生物受到2d8+你的魅力调整值的光耀伤害，并且目盲到你当前回合的结束
你必须完成一次长休才能再次使用该特性</t>
  </si>
  <si>
    <t>咒剑士</t>
  </si>
  <si>
    <t>和平领域法术</t>
  </si>
  <si>
    <t>第1级时：英雄气概、庇护术
第3级时：援助术、守护之链
第5级时：希望信标、短讯术
第7级时：净化灵光、欧提路克弹力法球
第9级时：高等复原术、拉瑞心灵联结</t>
  </si>
  <si>
    <t>一人成军</t>
  </si>
  <si>
    <t>第18级起，当你用一个附赠动作使用显现回音时，你能创造两个回音，并且这些回音能够共存。如果你尝试创造第三个回音，那么前面的两个回音就会被摧毁。你能够在其中一个回音的位置上进行的所有事情都能用另一个回音进行替换
此外，当你投掷先攻时，如果你的释放化身特性没有剩余可用次数，那么你重获一次释放化身的使用次数</t>
  </si>
  <si>
    <t>咒剑士扩展法术</t>
  </si>
  <si>
    <t>第1级起，在选择已知法术时，你可将以下法术加入邪术师法术列表进行选择
1环：护盾术、怒火斩
2环：朦胧术、印记斩
3环：闪现术、元素武器
4环：魅影杀手、惊惧斩
5环：放逐斩、寒冰锥</t>
  </si>
  <si>
    <t>巨灵宗主</t>
  </si>
  <si>
    <t>和平执行</t>
  </si>
  <si>
    <t>第1级时，你获得洞悉，表演或游说的熟练项（由你选择）</t>
  </si>
  <si>
    <t>额外熟练项-战士</t>
  </si>
  <si>
    <t>第3级时，你获得对于铁匠工具的熟练项，并且你学会了说、读和写巨人语</t>
  </si>
  <si>
    <t>巫咒战士</t>
  </si>
  <si>
    <t>第1级起，你得到对于中甲、盾牌、和军用武器的熟练。此外，当你结束一次长休息，你都能够触摸一把你已经熟练的、非双手武器，你可以在攻击和伤害检定中，使用你的魅力调整值，以代替力量或敏捷。这个好处保留到你再次完成长休息。如果你在后续获得刃之魔契，此好处将扩展到你用这个魔契召唤的每一把契约武器上，没有武器类型的限制</t>
  </si>
  <si>
    <t>深海意志</t>
  </si>
  <si>
    <t>勇气联结</t>
  </si>
  <si>
    <t>第1级起，以一个动作，你可以选择30尺内等同于你熟练加值数量的自愿生物（可以包括你自己）。你在他们之间创造出一条持续10分钟或直到你再次使用该特性的魔法联结。当联结生物在彼此30尺内，其进行攻击检定，属性检定或豁免检定时，可以额外掷一次d4并加在其结果上。每个生物每回合只能加一次d4
你可以使用此特性的次数等同于你的熟练加值，当你完成一次长休时恢复所有使用次数</t>
  </si>
  <si>
    <t>符文雕刻者</t>
  </si>
  <si>
    <t>第3级起，你学会两种你选择的符文选项
每当你在此职业中升一级，你可以从此特性中选择一个不同的符文来替换一个你已知的符文
每当你完成了一次长休，你可以接触数量等于你已知符文数物品，并在每个物品上铭刻不同的符文。符合条件的物品必须为一把武器、一套盔甲、一面盾牌、一件首饰或者任何其他你可以穿着或手持的物品。你的符文会保留在物品上直到你完成一次长休，且一件物品同时只能承载你的一个符文
在第7、10和15级你将分别额外获得一个符文选项</t>
  </si>
  <si>
    <t>咒剑诅咒</t>
  </si>
  <si>
    <t>第1级起，以一个附赠动作，选择一个处于你周围30英尺内，你能看见的生物。该目标被诅咒1分钟。该诅咒将会在目标死亡、你死亡、你陷入失能时提前结束。直到诅咒结束，你得到下述的好处：
你对被诅咒目标的伤害检定中得到加值。加值等于你的熟练加值
你对被诅咒目标的任何攻击检定，若在d20中投出19或20，则形成一次重击
若被诅咒的目标死亡，你恢复等于你邪术师等级+你的魅力调整值（至少为1）的生命值
你必须完成一次长休或短休才能再次使用该特性</t>
  </si>
  <si>
    <t>死灵宗主</t>
  </si>
  <si>
    <t>引导神力-和平抚慰</t>
  </si>
  <si>
    <t>第2级起，以一个动作，你可以移动等同于你速度的距离，此次移动不会引发借机攻击。当你在此动作期间移动到了任何其他生物5尺内时，你可以恢复其2d6+你的感知调整值（最低1）的生命值。你采取此动作时，一个生物只能被治疗一次</t>
  </si>
  <si>
    <t>当你穿着或持有一个铭刻此符文的物品，你在敏捷（巧手）检定和魅力（欺瞒）检定上获得优势
此外，当你或一个对你30尺内可视的生物经过攻击检定被击中，你可以使用一个反应动作对此符文激活并选中一个除攻击者以外的其他生物。被选中的生物变成该攻击的目标，并适用同样的攻击检定。该异能可转换的攻击效应与攻击距离无关。每当你激活该符文，你无法再次使用该异能直到你完成一次短休或长休
豁免DC＝8+你的熟练加值+你的体质调整值</t>
  </si>
  <si>
    <t>咒缚幽灵</t>
  </si>
  <si>
    <t>第6级起，当你杀死一个类人生物，你可以让它的灵魂从尸体出现，成为一个缚灵，其数据见怪物手册。当缚灵出现时，它获得等同于你邪术师等级一半的临时生命。为缚灵的投掷先攻，它有自己的回合、服从你的口头命令，并获得特殊的命中加值，加值等于你的魅力调整值（最少0）
缚灵一直为你服务中直到你的下一个长休息结束，然后它消失进入来世
一旦你用这个特性唤起了一个缚灵，你就不能再次使用该能力直到你完成一次长休息</t>
  </si>
  <si>
    <t>保护联结</t>
  </si>
  <si>
    <t>第6级起，当一个受到你勇气联结影响的生物即将受到伤害时，30尺内的另一个联结生物可以用它的反应来传送到第一个生物的5尺内，并为其承受所有伤害</t>
  </si>
  <si>
    <t>当你穿着或持有一个铭刻此符文的物品，你在进行使用工具的熟练项进行技能检定时，你的熟练加值翻倍
此外，当你使用一次武器攻击击中了一个生物，你可以激活此符文来召唤炽热镣铐：目标受到额外2d6的火焰伤害，且目标必须通过一次力量豁免检定，如果失败则被束缚1分钟。当目标被炽热镣铐束缚时，目标在它的每回合开始时受到2d6的火焰伤害。目标可以在每个自己回合结束时重复进行此豁免检定，直到成功解除束缚。每当你激活该符文，你无法再次使用该异能直到你完成一次短休或长休
豁免DC＝8+你的熟练加值+你的体质调整值</t>
  </si>
  <si>
    <t>巫咒盔甲</t>
  </si>
  <si>
    <t>第10级起，若你以咒剑诅咒所指定的目标以一次攻击检定击中你，你可以用你的反应投一次d6。在4或更高的结果下，这次攻击改为对你失手，不论骰值是多少</t>
  </si>
  <si>
    <t>当你穿着或持有一个铭刻此符文的物品，你在感知（驯兽）检定和魅力（威吓）检定上获得优势
此外，你可以用一个附赠动作对该符文激活来提高你的体能。十分钟内，你的所有使用力量、体质的能力和相关豁免检定获得+2的加值。每当你激活该符文，你无法再次使用该异能直到你完成一次短休或长休</t>
  </si>
  <si>
    <t>巫咒大师</t>
  </si>
  <si>
    <t>第14级起，你可以转移你的咒剑诅咒，从一个被杀的生物转移到另一个生物。当被你的咒剑诅咒所指定的生物死亡时，假如你并未失能，你可以将诅咒转移到一个距离你30尺内你能看到的其他生物身上。当你以此法转移诅咒，你不再从先前目标的死亡中获得生命值回复</t>
  </si>
  <si>
    <t>增强联结</t>
  </si>
  <si>
    <t>第17级起，你的勇气联结和保护联结的生效范围变为联结生物在彼此60尺内。此外，当生物使用保护联结来为其他人承受伤害时，该生物对那次伤害具有抗性</t>
  </si>
  <si>
    <t>当你穿着或持有一个铭刻此符文的物品，你在感知（洞悉）的检定上获得优势，且你获得120尺的黑暗视觉
此外，当一个30尺内对你可见的生物结束它的回合，你可以使用一个反应动作来对该符文激活，并强迫该生物进行一次感知豁免检定。如果检定失败，该生物被你魅惑一分钟。如果以该形式被魅惑，此生物移动速度降为0且进入失能状态，陷入梦幻般的麻木状态。目标可以在每个自己回合结束时重复进行此豁免检定，直到成功解除该状态。每当你激活该符文，你无法再次使用该异能直到你完成一次短休或长休
豁免DC＝8+你的熟练加值+你的体质调整值</t>
  </si>
  <si>
    <t>巨灵种类</t>
  </si>
  <si>
    <t>第1级时，你可以选择你宗主是土巨灵、气巨灵、火巨灵、水巨灵中的哪一种，并根据你的巨灵宗主类型获得扩展法术列表</t>
  </si>
  <si>
    <t>暮光领域法术</t>
  </si>
  <si>
    <t>第1级时：妖火、睡眠术
第3级时：月华之光、识破隐形
第5级时：活力灵光、李欧蒙小屋
第7级时：生命灵光、高等隐形术
第9级时：原力法阵、假象术</t>
  </si>
  <si>
    <t>巨人之力</t>
  </si>
  <si>
    <t>第3级起，你可以使用一个附赠动作，魔法性地获得以下能力，持续一分钟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你的每回合内一次，你的武器攻击或徒手打击可以在击中后对目标造成额外1d6的伤害
该特性的可使用次数等于你的熟练加值，且你可以在完成一次长休之后恢复所有已使用的次数</t>
  </si>
  <si>
    <t>第1级起，在选择已知法术时，你可将以下法术加入邪术师法术列表进行选择
1环：侦测善恶、庇护术
2环：魅影之力、荆棘丛生
3环：造粮术、融身入石
4环：魅影杀手、塑石术
5环：造物术、石墙术
9环：祈愿术</t>
  </si>
  <si>
    <t>符文之盾</t>
  </si>
  <si>
    <t>第7级起，当另一个60尺内且对你可见的生物被一次攻击检定命中，你可以使用一个反应动作来强迫攻击者重新投掷d20并采用新的攻击检定结果
该特性的可使用次数等于你的熟练加值，且你可以在完成一次长休之后恢复所有已使用的次数</t>
  </si>
  <si>
    <t>第1级起，在选择已知法术时，你可根据你的巨灵宗主类型将以下法术加入邪术师法术列表进行选择
1环：侦测善恶、雷鸣波
2环：魅影之力、造风术
3环：造粮术、风墙术
4环：魅影杀手、高等隐形术
5环：造物术、伪装术
9环：祈愿术</t>
  </si>
  <si>
    <t>黑夜明目</t>
  </si>
  <si>
    <t>第1级起，你获得300尺的黑暗视觉，而你的视力在微光光照下视为等同于明亮光照，而在黑暗中则视为等同于微光光照。
以一个动作，你可以用魔法将这个特性分享给你10尺内最多等同于你感知调整值数量（最少1名生物）的可见自愿生物。共享的黑暗视觉持续1小时。一旦如此做，你无法再次如此直到你完成一次长休或使用一个任意环阶的法术位来再次分享它</t>
  </si>
  <si>
    <t>当你穿着或持有一个铭刻此符文的物品，你在中毒状态的豁免检定上获得优势，且你对于毒素伤害具有抗性
此外，你可以使用一个附赠动作对该符文激活，获得1分钟的钝击、挥砍和穿刺伤害抗性。每当你激活该符文，你无法再次使用该异能直到你完成一次短休或长休</t>
  </si>
  <si>
    <t>第1级起，在选择已知法术时，你可根据你的巨灵宗主类型将以下法术加入邪术师法术列表进行选择
1环：侦测善恶、燃烧之手
2环：魅影之力、灼热射线
3环：造粮术、火球术
4环：魅影杀手、火焰护盾
5环：造物术、焰击术
9环：祈愿术</t>
  </si>
  <si>
    <t>警觉赐福</t>
  </si>
  <si>
    <t>第1级起，你能用一个动作触碰一个生物（包括你自己），并赋予该生物下次先攻检定优势。此增益在该生物骰先攻检定或你再次使用此特性后立刻结束</t>
  </si>
  <si>
    <t>当你穿着或持有一个铭刻此符文的物品，你在智力（奥秘知识）检定上获得优势，且你不会被突袭只要你没有进入失能状态
此外，你可以使用一个附赠动作对该符文激活来进入先知形态，时间为1分钟或直到你失能。在该形态结束之前，当你或另一个60尺内且对你可见的生物进行一次攻击检定、一次豁免检定或一次能力检定，你可以使用一个反应动作使这次检定获得优势或劣势。每当你激活该符文，你无法再次使用该异能直到你完成一次短休或长休</t>
  </si>
  <si>
    <t>第1级起，在选择已知法术时，你可根据你的巨灵宗主类型将以下法术加入邪术师法术列表进行选择
1环：侦测善恶、云雾术
2环：魅影之力、朦胧术
3环：造粮术、雪雨暴
4环：魅影杀手、操控水体
5环：造物术、寒冰锥
9环：祈愿术</t>
  </si>
  <si>
    <t>引导神力-暮光圣域</t>
  </si>
  <si>
    <t>第2级起，你用一个动作展示圣徽并使自身散发球体范围的暮光。球体以你为源心，具有30尺半径，其范围内被微光光照充斥。除非你失能或死亡，否则球体跟随你移动并持续存在1分钟。当一个生物（包括你）在球体内结束自己回合时，你能给予它以下好处之一：
使目标获得1d6加你牧师等级的临时生命
使目标结束一个正使他魅惑或恐慌的效果</t>
  </si>
  <si>
    <t>奇伟身躯</t>
  </si>
  <si>
    <t>第10级起，你的巨人之力特性造成的额外伤害提高至1d8
此外，获得特性时将你的身高增加3d4英寸</t>
  </si>
  <si>
    <t>巨灵器皿</t>
  </si>
  <si>
    <t>第1级时，你的宗主赐予你一个包含巨灵之力的魔法器皿。该器皿是一个微型物件，你可以将其作为施展你邪术师法术的法器。你决定物件的类别
器皿的AC等同于你的法术豁免DC。它的生命值等于你的邪术师等级加熟练加值，并免疫于毒素和心灵伤害
倘若器皿被摧毁或是丢失，你可以进行一场持续1小时的仪式来从你的宗主处获得一个替代品。这一仪式可于短休或长休时进行，并会摧毁之前仍存在的器皿。当你死亡时，器皿在一阵元素能量的闪耀中消失</t>
  </si>
  <si>
    <t>午夜飞步</t>
  </si>
  <si>
    <t>第6级起，当你处于微光光照或黑暗时，你能以一个附赠动作用魔法使自己获得等于自身步行速度的飞行速度，持续1分钟。你可以使用此特性的次数等同于你的熟练加值，当你完成一次长休时恢复所有使用次数</t>
  </si>
  <si>
    <t>符文大师</t>
  </si>
  <si>
    <t>第15级起，你可以对每个你在符文雕刻者特性中已知的符文激活两次，而不是一次，且你可以在完成一次短休或长休之后恢复所有已使用的次数</t>
  </si>
  <si>
    <t>瓶中小憩</t>
  </si>
  <si>
    <t>第1级起，以一个动作，你可以用魔法消失并进到你的器皿内，器皿将留在你所在的原地。器皿内是与其本身相似的20尺半径，20尺高的圆柱形超维度空间。器皿内部温度适宜，并安放有舒适的垫子和茶几。在器皿之中时，你可以如同身在器皿所在之处一般听到外界的声音。你在器皿内可停留的时间等同于你熟练加值双倍数目的小时。如果你死亡，或是器皿被摧毁，抑或是使用一个附赠动作离开，你将提前从器皿中出来。当你离开器皿时，你出现在距离它最近的不被占据的空间中。在器皿内的一切物件将被留在其中直到被取出，而倘若器皿被摧毁，其中的物品则会完好无损地出现在距离它最近的不被占据的空间中。一旦你进入器皿，直到你完成一次长休后你不能再度进入</t>
  </si>
  <si>
    <t>剑咏者</t>
  </si>
  <si>
    <t>符文主宰</t>
  </si>
  <si>
    <t>第18级起，你的巨人之力特性造成的额外伤害提高至1d10。此外，当你使用该特性时，你的体型变为巨型，且当你保持该尺寸时，你的触及提高5尺</t>
  </si>
  <si>
    <t>巨灵之怒</t>
  </si>
  <si>
    <t>第1级起，在你的每个回合仅限一次，你可以在你攻击骰命中时对目标造成等同于你熟练加值的额外伤害。伤害类型取决于你的宗主类型：钝击（土巨灵），雷鸣（气巨灵），火焰（火巨灵），冷冻（水巨灵）</t>
  </si>
  <si>
    <t>战法师</t>
  </si>
  <si>
    <t>暮光守护</t>
  </si>
  <si>
    <t>第17级起，处于你暮光圣域的球体内的你和你的盟友处于半身掩护</t>
  </si>
  <si>
    <t>灵能力量</t>
  </si>
  <si>
    <t>第3级起，你拥有两倍熟练加值的灵能骰数量，每个灵能骰为D6，且它们为你所拥有的各种心灵异能提供能量
你在使用一些能力时需要消耗灵能骰，如异能描述中所述，如果一些异能在你的灵能骰全部掷完后还需要你使用一个灵能骰，你就不能使用该异能。你可以在完成一次长休后恢复所有已使用的灵能骰。此外，你可以使用一个附赠动作重新获得一个已使用的灵能骰，但你在完成一次短休或长休之前不能再次获得
第5级起，灵能骰变为D8；第11级起，灵能骰变为D10；第17级起，灵能骰变为D12</t>
  </si>
  <si>
    <t>元素赐福</t>
  </si>
  <si>
    <t>第6级起，你对由你的宗主类型决定的一种伤害类型具有抗性：钝击（土巨灵），雷鸣（气巨灵），火焰（火巨灵），冷冻（水巨灵）。同时，以一个附赠动作，你可以获得一个持续10分钟的30尺飞行速度，并且在飞行时你可以悬浮。你可以使用此附赠动作的次数等同于你的熟练加值，并在完成一次长休后恢复所有使用次数</t>
  </si>
  <si>
    <t>时间魔法</t>
  </si>
  <si>
    <t>团结领域法术</t>
  </si>
  <si>
    <t>第1级时：庇护术、曳光弹
第3级时：援助术、守护之链
第5级时：希望信标、十字军披风
第7级时：生命灵光、信仰守卫
第9级时：原力法阵、群体疗伤术</t>
  </si>
  <si>
    <t>庇护力场</t>
  </si>
  <si>
    <t>第3级起，当你或者另一个对你30尺内可见的生物受到伤害，你可以使用一个反应动作消耗一枚灵能骰，对其降低等同于灵能骰骰出的数值加你的智力调整值的伤害（最小为1）</t>
  </si>
  <si>
    <t>器皿庇护所</t>
  </si>
  <si>
    <t>第10级起，当你使用瓶中小憩特性进入你的巨灵器皿时，你可以选择30尺内最多5个可见自愿生物与你一同进入器皿
以一个附赠动作，你可以将任意数目的生物从器皿中逐出，且如果你离开器皿或是其被摧毁，所有生物都将被逐出
同时，在器皿中停留至少10分钟的任何生物（包括你自己）可视为完成了一次短休，且使用生命骰恢复生命值时的恢复量可以加上你的熟练加值</t>
  </si>
  <si>
    <t>重力魔法</t>
  </si>
  <si>
    <t>灵能击打</t>
  </si>
  <si>
    <t>第3级起，你的每回合一次，当你击中并对30尺以内的目标造成武器伤害，你可以立即消耗一个灵能骰，对目标造成等同于灵能骰骰出的数值加你的智力调整值的力场伤害</t>
  </si>
  <si>
    <t>有限许愿术</t>
  </si>
  <si>
    <t>第14级起，以一个动作，你可以向你的巨灵器皿说出你的愿望，并请求实现一个6环或更低环阶的，且施法时间为1动作的法术效应。这一法术可以来自任何职业的法术列表，且你不需要满足法术材料需求，法术仅仅是作为此动作的一部分生效
你使用此特性后，你直到完成1d4次长休后才能再次使用它</t>
  </si>
  <si>
    <t>书士会</t>
  </si>
  <si>
    <t>团结一心</t>
  </si>
  <si>
    <t>第1级时，当你采取协助动作来帮助盟友进攻时，作为你的附赠动作，你可以进行一次武器攻击。你可以使用此能力的次数等于你的感知调整值(至少一次)。直到你重新完成一次长休息</t>
  </si>
  <si>
    <t>念力控物</t>
  </si>
  <si>
    <t>第3级起，你可以用意念移动一个物体或生物。你可以使用一个动作选中一个最多大型的物体或一个除你以外的自愿生物。如果目标在对你30尺内且可视，你可以将其移动至多30尺至一个对你可见的空地。另外，如果目标是一个小物件，你可以从你的手中给出或收回。无论采取哪种方式，你都可以或水平、或垂直、或两者都使用地移动它
当你使用该异能时，你无法再使用该能力直到你完成一次短休或长休，除非你消耗一个灵能骰来再次使用该异能</t>
  </si>
  <si>
    <t>深海意志扩展法术</t>
  </si>
  <si>
    <t>第1级起，在选择已知法术时，你可将以下法术加入邪术师法术列表进行选择
1环：造水/枯水术、雷鸣波
2环：造风术、沉默术
3环：闪电束、雪风暴
4环：操控水体、水元素生物召唤术
5环：毕格比之手(以触手的形式出现)、寒冰锥</t>
  </si>
  <si>
    <t>第2级时，你用一个动作展示圣徽，引导治疗能量来恢复等于你牧师等级五倍的生命值。你指定身边30尺内的任意生物作为该特性的目标，再为其分配从中获得的治疗能量。该特性不能将目标恢复到其生命值上限的一半以上。而且你不能对不死生物或构装生物使用该特性</t>
  </si>
  <si>
    <t>念力擅长</t>
  </si>
  <si>
    <t>第7级起，你掌握了使用念力异能的新方式</t>
  </si>
  <si>
    <t>深海触手</t>
  </si>
  <si>
    <t>第1级起，在你60尺的可视范围内，你可以以一个附赠动作创造一根10尺长的触手。这根触手可以持续一分钟，或于你使用该能力创造另一根触手时终止
当你创造触手后，你可以对其10尺内的目标进行一次近战法术攻击。目标受到1d8寒冷伤害，且直到你的下一回合，目标速度降低10尺。当你达到邪术师10级时，造成的伤害提高至2d8
在你的回合中，你可以使用一个附赠动作将触手移动至多30尺并重复以上攻击
你可召唤的触手的次数等于你的熟练加值，且可以在结束长休之后恢复所有使用次数</t>
  </si>
  <si>
    <t>引导神力-白神赐福</t>
  </si>
  <si>
    <t>第6级时，当一个生物在你30尺范围内进行攻击时，你可以以一反应使该生物的的这次攻击掷骰结果+10。你可以在看到掷骰结果但DM未告知攻击命中与否的阶段做出此选择</t>
  </si>
  <si>
    <t>灵力跃动</t>
  </si>
  <si>
    <t>第7级起，你可以使用一个附赠动作用你的意志来驱使你的身体。你获得等同于两倍步行速度的飞行速度直到该回合结束。每当你使用这个附赠动作，你无法再次使用该异能直到你完成一次短休或长休，除非你消耗一个灵能骰来再次使用该异能</t>
  </si>
  <si>
    <t>海洋馈赠</t>
  </si>
  <si>
    <t>第1级起，你游泳速度为40尺，且可以在水下呼吸</t>
  </si>
  <si>
    <t>第8级起，你在每个自己回合里有一次机会，可以在用武器攻击命中某生物时，使该攻击额外造成1d8点与该武器伤害类型相同的伤害。第14级起，该伤害提升到2d8</t>
  </si>
  <si>
    <t>念力突刺</t>
  </si>
  <si>
    <t>第7级起，当你使用灵能击打对一个目标造成伤害时，你可以使目标进行一次力量豁免来对抗DC等于8+你的熟练加值+你的智力调整值。如果豁免失败，你可以击倒目标或者将其在任意方向水平移动至多10尺</t>
  </si>
  <si>
    <t>海渊魂灵</t>
  </si>
  <si>
    <t>第6级起，你获得对于寒冷伤害的抗性。此外，当你被浸没时，任何完全被浸没的生物都能听懂你的语言，你也能听懂他们的</t>
  </si>
  <si>
    <t>第17级时，当你需要用一个法术来掷一粒或多粒骰子计算你所恢复的生命值时，所有骰子将取其最高值</t>
  </si>
  <si>
    <t>意念守护</t>
  </si>
  <si>
    <t>第10级起，你对于心灵伤害有抗性。此外，如果你在你的回合开始时处于魅惑或者恐慌的状态，你可以消耗一个灵能骰并结束这些状态对你的影响</t>
  </si>
  <si>
    <t>守卫缠绕</t>
  </si>
  <si>
    <t>第6级起，当你或你可以看见的一个位于触手10尺内的生物承受伤害时，你可以使用反应选择这些生物中的一个并使该生物遭受的伤害减少1d8。当你达到邪术师10级时，触手可以抵消的伤害增加到2d8</t>
  </si>
  <si>
    <t>装甲师</t>
  </si>
  <si>
    <t>力量领域法术</t>
  </si>
  <si>
    <t>第1级时：神恩、虔诚护盾
第3级时：强化属性、防护能量伤害
第5级时：加速术、防护善恶
第7级时：支配野兽、石肤术
第9级时：湮灭波、疫病虫群</t>
  </si>
  <si>
    <t>壁垒之力</t>
  </si>
  <si>
    <t>第15级起，你可以使用一个附赠动作选择一些可包括你在内且30尺对你可见生物，数量等于你的智力调整值（最少为1）。每个被选中的生物获得一分钟的半掩蔽状态，该状态将会在你失能时提前结束
每当你使用这个附赠动作，你无法再次使用该特性直到你完成一次长休，除非你消耗一个灵能骰来再次使用该特性</t>
  </si>
  <si>
    <t>擒握触手</t>
  </si>
  <si>
    <t>第10级起，你获得法术艾伐黑触手。它对你来说是一个邪术师法术，但是它并不算作你已知的法术数量。你可以在不消耗法术位的情况下使用该法术一次，且该能力于你完成一次长休后恢复
每当你使用这个法术，赐予你和你邪术师等级一致的临时生命值。此外，对你的伤害并不会破坏你对于该法术的专注</t>
  </si>
  <si>
    <t>念力宗师</t>
  </si>
  <si>
    <t>第18级起，你可以在无需施法材料的情况下使用心灵遥控，此时你的施法关键属性为智力。在每一个你对该法术维持专注的回合，包括你使用它的回合，你可以使用一个附赠动作进行一次武器攻击
每当你使用以特性施放此法术，你无法再次使用该特性直到你完成一次长休，除非你消耗一个灵能骰来再次使用该特性</t>
  </si>
  <si>
    <t>海渊传送</t>
  </si>
  <si>
    <t>第14级起，你可以使用一个标准动作传送自己和最多五个自愿、且在30尺可视范围内的生物。在一团触须的漩涡中，你们全部消失，然后在至多1英里以内的你曾见过的水域（至少为池塘大小）或者它的30尺范围内。你们当中的每一个人都出现在距离其他人30尺以内的一个空的空间内
你必须完成一次长休或短休才能再次使用该特性</t>
  </si>
  <si>
    <t>力量司祭</t>
  </si>
  <si>
    <t>第1级时，你可以获得一个你选择的德鲁伊戏法。另外你从以下技能中选择一项获得熟练项：驯兽、运动、自然或求生</t>
  </si>
  <si>
    <t>扩展法术</t>
  </si>
  <si>
    <t>第1级起，在选择已知法术时，你可将以下法术加入邪术师法术列表进行选择
1环：灾祸术、虚假生命
2环：目盲／耳聋术、魅影之力
3环：魅影驹、死者交谈
4环：防死结界、高等隐形术
5环：防活物护罩、死云术</t>
  </si>
  <si>
    <t>引导神力-伟力壮举</t>
  </si>
  <si>
    <t>第2级起，当你使用力量进行攻击骰、能力检定或豁免检定时，你可以使用你的引导神力来使这次攻击掷骰结果+10。你可以在看到掷骰结果但DM未告知攻击命中与否的阶段做出此选择</t>
  </si>
  <si>
    <t>战栗形态</t>
  </si>
  <si>
    <t>第1级起，以一个附赠动作，你变身持续1分钟。变身时你获得以下好处：
你获得相当于1d10+你的邪术师等级的临时生命
在你的每个回合中只有一次，当你攻击检定命中一个生物时，你可以强迫它进行一次感知豁免。若失败，目标会对你恐慌，直到你的下一个回合结束
你对恐慌状态免疫
你可以变身的次数等于你的熟练值，当你完成长休时，你会恢复所有消耗的次数</t>
  </si>
  <si>
    <t>引导神力-绿神赐福</t>
  </si>
  <si>
    <t>第6级起，当一个生物在你30尺范围内进行进行攻击检定、能力检定或豁免检定时，你可以以一反应使该生物的的这次攻击掷骰结果+10。你可以在看到掷骰结果但DM未告知攻击命中与否的阶段做出此选择</t>
  </si>
  <si>
    <t>坟冢之触</t>
  </si>
  <si>
    <t>第6级起，你不需要吃、喝、呼吸
你的每回合一次，当你用攻击检定命中一个生物并对该生物投掷伤害骰时，你可以将伤害类型替换为暗蚀伤害。当你使用战栗形态时，你可以在确定目标受到该暗蚀伤害的数值时，额外投掷一枚伤害骰</t>
  </si>
  <si>
    <t>死疽躯壳</t>
  </si>
  <si>
    <t>第10级起，你对暗蚀伤害具有抗性。如果你使用战栗形态变身，你会对暗蚀伤害免疫
当你的生命值降低到0时，你可以使用反应，改为将生命值降低到1，并使你的身体爆发出死亡能量。你周围30英尺内的由你选择的生物都会受到相当于2d10+你的邪术师等级的暗蚀伤害。你获得1级的力竭。一旦你使用该反应，你就不能再这样做，直到你完成1d4次长休</t>
  </si>
  <si>
    <t>第17级起，你获得对非魔法攻击造成的钝击，穿刺和挥砍伤害抗性</t>
  </si>
  <si>
    <t>灵魂投射</t>
  </si>
  <si>
    <t>第14级起，以一个动作，你可以从你的身体投射出你的灵魂。你脱离的身体陷入昏迷，并处于人事不省状态
你的灵魂与你的常人形态各个方面高度相似，复制你的游戏数据，但不包括你的携带物。任何对你的灵魂或物理身体造成的伤害或其他效果会传递到另一方。你的灵魂可以在你的身体之外停留长达1小时，或者直到你的专注中断（就像专注于一个法术）。当你的投射结束时，你的灵魂会回到你的身体，或者你的身体会魔法地的传送到你灵魂所在的空间（取决于你的选择）
当投射你的灵魂时，你获得以下好处：
你的灵魂和身体获得对钝击、穿刺和挥砍伤害的抗性
当你施放一个咒法学派或死灵学派的法术时，该法术不需要语言、姿势或不消耗金币的材料成分
你获得等于你步行速度的飞行速度，并且可以盘旋。你可以穿过生物和物体，就像它们是困难地形一样，但如果你在生物或物件内结束自己回合，你会受到1d10的力场伤害
当你使用战栗形态时，在你的每个回合中只有一次，当你对一个生物造成暗蚀伤害时，你会恢复相当于暗蚀伤害量一半的生命值
一旦你使用了这个特性，你就不能再这样做，直到你完成了一次长休</t>
  </si>
  <si>
    <t>野心领域法术</t>
  </si>
  <si>
    <t>第1级时：灾祸术、猎人印记
第3级时：镜影术、衰弱射线
第5级时：降咒、吸血鬼之触
第7级时：防死结界、任意门
第9级时：支配人类、篡改记忆</t>
  </si>
  <si>
    <t>第1级起，当你身边30尺内一个你能看见的生物向你发动攻击时，你可以用你的反应在攻击完成前对攻击者闪出一道光亮,以此迫使该攻击检定具有劣势。不受目盲状态影响的攻击者同样对该特性免疫
你可以使用该特性的次数等于你的感知调整值(至少一次)。而你将在完成一次长休后重新恢复所有的使用次数</t>
  </si>
  <si>
    <t>第2级起，以一个动作，你可以创造一个完美的自身幻象。该幻象持续存在一分钟，或直至你失去对该特性的专注(等同于专注一个法术)。该幻象出现在你身边30尺内一个你能看见且未被占据的空间。你在自己回合内可以用一个附赠动作让该幻象移动至多30尺到一个你能看见的地方，但其必须始终保持离你120尺以内
在幻象持续期间，你可以从幻象所在位置施展法术，但仍必须使用你自己的感官。当你和幻象都在同一个目标身边5尺内，且该目标可以看见幻象时，由于幻象对目标造成的干扰，你对该目标发动攻击而进行的攻击检定具有优势</t>
  </si>
  <si>
    <t>第6级起，作为一个动作，你变成隐形状态，该状态将持续至你的下一回合结束。当你攻击或施法时，将随即显形</t>
  </si>
  <si>
    <t>提升分身</t>
  </si>
  <si>
    <t>第17级起，当你使用召唤分身时，你可以创造最多四个分身而不是一个。以一个附赠动作，你可以在自己的回合移动任何数量的幻象达到至30尺，最大范围120尺</t>
  </si>
  <si>
    <t>热忱领域法术</t>
  </si>
  <si>
    <t>第1级时：炽焰斩、雷鸣斩
第3级时：魔化武器、粉碎音波
第5级时：加速术、火球术
第7级时：温暖护盾、行动自如
第9级时：湮灭波、焰击术</t>
  </si>
  <si>
    <t>狂信侍僧</t>
  </si>
  <si>
    <t>第1级起，作为你的附赠动作，你可以在执行攻击动作时额外再进行一次武器攻击。你可以使用此能力的次数等于你的感知调整值(至少一次)。直到你重新完成一次长休息</t>
  </si>
  <si>
    <t>引导神力-引领热忱</t>
  </si>
  <si>
    <t>第2级起，当你造成火焰或雷鸣伤害时，可以使用引导神力使该伤害的伤害掷骰直接取最高值而无需掷骰</t>
  </si>
  <si>
    <t>轰响打击</t>
  </si>
  <si>
    <t>第6级起，当你对一个更大的或更小体型的生物造成雷鸣伤害时，你可以选择把它推离到离你10尺远的地方</t>
  </si>
  <si>
    <t>荣光之火</t>
  </si>
  <si>
    <t>第17级起，当你被当你被一个你能看到的攻击者降低到0点生命值时，即使你会被直接杀死，你也可以以你的一个反应，以你的移动速度向攻击者迈进并对其进行一次可触及的近战武器攻击。这次最后的攻击具有优势。如果攻击命中，该生物将额外受到武器类型的5D10火焰伤害和5D10武器伤害。然后你就失去意识并照常开始进行死亡豁免，如果遭受的伤害将您完全杀死，您将死亡。直到你重新完成一次长休息</t>
  </si>
  <si>
    <t>负重系数</t>
  </si>
  <si>
    <t>冒险物品</t>
  </si>
  <si>
    <t>身上装备</t>
  </si>
  <si>
    <t>弹药重量</t>
  </si>
  <si>
    <t>集束重量</t>
  </si>
  <si>
    <t>集束数量</t>
  </si>
  <si>
    <t>工具</t>
  </si>
  <si>
    <t>去重</t>
  </si>
  <si>
    <t>备选护甲</t>
  </si>
  <si>
    <t>备选武器</t>
  </si>
  <si>
    <t>力量需求</t>
  </si>
  <si>
    <t>隐匿劣势</t>
  </si>
  <si>
    <t>说明</t>
  </si>
  <si>
    <t>护甲熟练</t>
  </si>
  <si>
    <t>盾牌熟练</t>
  </si>
  <si>
    <t>伤害值</t>
  </si>
  <si>
    <t>伤害类型</t>
  </si>
  <si>
    <t>价格</t>
  </si>
  <si>
    <t>调整</t>
  </si>
  <si>
    <t>版本</t>
  </si>
  <si>
    <t>工匠工具</t>
  </si>
  <si>
    <t>工匠工具-炼金</t>
  </si>
  <si>
    <t>炼金工具可以用来制作有用的化合物，如强酸或炽火胶
奥秘：炼金工具熟练项可以让你在进行鉴定药水或类似物质的奥秘检定中获得更多信息
调查：当你调查一个区域的线索时，如果该区域曾使用过任何化合物或其他物质，炼金工具熟练项将使你对此具有额外的洞察力
道具制作：你可以使用这套工具熟练制作炼金道具。角色可以花钱收集原材料，每磅材料花费50金币。DM可以允许角色使用指定技能进行检定时具有优势。作为长休的一部分，你可以使用炼金工具制作一份剂量的强酸、炽火胶、抗毒剂、油、香水或者香皂。从你所携带的原材料总价值中减去所制作物品价值的一半</t>
  </si>
  <si>
    <t>龟人护甲</t>
  </si>
  <si>
    <t>算盘</t>
  </si>
  <si>
    <t>工匠工具-酿酒</t>
  </si>
  <si>
    <t>酿酒即是酿造酒精饮料。除了酿酒以外，这套程序还能用于蒸馏淡水。麦酒的发酵需要等待好几周时间，但酿造工作只需要几个小时
历史：酿酒工具熟练项能让你在进行与酒大有关联的事件的智力（历史）检定时有更多的了解
医药：当你治疗酒精中毒的病人，或你能使用酒精来减轻疼痛时，酿酒工具熟练项会给你更多的启示
游说：酒逢知己千杯少。酿酒工具熟练项能让你向他人提供私酿的美酒，借此改善关系
饮用水：你的酿造知识允许你用非饮用水蒸馏纯净水。你在一次长休中可以蒸馏出6加仑的淡水，而一次短休则只有1加仑</t>
  </si>
  <si>
    <t>中甲</t>
  </si>
  <si>
    <t>护甲条件</t>
  </si>
  <si>
    <t>装备位置</t>
  </si>
  <si>
    <t>强酸（小瓶）</t>
  </si>
  <si>
    <t>你可以用一个动作将这小瓶液体泼溅到你身边5尺内的一个生物身上，或是将小瓶投到至多20尺远的地方，并利用冲击打破它。两种情况都可以视为对一个生物或物件发动一次远程攻击，并将强酸视为一件临时武器。命中时，目标受到2d6点强酸伤害</t>
  </si>
  <si>
    <t>工匠工具-书法</t>
  </si>
  <si>
    <t>书法将写字升华为富有美感的艺术形式
书法家用独特的风格创作出赏心悦目的文字。他们的工具也提供了验证文稿真伪的能力，前提是书法家要花费数个小时来不断临摹文稿，以掌握其书写风格和结构特征
奥秘：虽然书法对于破解魔法密文来说没什么作用，但是书法工具熟练项至少能让你判断出这堆鬼画符的作者是谁
历史：该工具熟练项可以在进行分析或调查文本内容的成功检定中获得好处，例如古代文稿、卷轴，还有包括石头上的符文、壁画中的内容或者诸如此类的的其他文本
解读藏宝图：该工具熟练项意味着你具有解读地图的专业知识。你可以进行一次智力检定以确定地图的年代，地图是否包含任何隐藏的信息，或类似的内容</t>
  </si>
  <si>
    <t>重甲</t>
  </si>
  <si>
    <t>1D6</t>
  </si>
  <si>
    <t>全头</t>
  </si>
  <si>
    <t>炽火胶（扁瓶）</t>
  </si>
  <si>
    <t>一种粘稠的流体，其一旦接触空气就会引起自燃。你可以用一个动作将这小瓶液体投到至多20尺远的地方，并利用冲击打破它。这个动作视为对一个生物或物件发动一次远程攻击，并将炽火胶视为一件临时武器。命中时，目标在它每回合开始时受到1d4点火焰伤害。被命中生物可以使用动作进行一次DC10的敏捷检定，以扑灭火焰来结束该伤害效应</t>
  </si>
  <si>
    <t>工匠工具-木匠</t>
  </si>
  <si>
    <t>木工技能允许角色打造木结构的物品。木匠可以建造房屋、棚屋、木制橱柜或类似的物品
历史：该工具熟练项有助于你分辨木结构建筑和其他大型木制品的用途和来历
调查：当你调查木结构建筑时具有额外的洞察力，因为你深谙营造法则，可以发现隐藏的区域
察觉：你可以发现木墙或地板的不自然之处，从而更容易找到陷阱门和秘密通道
隐匿：你可以很快地判断出木地板上的薄弱点，这样就可以更容易地避开，以免发出嘎吱声
加固：消耗原材料并进行1分钟的加工，你可以使一扇门或窗更难强行打开。打开门窗的DC值增加5点
临时住所：作为长休的一部分，你可以建造一个棚屋或类似的遮蔽物，使你的团队能在一个阴凉干燥的环境中休息。因为它只是草草搭建起来的临时住所，所以在1d3天后便会倒塌</t>
  </si>
  <si>
    <t>装备武器</t>
  </si>
  <si>
    <t>命中调整值</t>
  </si>
  <si>
    <t>伤害调整值</t>
  </si>
  <si>
    <t>军用武器熟练</t>
  </si>
  <si>
    <t>力场</t>
  </si>
  <si>
    <t>触及</t>
  </si>
  <si>
    <t>法师护甲</t>
  </si>
  <si>
    <t>头部</t>
  </si>
  <si>
    <t>抗毒剂（小瓶）</t>
  </si>
  <si>
    <t>喝下瓶内液体的生物在1小时内进行对抗对毒素的豁免检定时具有优势。它无法为不死生物或构装生物提供任何增益</t>
  </si>
  <si>
    <t>工匠工具-制图</t>
  </si>
  <si>
    <t>使用制图工具，您可以创建精确的地图做旅行为自己和那些来找你更容易。这些地图可以从山脉的大规模描述到显示地下城平面布局的图表
奥秘、历史、宗教：当你使用这些技能时，你可以利用有关于地图和定位的知识来挖掘更详细的信息
自然：你对自然地理的熟悉使你更容易回答或解释有关于你周遭地形的问题
求生：你拥有的地理知识能帮你找到走出荒野的道路，判断有可能找到村庄或城镇的方向，以避免迷路。你研究过大量具有共通模式的地图，以至于对贸易路线的演变和定居点的分布格局了然于心
绘制地图：旅行时，除了参加其他活动外，你还可以画一张地图</t>
  </si>
  <si>
    <t>武僧武器</t>
  </si>
  <si>
    <t>火焰</t>
  </si>
  <si>
    <t>10尺触及</t>
  </si>
  <si>
    <t>布甲由数层布料与棉料的衬里构成</t>
  </si>
  <si>
    <t>头发</t>
  </si>
  <si>
    <r>
      <rPr>
        <sz val="11"/>
        <color rgb="FF000000"/>
        <rFont val="宋体"/>
        <family val="3"/>
        <charset val="134"/>
      </rPr>
      <t>滚珠（一包1000粒）</t>
    </r>
  </si>
  <si>
    <t>你可以用一个动作将这些小金属珠从袋子中洒出，并覆盖一片边长10尺的方形区域。穿过这片区域的生物必须进行一次DC10的敏捷豁免，豁免失败则摔至倒地。以半速穿过该区域的生物不需要进行该豁免</t>
  </si>
  <si>
    <t>工匠工具-鞋匠</t>
  </si>
  <si>
    <t>虽然鞋匠的生意对冒险者来说似乎太卑微了，但一双好鞋子却能在崎岖的荒野和致命的地牢帮上大忙
奥秘、历史：你对鞋子的知识有助于你识别魔法靴的魔法属性或这些物品的历史
调查：鞋子能透露出的秘密远比你想象的多。你可以通过检查鞋子的磨损和污迹来推断出某人最近到过什么样的地方。你的修鞋经验能让你更好地判断出导致鞋子磨损的原因
修鞋：作为长休的一部分，你可以保养同伴的鞋子。至多六个由你选定的穿着你修补过的鞋子的生物，接下来的24小时内，在需要进行对抗力竭状态的豁免检定前可以旅行至多10小时
秘密夹层：通过8小时的工作，你可以在一双鞋子内做出一个秘密夹层。这个夹层可以容纳一件至多长3寸、宽1寸的物品。你进行一次附带工具熟练加值的智力检定，以确定寻找夹层所需的智力（调查）检定DC值</t>
  </si>
  <si>
    <t>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t>
  </si>
  <si>
    <t>面部</t>
  </si>
  <si>
    <t>铺盖</t>
  </si>
  <si>
    <t>工匠工具-厨师</t>
  </si>
  <si>
    <t>冒险可是个辛苦活儿。如果能和一位厨师一起旅行，你的伙食可比整天啃饼干嚼果脯好多了
历史：你对厨艺的了解允许你品味从餐饮习惯中透露出来的社会模式
医药：进行治疗时，你可以改善药物的口感，使其不那么难以下咽
求生：寻找食物时，你可以把他人认为不能吃的玩意儿处理成可食用的东西
准备饭菜：作为短休的一部分，你可以准备一顿美味的饭菜，帮助同伴恢复体力。在短休时，你和至多五个你所选择的生物每消耗一枚生命骰就可以多恢复1点生命值，只要你有机会使用你的厨师工具并且食材充足</t>
  </si>
  <si>
    <t>咒剑武器</t>
  </si>
  <si>
    <t>穿刺</t>
  </si>
  <si>
    <t>步行速度增加5尺</t>
  </si>
  <si>
    <t>颈部</t>
  </si>
  <si>
    <t>铃铛</t>
  </si>
  <si>
    <t>工匠工具-玻璃匠</t>
  </si>
  <si>
    <t>具有玻璃匠工具熟练项的人不仅知道如何将玻璃吹制成形，还懂得生产玻璃制品的专业知识
奥秘、历史：你的玻璃制造技术有助于检查玻璃制品，例如在藏宝库中发现的药剂瓶或玻璃物品。例如，你可以研究玻璃药瓶受到内容物的影响，以判断药水的效果
调查：当你调查一个拥有碎玻璃或玻璃制品等线索的区域时，你的知识能够提供帮助
发现弱点：通过1分钟的研究，你能找出玻璃制品的薄弱点。击打该物件的薄弱点能够造成双倍的伤害</t>
  </si>
  <si>
    <t>匠师武器</t>
  </si>
  <si>
    <t>该护甲的护胸和护肩由通过油煮硬化的皮子制成。护甲的其余部分则由更软更灵活的材料制作。</t>
  </si>
  <si>
    <t>毯子</t>
  </si>
  <si>
    <t>挥砍</t>
  </si>
  <si>
    <t>工匠工具-珠宝匠</t>
  </si>
  <si>
    <t>珠宝匠工具的培训包括加工珠宝的基本技术，以及鉴定宝石的专业知识
奥秘：珠宝匠工具熟练项让你能够了解各种宝石的魔法用途。这一能力在你对宝石或镶嵌宝石的物品进行奥秘检定时很有用处
调查：当你检查珠宝类物件时，珠宝匠工具熟练项有助于你发现可能存在的线索
鉴定宝石：你能很快鉴定出宝石的种类和价值</t>
  </si>
  <si>
    <t>简易近战</t>
  </si>
  <si>
    <t>短棒</t>
  </si>
  <si>
    <t>轻型</t>
  </si>
  <si>
    <t>肩膀</t>
  </si>
  <si>
    <t>滑轮组</t>
  </si>
  <si>
    <t>一组滑轮组，其中配有一根绳索绕过轮组中，其上还装着一个系物的钩子。滑轮组可以让你提起相当于你正常举重四倍重量的物件</t>
  </si>
  <si>
    <t>强酸</t>
  </si>
  <si>
    <t>工匠工具-皮匠</t>
  </si>
  <si>
    <t>皮革加工的知识还包括兽皮特性、皮革盔甲和类似物品的学识
奥秘：皮匠工具熟练项在你检查皮制魔法物品，如鞋子和部分斗篷时提供额外的洞察力
调查：当你研究皮制物品或与之相关的线索时，你具有额外的洞察力，因为你对于皮革的专业知识能够发现他人忽略的细节
皮革鉴定：当你检查皮革物品时，你能分辨出皮料的种类以及运用的特殊工艺</t>
  </si>
  <si>
    <t>步行速度增加5尺，你在敏捷（隐匿）检定中具有优势</t>
  </si>
  <si>
    <t>胸前</t>
  </si>
  <si>
    <t>书本</t>
  </si>
  <si>
    <t>一本书可能写着诗歌、故事或是其他的内容。里面可能有关于某个特定地区的学识信息，也可能有侏儒语记载的机械图和笔记，或者任何其它能够用文字或图形表达的内容。一本载有法术的书则是一本法术书</t>
  </si>
  <si>
    <t>冷冻</t>
  </si>
  <si>
    <t>工匠工具-泥瓦匠</t>
  </si>
  <si>
    <t>泥瓦匠工具允许你制造石质或砖制建筑
历史：你的专业知识有助于你确定一座石质建筑的建造日期和用途，以及可能是谁建造了它
调查：当你检查石质建筑中的区域时，你具有额外的洞察力
察觉：你可以在石墙或地板上发现不规则的地方，从而更容易找到陷阱门和秘密通道
拆迁：你对砖石结构的知识可以让你发现墙壁的薄弱点。你的武器攻击会对这种建筑造成双倍伤害</t>
  </si>
  <si>
    <t>该护甲由坚固而柔韧的皮革制成，其表面由紧密的铆钉和尖刺进行加固。</t>
  </si>
  <si>
    <t>背后</t>
  </si>
  <si>
    <r>
      <rPr>
        <sz val="11"/>
        <color rgb="FF000000"/>
        <rFont val="宋体"/>
        <family val="3"/>
        <charset val="134"/>
      </rPr>
      <t>铁蒺藜（一包20枚）</t>
    </r>
  </si>
  <si>
    <t>你可以用一个动作将一包铁蒺藜撒出，并覆盖一块边长5尺的方形区域。任何进入该区域的生物必须进行一次DC15的敏捷豁免，豁免失败则该生物停止移动，并受到1点穿刺伤害。在该生物恢复至少1点生命值前，其步行速度将减少10尺。以半速穿过该区域的生物不需要进行该豁免</t>
  </si>
  <si>
    <t>工匠工具-画家</t>
  </si>
  <si>
    <t>画家工具熟练项代表了你的素描和绘画能力。你也会对艺术史有所了解，这有助于你鉴赏艺术作品
奥秘、历史、宗教：你的专业知识有助于你了解任何与艺术有关的知识，比如一幅画作的魔法属性或在地下城中发现的奇怪壁画的来历
调查、察觉：当你检查一幅画作或类似的图画类艺术作品时，你的绘画功底可以给你额外的洞察力
作画：作为短休或长休的一部分，你可以创作一件简单的艺术品。虽然你的画作可能不够精细，但你可以展现出一副图像或场景，或者快速还原出你所见过的一幅艺术品</t>
  </si>
  <si>
    <t>腰部</t>
  </si>
  <si>
    <t>蜡烛</t>
  </si>
  <si>
    <t>一只蜡烛可以为其身边5尺半径范围提供明亮光照，以及该范围外5尺的微光光照。蜡烛的照明效果可以持续1小时</t>
  </si>
  <si>
    <t>工匠工具-陶匠</t>
  </si>
  <si>
    <t>陶匠工具用于制造各种各样的陶器，最典型的是陶罐和类似的器皿
历史：你的专业知识有助于你鉴定陶器，包括生产时间，以及它们可能的产地或产地文化
调查、察觉：你在检查陶器时具有额外的洞察力，通过一些小细节来发现他人忽略的线索
复原：通过检查陶器碎片，你可以推断出该物件原本、完整的形状及其可能的用途</t>
  </si>
  <si>
    <t>胯间</t>
  </si>
  <si>
    <r>
      <rPr>
        <sz val="11"/>
        <color rgb="FF000000"/>
        <rFont val="宋体"/>
        <family val="3"/>
        <charset val="134"/>
      </rPr>
      <t>链条（10尺）</t>
    </r>
  </si>
  <si>
    <t>一根链条有10点生命值。它可以被一次成功的DC20力量检定挣断</t>
  </si>
  <si>
    <t>闪电</t>
  </si>
  <si>
    <t>工匠工具-铁匠</t>
  </si>
  <si>
    <t>铁匠工具允许你加工金属，加热它来塑性变形、修复损坏，或者把钢锭加工成有用的物品
奥秘、历史：当你检查金属物体，比如武器时，你的专业知识会给你额外的洞察力
调查：在调查护甲、武器或其他金属制品时，你可以发现他人可能会忽略的线索并作出推论
修复：当你能够使用工具并且具备一处足以使金属热塑变形的明火时，你每花费1个小时的工作时间，就能为一件损坏的金属制品恢复10点生命值</t>
  </si>
  <si>
    <t>匕首</t>
  </si>
  <si>
    <t>灵巧，轻型，投掷（射程20/60）</t>
  </si>
  <si>
    <t>一种由厚毛皮制作的粗糙护甲。</t>
  </si>
  <si>
    <t>左脚</t>
  </si>
  <si>
    <t>粉笔（1块）</t>
  </si>
  <si>
    <t>黯蚀</t>
  </si>
  <si>
    <t>工匠工具-修理</t>
  </si>
  <si>
    <t>修理工具用于修复各种普通物件。虽然你不能用修补工具制造很多东西，但你可以缝补衣服、磨砺锋刃，或是修补好破掉的链甲
历史：你可以确定物件的年龄和来历，即使你只剩下几块原件的碎片
调查：当你检查一个损坏的物件时，你能推测出损坏的原因及时间
修复：你每花费1个小时的工作时间，就能为一件损坏的物件恢复10点生命值。你必须具有与之对应的修补材料。对于金属制品，你还需要具备一处足以使金属热塑变形的明火</t>
  </si>
  <si>
    <t>右脚</t>
  </si>
  <si>
    <t>攀爬工具</t>
  </si>
  <si>
    <t>一套攀爬工具包括特制的岩钉，靴子包头，手套和系带。你可以用一个动作来运用攀爬工具锚定自己；此时你不会从锚定处摔落超过25尺，且在解除锚定前无法从锚定处向外攀爬超过25尺</t>
  </si>
  <si>
    <t>毒素</t>
  </si>
  <si>
    <t>工匠工具-织布</t>
  </si>
  <si>
    <t>织布工具可以让你织布，并把它做成衣服
奥秘、历史：你的专业知识会让你在检查纺织品时具有额外的洞察力，包括斗篷和长袍
调查：当你检查挂毯、布饰、服装或其他纺织品时，你的专业知识能让你发现他人可能会忽略的线索并作出推论
缝补：你可以在短休中修复一件损坏的纺织品
制衣：如果你有足够的布匹和线，你可以在长休中为一个生物制作一套服装</t>
  </si>
  <si>
    <t>双脚</t>
  </si>
  <si>
    <t>材料包</t>
  </si>
  <si>
    <t>材料包是一个防水的皮质小腰包，其内有间格用以放置各种材料成分以及其它你需要用以施展法术的特殊物品。某些有着特定价格的材料不包含在材料包中</t>
  </si>
  <si>
    <t>心灵</t>
  </si>
  <si>
    <t>工匠工具-木雕</t>
  </si>
  <si>
    <t>木雕工具允许你加工负责的木制品，如木制令牌或箭杆
奥秘、历史：当你检查木制品，如雕像或箭时，你的专业知识让你具有额外的洞察力
自然：当你检查树木时，你的知识让你具有额外的洞察力
修复：你可以在短休中修复一件损坏的木制品
制箭：你可以在短休中制作至多五支箭。在长休中你能做二十支。前提是你必须有足够的木料</t>
  </si>
  <si>
    <t>该护甲由互相锁接的金属环组成，通常着装于布衣或皮衣的夹层之间。这种护甲为着装者的上半身提供了适中的保护，且锁环间相互碰撞的声音也可以被外层衣服减弱。</t>
  </si>
  <si>
    <t>左腿</t>
  </si>
  <si>
    <t>撬棍</t>
  </si>
  <si>
    <t>在适当的地方使用撬棍时，可以让相应的力量检定具有优势</t>
  </si>
  <si>
    <t>光耀</t>
  </si>
  <si>
    <t>易容工具</t>
  </si>
  <si>
    <t>对于伪装者来说，易容工具是必不可少的，它可以让使用者轻易地改头换面
欺瞒：在某些情况下，一副伪装可以提高你撒谎的能力
恐吓：合适的伪装会让你看起来更可怕，不管你是想假扮成瘟疫患者来吓跑路人或是装成暴徒以恐吓一帮恶棍
表演：巧妙的化妆可以提升观众的体验，前提是化妆要设计得当，能够唤起想要的反应
说服：人们往往会信任穿制服的人。如果你伪装成一个权威人物，你与他人的交涉会更有说服力
易容：你可以在长休中制造一套伪装物品。完成后你可以花费1分钟时间来变装。为了避免过度的关注，你一次只能携带一套伪装，除非你有一个背包或类似的方法来隐藏它们。每套伪装重1磅。在其他时候，需要10分钟来制作一套适当修改外观的的伪装，而大幅改变外观则需要30分钟</t>
  </si>
  <si>
    <t>巨棒</t>
  </si>
  <si>
    <t>1D8</t>
  </si>
  <si>
    <t>双手</t>
  </si>
  <si>
    <t>右腿</t>
  </si>
  <si>
    <t>渔具</t>
  </si>
  <si>
    <t>一套渔具工具包中，装有一根长杆、丝线、软木转轴、铅坠、天鹅绒饵以及窄眼网</t>
  </si>
  <si>
    <t>雷呜</t>
  </si>
  <si>
    <t>文书伪造工具</t>
  </si>
  <si>
    <t>文书伪造工具通常用于伪造一份信用文书和模仿某人的印章或签名
奥秘：文书伪造工具与奥秘技能搭配可以鉴定一件魔法物品的真伪
欺瞒：一份精心伪造的文书，比如贵族血统证明或管制区通行证，可以让你的谎言更有可信度
历史：文书伪造工具与你的历史知识相结合，可以让你更轻易地伪造历史文献或鉴定文献的真伪
调查：当你检查一个物件时，文书伪造工具熟练项有助于你判断该物件是如何制成的，以及它的真伪
其他工具：掌握其他工具的用法可以提高你所制赝品的可信度
快速伪造：你在一次短休中可以伪造篇幅不超过1页的假文书。而一次长休中，你至多可以制造4页的文书。你进行一次附带文书伪造工具熟练加值的智力检定，以决定他人识破赝品的智力（调查）检定DC值</t>
  </si>
  <si>
    <t>双腿</t>
  </si>
  <si>
    <t>爪钩</t>
  </si>
  <si>
    <t>赌具</t>
  </si>
  <si>
    <t>赌具-骰子</t>
  </si>
  <si>
    <t>历史：你对赌博的掌握包括对它历史的了解，以及与它有关的重要事件或与之相关的历史名人的知识
洞悉：和某人赌上一把是了解他们个性的好方法，可以让你更好地分辨他们的谎言，了解他们的情绪
巧手：想出老千的话，巧手是个很有用的技能，比如你可以棋子换位、掌中藏牌、控制骰点。亦或者，对沉浸于赌局的目标进行扒窃也是不错的选择</t>
  </si>
  <si>
    <t>重复选择</t>
  </si>
  <si>
    <t>该护甲由一件皮外套和护胫（可能附有护裙）组合而成，其防护部分由相叠的铁片覆盖，结构有如鱼的鳞片。此护甲同时还附有护手。</t>
  </si>
  <si>
    <t>左手</t>
  </si>
  <si>
    <t>锤子</t>
  </si>
  <si>
    <t>赌具-龙棋</t>
  </si>
  <si>
    <t>右手</t>
  </si>
  <si>
    <t>大锤</t>
  </si>
  <si>
    <t>赌具-纸牌</t>
  </si>
  <si>
    <t>手斧</t>
  </si>
  <si>
    <t>轻型，投掷（射程20/60）</t>
  </si>
  <si>
    <t>医疗包</t>
  </si>
  <si>
    <t>一个医疗用小皮包中，装有绷带、药膏和夹板。医疗包可以使用十次。你可以使用一个动作，并花费一次使用次数来为一个生命值为0的生物稳定伤势，而无需进行相应的感知（医药）检定</t>
  </si>
  <si>
    <t>赌具-三龙牌</t>
  </si>
  <si>
    <t>该护甲主要由皮条固定的金属护胸组成。尽管它并没有为四肢提供额外的防护，但其在保证着装者活动自由度的同时，为其生命器官提供了十分有效的保护效果。</t>
  </si>
  <si>
    <t>左臂</t>
  </si>
  <si>
    <t>圣水（扁瓶）</t>
  </si>
  <si>
    <t>你可以用一个动作将这小瓶液体泼溅到你身边5尺范围内的一个生物身上，或是将小瓶投到至多20尺远的地方，并利用冲击打破它。两种情况都可以视为对一个生物或物件发动一次远程攻击，并将圣水视为一件临时武器。命中时，如果目标是一只邪魔或不死生物，则目标受到2d6点光耀伤害
一名牧师或圣武士能通过主持一种特殊的仪式来创造圣水。该仪式花费1小时进行，且需要花费价值25gp的银粉，并消耗施法者一枚1环法术位</t>
  </si>
  <si>
    <t>草药工具熟练项允许你辨认植物并安全地提取有效成分
奥秘：你对药材的性味归经和功能主治的了解，使你在对植物进行魔法研究或试图鉴定药剂时具有额外的洞察力
调查：当你调查一个长有植物的区域时，草药工具熟练项能帮助你发现那些其他人可能会忽视的细节或线索
医药：你对草药医学的掌握有助于提高你使用药用植物治疗疾病和创伤的水平
自然、求生：当你在野外旅行时，你的草药技能有助于辨认植物和找到一般人不知道的食物来源
辨认植物：仅仅通过外观和气味，你就能快速辨认出大部分植物</t>
  </si>
  <si>
    <t>右臂</t>
  </si>
  <si>
    <t>沙漏</t>
  </si>
  <si>
    <t>乐器</t>
  </si>
  <si>
    <t>乐器-风笛</t>
  </si>
  <si>
    <t>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t>
  </si>
  <si>
    <t>双臂</t>
  </si>
  <si>
    <t>狩猎陷阱</t>
  </si>
  <si>
    <t>使用动作设置好该陷阱后，其形成一个锯齿钢圈，并在生物踏上其中央压板时闭合。陷阱由一根沉重的链条固定在某处，例如一棵树或是一根钉在地上的钉子。任何踩上压板的生物都必须进行一次DC13的敏捷豁免，豁免失败则受到1d4点穿刺伤害，并停止移动。在该生物从陷阱中解脱前，其移动范围都被限制在链条的长度内（通常为3尺）。一个生物可以使用动作进行一次DC13的力量检定，以解脱自己或其触及范围内的另一生物。每次豁免失败时，被困生物都将受到1点穿刺伤害</t>
  </si>
  <si>
    <t>乐器-鼓</t>
  </si>
  <si>
    <t>标枪</t>
  </si>
  <si>
    <t>投掷（射程30/120）</t>
  </si>
  <si>
    <t>半身板甲主要由覆盖着装者身体大部分的铸模金属板组成。不过，其腿部防护则只有由皮条系住的简单护胫。</t>
  </si>
  <si>
    <t>全身</t>
  </si>
  <si>
    <r>
      <rPr>
        <sz val="11"/>
        <color rgb="FF000000"/>
        <rFont val="宋体"/>
        <family val="3"/>
        <charset val="134"/>
      </rPr>
      <t>墨水（1盎司瓶）</t>
    </r>
  </si>
  <si>
    <t>乐器-扬琴</t>
  </si>
  <si>
    <t>墨水笔</t>
  </si>
  <si>
    <t>乐器-长笛</t>
  </si>
  <si>
    <t>爬梯（10尺）</t>
  </si>
  <si>
    <t>乐器-鲁特琴</t>
  </si>
  <si>
    <t>它们出自矮人工匠之手，造型看上去像是覆盖了金属尖刺的皮革外套和护腿。</t>
  </si>
  <si>
    <t>一只油灯可以为其身边15尺半径范围提供明亮光照，以及该范围外30尺的微光光照。点亮的油灯每6小时消耗一扁瓶灯油（1品脱）</t>
  </si>
  <si>
    <t>乐器-里拉琴</t>
  </si>
  <si>
    <t>轻锤</t>
  </si>
  <si>
    <t>牛眼提灯</t>
  </si>
  <si>
    <t>一盏牛眼提灯可以为前方60尺的锥状区域提供明亮光照，以及该范围外60尺的微光光照。点亮的牛眼提灯每6小时消耗一扁瓶的灯油（1品脱）</t>
  </si>
  <si>
    <t>乐器-角号</t>
  </si>
  <si>
    <t>附盖提灯</t>
  </si>
  <si>
    <t>一盏附盖提灯可以为其身边30尺半径范围提供明亮光照，以及该范围外30尺的微光光照。点亮的提灯每6小时消耗一扁瓶的灯油（1品脱）。你可以使用一个动作放下盖子，使其光照减弱为5尺范围的微光照明</t>
  </si>
  <si>
    <t>乐器-排箫</t>
  </si>
  <si>
    <t>该护甲是将重金属环扣缝进内层的特殊皮甲。金属环可以加强护甲对剑斧挥击的抵抗力。环甲比链甲低一级，而通常只被那些无力支付更好护甲的人所使用。</t>
  </si>
  <si>
    <t>锁</t>
  </si>
  <si>
    <t>每把锁与一把钥匙相配套。不使用钥匙时，一个具有盗贼工具熟练项的生物可以通过一次成功的DC15敏捷检定撬开这把锁。DM可决定是否能够用更高的价格买到更好的锁</t>
  </si>
  <si>
    <t>乐器-芦笛</t>
  </si>
  <si>
    <t>放大镜</t>
  </si>
  <si>
    <t>一枚用以详细观察小物件的透镜。生火时，你也可以用它代替燧石与铁片。使用放大镜聚焦光来生火需要如同阳光般明亮的光照、可用的引火物质以及约5分钟的时间来完成点燃作业。进行估价或是检查某个细小或具有精细细节物件时所作的属性检定可以使用放大镜来获得优势</t>
  </si>
  <si>
    <t>乐器-提琴</t>
  </si>
  <si>
    <t>硬头锤</t>
  </si>
  <si>
    <t>-</t>
  </si>
  <si>
    <t>镣铐</t>
  </si>
  <si>
    <t>这些金属束具可以困住一只小型或中型体型的生物。解开镣铐必须成功通过一次DC20的敏捷检定。破坏镣铐则必须成功通过一次DC20的力量检定。每套镣铐配有一把对应的钥匙。不用钥匙时，一个具有盗贼工具熟练项的生物可以通过一次成功的DC15敏捷检定撬开镣铐的锁。镣铐具有15点生命值</t>
  </si>
  <si>
    <t>领航工具</t>
  </si>
  <si>
    <t>领航工具熟练项可以帮助你根据星象来导航。它还帮助你研究海图和地图，同时增强你的方向感
生存：领航工具的知识有助于避免迷路，也能让你推断最有可能出现道路和定居点的位置
观测：通过仔细测量，你可以确定你在航海图上的位置以及当前的时间</t>
  </si>
  <si>
    <t>该护甲由互相锁接的金属环编成。链甲还包括在甲胄下面穿戴的一层织物衬里，用以阻止擦伤并减缓挥击的冲击。此护甲同时还附有护手。</t>
  </si>
  <si>
    <t>野炊工具</t>
  </si>
  <si>
    <t>一个野炊工具锡盒包括一只茶杯和一些简易餐具。盒子被夹在一起，并且其中一面能够被用作一只煎锅而另一面则可以作为一只碟子或是浅碗</t>
  </si>
  <si>
    <t>制毒工具</t>
  </si>
  <si>
    <t>它允许你利用各种材料制取毒素并使用它们。你的毒药学知识也有助于解毒
调查、察觉：你的毒药学知识教会了你如何小心地处理这些物质，当你检查有毒物品或搜索与毒药有关的事件线索时具有优势
医药：当你医治中毒的患者时，你的知识会让你知道如何为病人提供最好的处理
自然、求生：你能分辨有毒的动植物
操作毒药：你的熟练项允许你安全地操作或使用毒药，而不会令你自身暴露在毒素环境中</t>
  </si>
  <si>
    <t>钢面镜</t>
  </si>
  <si>
    <t>盗贼工具</t>
  </si>
  <si>
    <t>熟练掌握这些工具可以了解陷阱和锁的基本知识
历史：你对陷阱的知识能让你在回答关于以陷阱出名的名胜的问题具有额外的洞察力
调查、察觉：你在搜索陷阱时具有额外的洞察力，因为你已熟知各类陷阱的外在迹象
设置陷阱：如同你可以解除陷阱一样，你也可以设置陷阱。你可以在短休中使用手头上的物品制造陷阱。你进行一次检定，检定的最终结果将作为他人发现或解除该陷阱的DC值。陷阱造成的伤害值取决于制造它所用的材料（例如毒药或武器），或等同于你检定结果的一半，这将由DM决定</t>
  </si>
  <si>
    <t>灯油（扁瓶）</t>
  </si>
  <si>
    <t>灯油通常装在一个1品脱大小的陶土扁瓶中。你可以用一个动作将扁瓶中的灯油泼溅到你身边5尺范围内的一个生物身上，或是将扁瓶投到至多20尺远的地方，并利用冲击打破它。两种情况都可以视为对一个生物或物件发动一次远程攻击，并将灯油视为一件临时武器。命中时，目标被灯油洒满全身。如果目标在灯油挥发前（1分钟后）受到任何火焰伤害，则目标因燃烧的灯油受到额外5点火焰伤害。你还可以将一扁瓶灯油泼在地面上，以覆盖一块边长5尺且保持水平的方形区域。点燃该区域后，灯油将持续燃烧2轮，并对任何进入该区域或在该区域结束其回合的生物造成5点火焰伤害。同一生物每回合只受该伤害作用一次</t>
  </si>
  <si>
    <t>载具（水运）</t>
  </si>
  <si>
    <t>载具熟练项提供了掌控对应载具的能力，以及修理、维护载具的知识
此外，具有水运载具熟练项的角色还具备了职业水手的专业知识，比如海洋与岛屿的信息、打水手结、预测天气和海况
奥秘：当你研究魔法载具时，载具熟练项有助于你想起有关传说或搞懂该载具的用法
调查、察觉：当你检查载具上的线索或隐藏信息时，你的载具熟练项有助于发现他人忽略的信息
载具掌控：当你驾驶载具时，可以将你的熟练加值加到该载具的AC值和豁免检定上</t>
  </si>
  <si>
    <t>长棍</t>
  </si>
  <si>
    <t>两用（1d8）</t>
  </si>
  <si>
    <t>该护甲主要由铆接着竖直金属窄条的皮革内里组成，其整体覆盖在布料衣物外，而关节部位则由灵活的链甲部件提供保护。</t>
  </si>
  <si>
    <t>纸（每张）</t>
  </si>
  <si>
    <t>载具（陆运）</t>
  </si>
  <si>
    <t>载具熟练项提供了掌控对应载具的能力，以及修理、维护载具的知识
奥秘：当你研究魔法载具时，载具熟练项有助于你想起有关传说或搞懂该载具的用法
调查、察觉：当你检查载具上的线索或隐藏信息时，你的载具熟练项有助于发现他人忽略的信息
载具掌控：当你驾驶载具时，可以将你的熟练加值加到该载具的AC值和豁免检定上</t>
  </si>
  <si>
    <t>羊皮纸（每张）</t>
  </si>
  <si>
    <t>香水（小瓶）</t>
  </si>
  <si>
    <t>板甲由覆盖全身，且相互连接的模铸金属板组成。一套板甲包括护手、重皮靴、一顶附面甲的头盔以及在护甲底层的厚重的布甲。其锁扣和皮带结构可以将护甲重量分配到身体各处。</t>
  </si>
  <si>
    <t>矿工镐</t>
  </si>
  <si>
    <t>岩钉</t>
  </si>
  <si>
    <t>镰刀</t>
  </si>
  <si>
    <t>基础毒药（小瓶）</t>
  </si>
  <si>
    <t>你可以用一个动作将小瓶中的毒药涂于一把挥砍或穿刺武器上，或者涂在至多三发弹药上。涂毒武器或弹药命中时，被命中生物必须进行一次DC10的体质豁免，豁免失败则受到1d4的毒素伤害。涂毒后，武器的毒性效果可以维持1分钟</t>
  </si>
  <si>
    <t>同调上限</t>
  </si>
  <si>
    <t>长杆（10尺）</t>
  </si>
  <si>
    <t>治疗药水</t>
  </si>
  <si>
    <t>一种红色的魔力药剂，可以使饮用者恢复2d4+2的生命值。喝药或者喂人喝药需要使用一个动作</t>
  </si>
  <si>
    <t>便携式攻城锤</t>
  </si>
  <si>
    <t>你可以使用一具便携式攻城锤破门。此时你破门的力量检定具有+4加值。如果另一名角色从旁协助，则你破门的力量检定因此而具有优势</t>
  </si>
  <si>
    <t>矛</t>
  </si>
  <si>
    <t>投掷（射程20/60），两用（1d8）</t>
  </si>
  <si>
    <t>口粮（1日份）</t>
  </si>
  <si>
    <t>适合长途旅行携带的高能量干粮，包括牛肉干、干果、饼干和坚果等</t>
  </si>
  <si>
    <t>麻绳（50尺）</t>
  </si>
  <si>
    <t>麻质的绳索，拥有2点生命值，且可以通过一次成功的DC17力量检定扯断</t>
  </si>
  <si>
    <r>
      <rPr>
        <sz val="11"/>
        <color rgb="FF000000"/>
        <rFont val="宋体"/>
        <family val="3"/>
        <charset val="134"/>
      </rPr>
      <t>丝绳（50尺）</t>
    </r>
  </si>
  <si>
    <t>丝质的绳索，拥有2点生命值，且可以通过一次成功的DC17力量检定扯断</t>
  </si>
  <si>
    <t>商用天平</t>
  </si>
  <si>
    <t>一架天平包括一个小的衡平、一对托盘和一套共重2磅的砝码。它可以用来称量小物件的精细重量，以便估价</t>
  </si>
  <si>
    <t>封蜡</t>
  </si>
  <si>
    <t>窃贼套组</t>
  </si>
  <si>
    <t>包括一个背包、一包1000粒的滚珠、10尺弦线、一个铃铛、五支蜡烛、一根撬棍、一把锤子、十支岩钉、一盏附盖提灯、两支扁瓶灯油、五天份口粮、一个火绒盒、和一个水袋。背包外还挂着50尺麻绳</t>
  </si>
  <si>
    <t>铲子</t>
  </si>
  <si>
    <t>大使套组</t>
  </si>
  <si>
    <t>包括一个箱子、两个地图或卷轴匣、一套高档服装、一瓶墨水、一支墨水笔、一盏油灯、两支扁瓶灯油、五张纸、一支小瓶香水、一块封蜡和一块肥皂</t>
  </si>
  <si>
    <t>信号笛</t>
  </si>
  <si>
    <t>地城套组</t>
  </si>
  <si>
    <t>包括一个背包、一根撬棍、一把锤子、十支岩钉、十支火把、一个火绒盒、十天份口粮和一只水袋。背包外还挂着50尺麻绳</t>
  </si>
  <si>
    <t>灵巧、投掷（射程60/∞）</t>
  </si>
  <si>
    <t>玺戒</t>
  </si>
  <si>
    <t>艺人套组</t>
  </si>
  <si>
    <t>包括一个背包、一卷铺盖、两套表演服装、五支蜡烛、五天份口粮、一个水袋和一套易容工具</t>
  </si>
  <si>
    <t>雷鸣</t>
  </si>
  <si>
    <t>肥皂</t>
  </si>
  <si>
    <t>探索套组</t>
  </si>
  <si>
    <t>包括一个背包、一卷铺盖、一套野炊工具、一个火绒盒、十支火把、十天份口粮和一个水袋。背包外还挂着50尺麻绳</t>
  </si>
  <si>
    <t>硬皮封面的法术书是法师们的必须品，为方便记录法术，其通常都留有100张羊皮纸空书页</t>
  </si>
  <si>
    <t>祭司套组</t>
  </si>
  <si>
    <t>包括一个背包、一条毯子、十支蜡烛、一个火绒盒、一个募捐盒、两块熏香、一个香炉、祭袍、两天份口粮和一只水袋</t>
  </si>
  <si>
    <t>简易远程</t>
  </si>
  <si>
    <t>轻弩</t>
  </si>
  <si>
    <t>弹药（射程80/320），装填，双手</t>
  </si>
  <si>
    <t>长铁钉（10根）</t>
  </si>
  <si>
    <t>学者套组</t>
  </si>
  <si>
    <t>包括一个背包、一本学科书、一瓶墨水，一只墨水笔，十张羊皮纸，一小袋沙和一把小刀</t>
  </si>
  <si>
    <t>望远镜</t>
  </si>
  <si>
    <t>从望远镜中观察到的物品能放大两倍</t>
  </si>
  <si>
    <t>双人帐篷</t>
  </si>
  <si>
    <t>一个简单轻便的双人帆布帐篷</t>
  </si>
  <si>
    <t>火绒盒</t>
  </si>
  <si>
    <t>一个小巧的盒子里装有燧石，铁片和火绒（通常是在轻油中浸过的干布），是一种常用的生火工具。使用火绒盒点燃一支火把（或其他燃料物质外露的物件）需要使用一个动作，而用来点燃其他物品则需要花费1分钟</t>
  </si>
  <si>
    <t>飞镖</t>
  </si>
  <si>
    <t>1D4</t>
  </si>
  <si>
    <t>灵巧，投掷（射程20/60）</t>
  </si>
  <si>
    <t>火把</t>
  </si>
  <si>
    <t>一支火把可以为其身边20尺半径范围提供明亮光照，以及其外20尺范围的微光光照。火把的照明效果可以持续1小时。你还可以使用一支燃烧的火把发动一次近战攻击，命中时，该攻击可以造成1点火焰伤害</t>
  </si>
  <si>
    <t>磨刀石</t>
  </si>
  <si>
    <t>箭（20）</t>
  </si>
  <si>
    <t>吹矢（50）</t>
  </si>
  <si>
    <t>短弓</t>
  </si>
  <si>
    <t>弹药（射程80/320），双手</t>
  </si>
  <si>
    <t>弩矢（20）</t>
  </si>
  <si>
    <t>投石索弹丸（20）</t>
  </si>
  <si>
    <t>子弹（10）</t>
  </si>
  <si>
    <t>水晶</t>
  </si>
  <si>
    <t>投石索</t>
  </si>
  <si>
    <t>弹药（射程30/120）</t>
  </si>
  <si>
    <t>法球</t>
  </si>
  <si>
    <t>权杖</t>
  </si>
  <si>
    <t>法杖</t>
  </si>
  <si>
    <t>魔杖</t>
  </si>
  <si>
    <t>（射程90/300）</t>
  </si>
  <si>
    <t>槲寄生枝条</t>
  </si>
  <si>
    <t>一枝槲寄生或冬青。德鲁伊能将这样的物品用作其施法的法器</t>
  </si>
  <si>
    <t>图腾</t>
  </si>
  <si>
    <t>一个包含神圣动物身上的羽毛、毛皮、骨头和牙齿组合成的图腾。德鲁伊能将这样的物品用作其施法的法器</t>
  </si>
  <si>
    <t>木质法杖</t>
  </si>
  <si>
    <t>一根从活树上折下的法杖。德鲁伊能将这样的物品用作其施法的法器</t>
  </si>
  <si>
    <t>军用近战</t>
  </si>
  <si>
    <t>战斧</t>
  </si>
  <si>
    <t>两用（1d10）</t>
  </si>
  <si>
    <t>紫杉魔杖</t>
  </si>
  <si>
    <t>一根用紫杉木或其它特殊木材制作的魔杖或节杖，。德鲁伊能将这样的物品用作其施法的法器</t>
  </si>
  <si>
    <t>护符</t>
  </si>
  <si>
    <t>一个描绘有代表一个神袛符号的护身符。使用时，施法者必须将其握在手中，戴在身上可见处，或者将其装在盾上使用</t>
  </si>
  <si>
    <t>徽章</t>
  </si>
  <si>
    <t>一个徽章被仔细地雕刻或镶嵌在一面盾牌上。使用时，施法者必须将其握在手中，戴在身上可见处，或者将其装在盾上使用</t>
  </si>
  <si>
    <t>圣物匣</t>
  </si>
  <si>
    <t>一个盛有一块神圣遗物碎片的小盒。使用时，施法者必须将其握在手中，戴在身上可见处，或者将其装在盾上使用</t>
  </si>
  <si>
    <t>链枷</t>
  </si>
  <si>
    <t>炸弹</t>
  </si>
  <si>
    <t>以一个动作，一名角色可以点燃炸弹，并将它扔到至多60尺远的一点。该点周边5尺范围内的每个生物都必须进行一次DC 12的敏捷豁免，豁免失败者将受到3d6的火焰伤</t>
  </si>
  <si>
    <t>火药，小桶</t>
  </si>
  <si>
    <t>给填满火药的容器点火引燃就会使其爆炸，对其周边10尺范围内的每个生物造成7d6伤害。一次成功通过DC 12敏捷豁免者伤害减半。点燃一盎司的火药会使它在1轮里闪耀出火花，向周围30尺半径范围散发明亮光照，以及其外30尺范围的昏暗光照</t>
  </si>
  <si>
    <t>火药，角瓶</t>
  </si>
  <si>
    <t>给填满火药的容器点火引燃就会使其爆炸，对其周边10尺范围内的每个生物造成3d6伤害。一次成功通过DC 12敏捷豁免者伤害减半。点燃一盎司的火药会使它在1轮里闪耀出火花，向周围30尺半径范围散发明亮光照，以及其外30尺范围的昏暗光照</t>
  </si>
  <si>
    <t>长柄刀</t>
  </si>
  <si>
    <t>1D10</t>
  </si>
  <si>
    <t>重型，触及，双手</t>
  </si>
  <si>
    <t>表演服装</t>
  </si>
  <si>
    <t>高档服装</t>
  </si>
  <si>
    <t>旅行者服装</t>
  </si>
  <si>
    <t>巨斧</t>
  </si>
  <si>
    <t>1D12</t>
  </si>
  <si>
    <t>重型，双手</t>
  </si>
  <si>
    <t>长袍</t>
  </si>
  <si>
    <t>弩矢匣</t>
  </si>
  <si>
    <t>一只木匣能装二十支弩矢</t>
  </si>
  <si>
    <t>地图或卷轴匣</t>
  </si>
  <si>
    <t>一个圆柱形皮匣能够装上十张卷起的纸或是五张卷起的羊皮纸</t>
  </si>
  <si>
    <t>巨剑</t>
  </si>
  <si>
    <t>2D6</t>
  </si>
  <si>
    <t>箭袋</t>
  </si>
  <si>
    <t>一只箭袋可以盛装20支箭</t>
  </si>
  <si>
    <t>炼金工具</t>
  </si>
  <si>
    <t>包括两只玻璃烧杯、一个铁架台、一根玻璃搅拌棒、一个小研钵和药杵，以及一袋常用炼金术材料，包括盐、铁粉、纯净水</t>
  </si>
  <si>
    <t>酿酒工具</t>
  </si>
  <si>
    <t>包括一个大玻璃罐、一些酵母、一根虹吸管，以及几尺长的管子</t>
  </si>
  <si>
    <t>戟</t>
  </si>
  <si>
    <t>书法工具</t>
  </si>
  <si>
    <t>包括墨水、一打羊皮纸，以及三支羽毛笔</t>
  </si>
  <si>
    <t>木匠工具</t>
  </si>
  <si>
    <t>包括一把锯子、一把锤子、一些钉子、一把短斧、一把角尺、一把直尺，一把扁斧，一具木工刨和一把凿子</t>
  </si>
  <si>
    <t>制图工具</t>
  </si>
  <si>
    <t>包括一支鹅毛笔、墨水、羊皮纸，一副圆规、卡尺，和一把直尺</t>
  </si>
  <si>
    <t>骑枪</t>
  </si>
  <si>
    <t>触及，特殊</t>
  </si>
  <si>
    <t>鞋匠工具</t>
  </si>
  <si>
    <t>包括一把锤子、一支锥子、一柄小刀、一个鞋架、一把切刀、备用皮革和线</t>
  </si>
  <si>
    <t>厨师工具</t>
  </si>
  <si>
    <t>包括一个金属锅、餐刀、餐叉、一柄搅拌勺，和一柄长柄勺</t>
  </si>
  <si>
    <t>玻璃匠工具</t>
  </si>
  <si>
    <t>包括一支吹管、一个小搓板、一些模具，和几把工钳。此外你还需要一个热源才能吹制玻璃</t>
  </si>
  <si>
    <t>长剑</t>
  </si>
  <si>
    <t>珠宝匠工具</t>
  </si>
  <si>
    <t>包括一把小锯、小锤、锉刀、钳子，和镊子</t>
  </si>
  <si>
    <t>皮匠工具</t>
  </si>
  <si>
    <t>包括一把小刀、一柄小木槌、一台磨边机、一个打孔器、一个纺锤，以及一些皮革碎料</t>
  </si>
  <si>
    <t>泥瓦匠工具</t>
  </si>
  <si>
    <t>包括泥刀、锤子、凿子、刷子、和角尺</t>
  </si>
  <si>
    <t>画家工具</t>
  </si>
  <si>
    <t>包括画架、画布、颜料、画笔、炭笔，还有调色板</t>
  </si>
  <si>
    <t>巨锤</t>
  </si>
  <si>
    <t>陶匠工具</t>
  </si>
  <si>
    <t>包括穿刺针、骨架刀、刮刀、小刀，以及卡尺</t>
  </si>
  <si>
    <t>铁匠工具</t>
  </si>
  <si>
    <t>包括锤子、钳子、木炭、破布和磨刀石</t>
  </si>
  <si>
    <t>修理工具</t>
  </si>
  <si>
    <t>包括各种手工用品、针线、磨刀石、一些零碎的布料和皮料，以及一小壶胶</t>
  </si>
  <si>
    <t>钉头锤</t>
  </si>
  <si>
    <t>织布工具</t>
  </si>
  <si>
    <t>包括针线和一些碎布。你知道怎么操作织布机，但这种设备太大了，你无法携带</t>
  </si>
  <si>
    <t>木雕工具</t>
  </si>
  <si>
    <t>包括是一把小刀、一把凿子，以及一把小锯子</t>
  </si>
  <si>
    <t>包括化妆品、染发剂、小道具，以及几套衣服</t>
  </si>
  <si>
    <t>包括几种不同类型的墨水、各种羊皮纸和普通纸、几支鹅毛笔、印章和封蜡、金银叶饰，以及伪造蜡封的小型雕刻工具</t>
  </si>
  <si>
    <t>长矛</t>
  </si>
  <si>
    <t>整副骰子</t>
  </si>
  <si>
    <t>包含进行对应赌博游戏的全套赌具</t>
  </si>
  <si>
    <t>整套龙棋</t>
  </si>
  <si>
    <t>整副纸牌</t>
  </si>
  <si>
    <t>刺剑</t>
  </si>
  <si>
    <t>灵巧</t>
  </si>
  <si>
    <t>整副三龙牌</t>
  </si>
  <si>
    <t>包括装药材的袋子、采集草药的剪钳和皮手套、研钵和药杵，以及几个玻璃瓶</t>
  </si>
  <si>
    <t>风笛</t>
  </si>
  <si>
    <t>鼓</t>
  </si>
  <si>
    <t>弯刀</t>
  </si>
  <si>
    <t>灵巧，轻型</t>
  </si>
  <si>
    <t>扬琴</t>
  </si>
  <si>
    <t>长笛</t>
  </si>
  <si>
    <t>鲁特琴</t>
  </si>
  <si>
    <t>里拉琴</t>
  </si>
  <si>
    <t>短剑</t>
  </si>
  <si>
    <t>角号</t>
  </si>
  <si>
    <t>排箫</t>
  </si>
  <si>
    <t>芦笛</t>
  </si>
  <si>
    <t>提琴</t>
  </si>
  <si>
    <t>三叉戟</t>
  </si>
  <si>
    <t>包括六分仪、罗盘、卡尺、直尺、羊皮纸、墨水和鹅毛笔</t>
  </si>
  <si>
    <t>包括玻璃瓶、研钵和杵、一些化学制剂，和一根玻璃搅拌棒</t>
  </si>
  <si>
    <t>包括一把小锉刀、一套开锁器、一面安装在金属柄上的小镜子、一把窄刃剪刀和一把镊子</t>
  </si>
  <si>
    <t>粗腰桶</t>
  </si>
  <si>
    <t>40加仑液体，4立方尺固体</t>
  </si>
  <si>
    <t>战镐</t>
  </si>
  <si>
    <t>玻璃瓶</t>
  </si>
  <si>
    <t>1.5品脱液体</t>
  </si>
  <si>
    <t>吊桶</t>
  </si>
  <si>
    <t>3加仑液体，0.5立方尺固体</t>
  </si>
  <si>
    <t>扁瓶或大杯</t>
  </si>
  <si>
    <t>1品脱液体</t>
  </si>
  <si>
    <t>壶或罐</t>
  </si>
  <si>
    <t>1加仑液体</t>
  </si>
  <si>
    <t>战锤</t>
  </si>
  <si>
    <t>铁壶</t>
  </si>
  <si>
    <t>小瓶</t>
  </si>
  <si>
    <t>4盎司液体</t>
  </si>
  <si>
    <t>水袋</t>
  </si>
  <si>
    <t>4品脱液体</t>
  </si>
  <si>
    <t>1立方尺／30磅物品</t>
  </si>
  <si>
    <t>鞭</t>
  </si>
  <si>
    <t>灵巧，触及</t>
  </si>
  <si>
    <t>篮子</t>
  </si>
  <si>
    <t>2立方尺／40磅物品</t>
  </si>
  <si>
    <t>箱子</t>
  </si>
  <si>
    <t>12立方尺／300磅物品</t>
  </si>
  <si>
    <t>0.2立方尺／6磅物品
一个布料或皮革制成的小包可以装20发弹丸或50发吹矢，或者其他东西。用来装施法材料成分的小包则成为材料包</t>
  </si>
  <si>
    <t>大袋子</t>
  </si>
  <si>
    <t>2D4</t>
  </si>
  <si>
    <t>双手,特殊</t>
  </si>
  <si>
    <t>军用远程</t>
  </si>
  <si>
    <t>吹箭筒</t>
  </si>
  <si>
    <t>弹药（射程25/100），装填</t>
  </si>
  <si>
    <t>手弩</t>
  </si>
  <si>
    <t>弹药（射程30/120），轻型，装填</t>
  </si>
  <si>
    <t>重弩</t>
  </si>
  <si>
    <t>弹药（射程100/400），重型，装填，双手</t>
  </si>
  <si>
    <t>长弓</t>
  </si>
  <si>
    <t>弹药（射程150/600），重型，双手</t>
  </si>
  <si>
    <t>捕网</t>
  </si>
  <si>
    <t>特殊，投掷（射程5/15）</t>
  </si>
  <si>
    <t>弹药（射程20/90），装填</t>
  </si>
  <si>
    <t>弹药（射程40/120），装填，双手</t>
  </si>
  <si>
    <t>动力手套</t>
  </si>
  <si>
    <t>投掷（射程20/60）</t>
  </si>
  <si>
    <t>（射程30）</t>
  </si>
  <si>
    <t>备选背景</t>
  </si>
  <si>
    <t>技能熟练</t>
  </si>
  <si>
    <t>工具熟练</t>
  </si>
  <si>
    <t>背景语言</t>
  </si>
  <si>
    <t>特性名称</t>
  </si>
  <si>
    <t>特性描述</t>
  </si>
  <si>
    <t>额外法术</t>
  </si>
  <si>
    <t>个性特点</t>
  </si>
  <si>
    <t>个人决定</t>
  </si>
  <si>
    <t>特殊选项名称</t>
  </si>
  <si>
    <t>特殊选项内容</t>
  </si>
  <si>
    <t>男</t>
  </si>
  <si>
    <t>守序善良</t>
  </si>
  <si>
    <t>通用语</t>
  </si>
  <si>
    <t>原因</t>
  </si>
  <si>
    <t>侍僧</t>
  </si>
  <si>
    <t>洞悉、宗教</t>
  </si>
  <si>
    <t>任选两门语言</t>
  </si>
  <si>
    <t>信仰庇护</t>
  </si>
  <si>
    <t>作为一名侍僧，你与同一信仰的同志互相尊重，并且可以随时主持相应神祇的神圣仪式。当你与冒险同伴遇到你所信仰神祇的神庙，圣坛或其他机构时，你们可能会得到免费的治疗和照料，但你必须为法术提供必须的材料成分。那些与同一信仰的同志会支持你（但仅限你）最基本的生活需求。
你可能还会与信仰相同的某神庙保持联系，并在该处留有一住宿地。这里可能是你曾服务过的神庙，而你仍与其团体关系良好；又或者可能是一座你在其中找到新归宿的神庙。靠近这座神庙时，你可以召来祭司提供帮助，而只要你所要求的协助风险不高，你就能一直与该神庙保持良好的关系。</t>
  </si>
  <si>
    <t>我崇拜某个英雄，并时刻以其事迹作为榜样。</t>
  </si>
  <si>
    <t>我能在最狂乱的敌人间寻找共鸣，然后感化他们一同为和平而努力。</t>
  </si>
  <si>
    <t>我在每个事件和行动中看到预兆。神试图对我们说话，我们只需要听即可。</t>
  </si>
  <si>
    <t>没有什么能动摇我的乐观态度。</t>
  </si>
  <si>
    <t>我任何情况下都喜欢引用（或错引）圣典和格言。</t>
  </si>
  <si>
    <t>我能容忍（或无法容忍）其它信仰并且尊重（或谴责）对其他神祇的崇拜。</t>
  </si>
  <si>
    <t>我喜爱美食、饮料以及同信仰神庙中的精英分子们的高层圈子。粗野的生活令我烦躁。</t>
  </si>
  <si>
    <t>我在神庙中生活的太久了，以至于我在与外面世界的人们打交道时缺乏实际经验。</t>
  </si>
  <si>
    <t>传统：古代崇拜与献祭的传统必须被保护并维持。</t>
  </si>
  <si>
    <t>仁爱：我总是试图帮助那些需要帮助的人，无论个人的花费如何。</t>
  </si>
  <si>
    <t>改变：我们必须协助引发神在世界中一直为之工作的改变。</t>
  </si>
  <si>
    <t>权力：我希望有一天能够升格到所信仰宗教中等级的最高点。</t>
  </si>
  <si>
    <t>信仰：我信任神祇能指引我的行为。我信奉如果自己努力工作，事情就会变得顺利。</t>
  </si>
  <si>
    <t>抱负：我将自己的行动与他或她的教导相较，求证明自己配得上吾主的喜爱。</t>
  </si>
  <si>
    <t>为了找回很久前丢失的与我信仰相关的一件古代遗物，我可以付出生命。</t>
  </si>
  <si>
    <t>终有一天我会对谴责我为异端的罪恶神庙组织复仇。</t>
  </si>
  <si>
    <t>我欠那位在我的双亲死亡时收养我的教士一条命。</t>
  </si>
  <si>
    <t>我做的每一件事情都是为了普罗大众。</t>
  </si>
  <si>
    <t>为了保卫我曾服务的神庙我可以做任何事情。</t>
  </si>
  <si>
    <t>我试图去保护一部神圣典籍，而我的敌人认为它是异端的并寻求摧毁它。</t>
  </si>
  <si>
    <t>我评价他人十分严苛，并且对自己更加苛刻。</t>
  </si>
  <si>
    <t>我过于信任那些在我神庙的阶级中控制权势的人。</t>
  </si>
  <si>
    <t>我的虔诚有时令我盲目信任那些声称与我信仰相同的人。</t>
  </si>
  <si>
    <t>我思想呆板僵化，不懂变通。</t>
  </si>
  <si>
    <t>我会怀疑陌生人并将他们想成最坏的情况。</t>
  </si>
  <si>
    <t>一旦我选择了一个目标，就会变得执迷于它以至于因此损害自己生命中的所有其它事物。</t>
  </si>
  <si>
    <t>我小时候从家里跑了出来，在神殿找到了庇护。</t>
  </si>
  <si>
    <t>我的家族无法或者不愿抚养我，把我交给了神殿。</t>
  </si>
  <si>
    <t>我整个家庭都有非常坚定的信仰，我自然而然地走上了侍奉一位或多位神明的道路。</t>
  </si>
  <si>
    <t>一场慷慨激昂的布道将信仰之音深深注入我的灵魂，使我侍奉于信仰。</t>
  </si>
  <si>
    <t>我追随一位童年玩伴/尊敬的知己或者其他我爱的人走上了侍奉信仰的道路。</t>
  </si>
  <si>
    <t>我遇到了一位真正的信徒，他使我深受鼓舞，我立刻加入了宗教团体。</t>
  </si>
  <si>
    <t>女</t>
  </si>
  <si>
    <t>中立善良</t>
  </si>
  <si>
    <t>矮人语</t>
  </si>
  <si>
    <t>骗子</t>
  </si>
  <si>
    <t>欺瞒、巧手</t>
  </si>
  <si>
    <t>易容工具、文书伪造工具</t>
  </si>
  <si>
    <t>假身份</t>
  </si>
  <si>
    <t>你可以伪装成另一个身份，还附带关于该身份的相关的人证物证，并且必须先乔装打扮来让你进入角色。此外，你还可以伪造含有官方格式和私人笔迹的文书，前提是你必须曾见过此类文件以及目标的笔迹以作范本。</t>
  </si>
  <si>
    <t>我容易招蜂引蝶，爱情生活是也不断的离离合合。</t>
  </si>
  <si>
    <t>我在什么情境下都会说笑，尤其在不合时宜时更是如此。</t>
  </si>
  <si>
    <t>我爱用逢迎的手段获取所求之物。</t>
  </si>
  <si>
    <t>我是天生的赌徒，一旦有回报的可能，我就会不顾风险。</t>
  </si>
  <si>
    <t>我什么时候都爱说点谎话，而不论是否有必要。</t>
  </si>
  <si>
    <t>讽刺和挖苦是我的首选武器。</t>
  </si>
  <si>
    <t>我身上挂着一排圣徽，随时随地都可以祈祷随便哪位神祇保佑。</t>
  </si>
  <si>
    <t>我会把任何可能有点价值的玩意儿都收集起来。</t>
  </si>
  <si>
    <t>自主：我的灵魂自由自在——没人能对我指手画脚。</t>
  </si>
  <si>
    <t>公平：我从不在那些穷得失不起钱的人身上捞钱。</t>
  </si>
  <si>
    <t>仁爱：我把赚来的钱分给真正需要的人。</t>
  </si>
  <si>
    <t>创新：我从不玩两次同样的把戏。</t>
  </si>
  <si>
    <t>友谊：钱财来去如流水，友情长存如青山。</t>
  </si>
  <si>
    <t>抱负：我决心走向成功。</t>
  </si>
  <si>
    <t>我敲诈错了人，所以必须确保那家伙不和我或者任何我在意的人再度打上交道。</t>
  </si>
  <si>
    <t>我的导师是个可能正在某个监牢里面烂着的糟糕人物，然而我欠他很多很多。</t>
  </si>
  <si>
    <t>我在某个地方有个未曾见过我的孩子。我正为他改变这个世界。</t>
  </si>
  <si>
    <t>我是贵族出身，我早晚一天会从剽窃我领地和头衔的人身上把一切都抢回来。</t>
  </si>
  <si>
    <t>一个大人物杀了我的爱人。要不了多久，我就会向他复仇。</t>
  </si>
  <si>
    <t>我毁了一个不该被骗的人。我试图弥补我的过失，但是可能永远不会原谅自己。</t>
  </si>
  <si>
    <t>我对漂亮脸蛋没有抵抗力。</t>
  </si>
  <si>
    <t>我总是欠债，并且把不义之财花在奢侈品上，还花得比赚得快。</t>
  </si>
  <si>
    <t>我确信没人能用我骗人的方式骗到我。</t>
  </si>
  <si>
    <t>我从不满足于现有的财产，而一旦涉及钱财我就会不畏风险。</t>
  </si>
  <si>
    <t>我会按捺不住冲动去欺骗远比自己强的人。</t>
  </si>
  <si>
    <t>尽管我难以启齿且痛恨不已，但是见势不妙我会转身就逃，并且只顾把自己藏好。</t>
  </si>
  <si>
    <t>我曾自生自灭，那些操纵他人的技巧让我幸存了下来。</t>
  </si>
  <si>
    <t>我很早就明白了人们既容易被骗，也容易盘剥。</t>
  </si>
  <si>
    <t>我总是陷入麻烦，但每次都可以凭着口才脱身。</t>
  </si>
  <si>
    <t>有人教导我学会了这门拿手好戏。</t>
  </si>
  <si>
    <t>一个骗子敲诈了我的家族，我立志要学会骗术伎俩以免悲剧重演。</t>
  </si>
  <si>
    <t>我曾经很穷或者害怕变得很穷，所以学习骗术以保证自己有钱可花。</t>
  </si>
  <si>
    <t>偏好骗局</t>
  </si>
  <si>
    <t>我在博弈游戏中作弊。</t>
  </si>
  <si>
    <t>我造假币或者伪造文件。</t>
  </si>
  <si>
    <t>我渗透进他人生活中，掌握其把柄，夺取他其财产。</t>
  </si>
  <si>
    <t>我像换衣服一样换身份。</t>
  </si>
  <si>
    <t>我在街角靠巧手耍把戏。</t>
  </si>
  <si>
    <t>我说服别人花一大笔辛苦钱买不值钱的垃圾。</t>
  </si>
  <si>
    <t>混乱善良</t>
  </si>
  <si>
    <t>精灵语</t>
  </si>
  <si>
    <t>罪犯</t>
  </si>
  <si>
    <t>欺瞒、隐匿</t>
  </si>
  <si>
    <t>一种赌具、盗贼工具</t>
  </si>
  <si>
    <t>罪犯接头人</t>
  </si>
  <si>
    <t>你有一个可靠可信的接头人，来帮你组织进罪犯们组成的联系网中。即使遥隔千里你也知道如何从接头人处收发信息。此外，你还知道哪些人能为你捎信，他们可能是本地的信使，可贿赂的商队主管，或是衣衫褴褛的水手。</t>
  </si>
  <si>
    <t>我总是计划好事情变糟时的应对方法。</t>
  </si>
  <si>
    <t>无论情形如何我总能保持冷静。我从不会忽然提高音调或是让情绪影响自己。</t>
  </si>
  <si>
    <t>我每到一个新地方做的第一件事就是记下每个有价值之物的位置——或是可能藏有类似东西的地点。</t>
  </si>
  <si>
    <t>比起制造一个新敌人，我宁可交一个新朋友。</t>
  </si>
  <si>
    <t>我极端的不易信任他人。表面上看上去越公正的人通常都藏着越多见不得光的事。</t>
  </si>
  <si>
    <t>我不会考虑某个情形中的风险。永远别跟我谈几率。</t>
  </si>
  <si>
    <t>令我做某件事的最好手段就是跟我说不能那样做。</t>
  </si>
  <si>
    <t>最轻微的侮辱也能把我气炸了。</t>
  </si>
  <si>
    <t>荣誉：我不会偷行家的东西。</t>
  </si>
  <si>
    <t>自由：枷锁的存在以及即是被打破，而那些铸造枷锁的人也该受同样对待。</t>
  </si>
  <si>
    <t>仁爱：我从富人处窃取财富然后帮助有需要的人。</t>
  </si>
  <si>
    <t>贪婪：为了致富我愿意做任何事。</t>
  </si>
  <si>
    <t>人民：我忠于我的朋友而非任何理想，此外的其他人就算下到冥河里也与我无关。</t>
  </si>
  <si>
    <t>救赎：人人心中有善念。</t>
  </si>
  <si>
    <t>我试图偿还一个慷慨的资助者的老债务。</t>
  </si>
  <si>
    <t>我的非法所得是为了支持我的家庭。</t>
  </si>
  <si>
    <t>我有一件重要的东西被夺走了，并且我想要把它偷回来。</t>
  </si>
  <si>
    <t>我会成为有史以来最伟大的盗贼。</t>
  </si>
  <si>
    <t>我因一桩严重罪行而内疚。并希望从中寻求自我救赎。</t>
  </si>
  <si>
    <t>我深爱的某人因我犯下的错误而死。而我决不会让这种事情再发生了。</t>
  </si>
  <si>
    <t>当我看到一些有价值的东西时，就会一心只想如何偷到它。</t>
  </si>
  <si>
    <t>在面对金钱与朋友间的抉择时，我通常都选择金钱。</t>
  </si>
  <si>
    <t>每当要记住某个计划时，我总会忘掉。就是无法忘掉，我也会选择性无视它。</t>
  </si>
  <si>
    <t>我撒谎时会故意作出某些习惯动作。</t>
  </si>
  <si>
    <t>当事情看起来似乎开始糟糕时，我会转身掉头就跑。</t>
  </si>
  <si>
    <t>一名无辜者因我犯下的某桩罪行而进了监狱。这事我觉得挺好</t>
  </si>
  <si>
    <t>我早年痛恨当局权威，并且认为当一个罪犯是对抗暴政和压迫的最好方式。</t>
  </si>
  <si>
    <t>我被迫走上犯罪的道路，这是我唯一能活下来的方法。</t>
  </si>
  <si>
    <t>我和一群无赖与废柴们混在一起，从他们那儿学到了我的罪犯专业。</t>
  </si>
  <si>
    <t>父亲/母亲或者某位亲戚教会了我这项罪犯专业，好让我加入家族的生意。</t>
  </si>
  <si>
    <t>我离开了家，在盗贼行会或者其他犯罪组织里找到了一席之地。</t>
  </si>
  <si>
    <t>我总是觉得无聊，所以转向犯罪来打发时间，并且发现我挺擅长干这个。</t>
  </si>
  <si>
    <t>作案手法</t>
  </si>
  <si>
    <t>敲诈犯</t>
  </si>
  <si>
    <t>盗窃犯</t>
  </si>
  <si>
    <t>斗殴犯</t>
  </si>
  <si>
    <t>销赃犯</t>
  </si>
  <si>
    <t>路匪</t>
  </si>
  <si>
    <t>职业杀手</t>
  </si>
  <si>
    <t>扒窃犯</t>
  </si>
  <si>
    <t>走私犯</t>
  </si>
  <si>
    <t>守序中立</t>
  </si>
  <si>
    <t>巨人语</t>
  </si>
  <si>
    <t>密探</t>
  </si>
  <si>
    <t>谍报活动</t>
  </si>
  <si>
    <t>皇家密探</t>
  </si>
  <si>
    <t>情报贩卖者</t>
  </si>
  <si>
    <t>绝对中立</t>
  </si>
  <si>
    <t>侏儒语</t>
  </si>
  <si>
    <t>祖先或导师的事迹为他们在传说中占据了一席之地，现在则轮到你上场了。先辈们留给你的著名遗产——图章戒指、特征鲜明的衣物、或引人注目的武器——证明着你是他们的后继者。
因此，每当你公开展示出这件物品，都能立刻感受到当地人对先辈的态度。
如果当地人没有听说过你的先辈，那什么都不会发生。但如果他们知道，关于你们之间关系的传言就会迅速扩散，紧接着他们就会开始将你视为英雄或者威胁。如果他们觉得你是前者，就会非常欢迎你的到来，当地的领导者也乐于接见你，反之则会被劝告在引起麻烦之前离开。</t>
  </si>
  <si>
    <t>艺人</t>
  </si>
  <si>
    <t>体操、表演</t>
  </si>
  <si>
    <t>易容工具、一种乐器</t>
  </si>
  <si>
    <t>人见人爱</t>
  </si>
  <si>
    <t>你总是能找到表演场地，通常是某个斗剑场，或是黑拳俱乐部，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t>
  </si>
  <si>
    <t>我知道一个几乎适合所有情况的故事。</t>
  </si>
  <si>
    <t>我到一个新地方后就会着手收集当地的流言和小道消息。</t>
  </si>
  <si>
    <t>我是无可救药的浪漫病，总是在找“有缘人”。</t>
  </si>
  <si>
    <t>我周围的人都不会生气太久，因为我总能缓和紧张的气氛。</t>
  </si>
  <si>
    <t>我喜欢精妙的讽刺，即使那是对我的讽刺也一样。</t>
  </si>
  <si>
    <t>我一旦不能成为众人焦点就会很难受。</t>
  </si>
  <si>
    <t>我是完美主义者。</t>
  </si>
  <si>
    <t>我的情绪和思想变得和弹琴轮指一样快。</t>
  </si>
  <si>
    <t>美好：我表演时的世界会显得更美好。</t>
  </si>
  <si>
    <t>传统：过去的故事、史诗以及歌谣塑造了我们，因而他们不该被遗忘。</t>
  </si>
  <si>
    <t>创新：世界需要崭新的创意和大胆的行动。</t>
  </si>
  <si>
    <t>贪婪：我只是为名为利罢了。</t>
  </si>
  <si>
    <t>人民：我喜欢表演时人们脸上的笑容。那就是我想要的。</t>
  </si>
  <si>
    <t>正直：艺术展现灵魂。它应当发自内心，揭露本我。</t>
  </si>
  <si>
    <t>我的乐器是我最宝贵的财富，它纪念着某个我所爱之人。</t>
  </si>
  <si>
    <t>有人偷走了我珍爱的乐器，而我一定要夺回来。</t>
  </si>
  <si>
    <t>我要不惜一切代价让自己出名。</t>
  </si>
  <si>
    <t>我崇拜古老传奇中的某位英雄，并时时以他作榜样。</t>
  </si>
  <si>
    <t>只要能证明我比那个可恨的对手强，我愿意做任何事情。</t>
  </si>
  <si>
    <t>我可以为老剧团的同伴做任何事。</t>
  </si>
  <si>
    <t>我会不择手段的去获取声誉和名望。</t>
  </si>
  <si>
    <t>我对漂亮脸蛋非常着迷。</t>
  </si>
  <si>
    <t>某个丑闻让我背井离乡。而这麻烦依然如影随形。</t>
  </si>
  <si>
    <t>我曾经讽刺过一个贵族，现在他仍然想要我的脑袋。而这错误我可能还会再犯。</t>
  </si>
  <si>
    <t>我总是忍不住道出自己的真实感受。而我的刻薄言辞也经常带给我麻烦。</t>
  </si>
  <si>
    <t>就算我尽了全力，我的朋友们还是认为我靠不住。</t>
  </si>
  <si>
    <t>我的家族就靠表演这一行糊口，我顺理成章地选择了相同的行当。</t>
  </si>
  <si>
    <t>我总是能敏锐地洞悉他人，所以可以用歌曲或故事让他们或大笑或者痛哭。</t>
  </si>
  <si>
    <t>我离家出走追随一个艺人剧团。</t>
  </si>
  <si>
    <t>我曾经看过一次吟游诗人演出，在那一刹那我就明白，我生来就是做这个的。</t>
  </si>
  <si>
    <t>我在街角演出赚取硬币，最终打拼出了自己的名声。</t>
  </si>
  <si>
    <t>一位旅行艺人收留了我，教会了我这门营生。</t>
  </si>
  <si>
    <t>演艺方向</t>
  </si>
  <si>
    <t>演员</t>
  </si>
  <si>
    <t>舞者</t>
  </si>
  <si>
    <t>吞火艺人</t>
  </si>
  <si>
    <t>小丑</t>
  </si>
  <si>
    <t>魔术师</t>
  </si>
  <si>
    <t>乐师</t>
  </si>
  <si>
    <t>诗人</t>
  </si>
  <si>
    <t>歌手</t>
  </si>
  <si>
    <t>说书人</t>
  </si>
  <si>
    <t>杂技演员</t>
  </si>
  <si>
    <t>混乱中立</t>
  </si>
  <si>
    <t>地精语</t>
  </si>
  <si>
    <t>迷雾在你耳畔低语，指引你穿过它们神秘的漩涡。你不但只需通过触碰就能马上辨别出迷雾护符（详见第3章），而且如果你曾经去过护符的发源地还能立刻意识到它产自那里。</t>
  </si>
  <si>
    <t>角斗士</t>
  </si>
  <si>
    <t>易容工具、三叉戟或捕网</t>
  </si>
  <si>
    <t>守序邪恶</t>
  </si>
  <si>
    <t>半身人语</t>
  </si>
  <si>
    <t>在一次宿命般的经历之后，你相信自己和精魂联系在了一起，可以作为他们的洞察世界和实现目标的媒介。你在进行任何关于回忆和调查精魂与往生相关的神秘或宗教鉴定中具有优势。
此外，你在开始冒险时可以定制一个用来与超凡力量沟通的装置：例如灵乩板、塔罗卡、笔仙、地灵尺、茶叶、或是你自己设计的其他占卜道具。你在使用这类占卜工具进行属性鉴定时获得熟练加值。</t>
  </si>
  <si>
    <t>平民英雄</t>
  </si>
  <si>
    <t>驯兽、求生</t>
  </si>
  <si>
    <t>一种工匠工具，载具（陆运）</t>
  </si>
  <si>
    <t>好客乡民</t>
  </si>
  <si>
    <t>你因来自平民阶层而在乡民群众中倍感舒适。除非乡民们已经认为你会带来危险，否则你总能在普通人群中找到一个地方以供躲藏，休息或复原。他们能够掩护你逃脱法办，或者逃离追杀你的人，只是他们并不会为你而牺牲自己的性命</t>
  </si>
  <si>
    <t>我以人的行为而非言辞对其做判断。</t>
  </si>
  <si>
    <t>我总是会去帮助遇到麻烦的人。</t>
  </si>
  <si>
    <t>我在专注于某件事时，会排除一切障碍坚持到底。</t>
  </si>
  <si>
    <t>我对公平有着强烈的执着，并且总是试图为争端寻找最公正的解决方案。</t>
  </si>
  <si>
    <t>我信任自己的能力，并且会做任何力所能及的事以获得他人的信任。</t>
  </si>
  <si>
    <t>其他人负责思考。我只负责行动。</t>
  </si>
  <si>
    <t>我会错用长单词以试图显得更聪明些。</t>
  </si>
  <si>
    <t>我时常感到厌烦。我的天命之旅什么时候才有进展呢？</t>
  </si>
  <si>
    <t>尊敬：民众应该受到体面而尊敬的对待。</t>
  </si>
  <si>
    <t>公平：没人可以在法律中得到优待，并且没人能凌驾于法律之上。</t>
  </si>
  <si>
    <t>自由：压迫人民的暴君绝不能被容忍。</t>
  </si>
  <si>
    <t>力量：如果我变得强大，我就可以理所当然的随心所欲。</t>
  </si>
  <si>
    <t>诚实：假装自己是另一种人不会有什么好处。</t>
  </si>
  <si>
    <t>命运：任何人或事情都无法让我偏离我那崇高的感召。</t>
  </si>
  <si>
    <t>我有一个家庭，但我现在不知道他们身处何处。我希望终有一日能够再次见到他们。</t>
  </si>
  <si>
    <t>我劳作于这片土地，我热爱这片土地，而且我将保卫这片土地。</t>
  </si>
  <si>
    <t>一名傲慢的贵族曾经死命痛打了我一顿，故而我将报复任何我遇到的恃强凌弱者。</t>
  </si>
  <si>
    <t>我的工具是我以往生活的符号，因而我随身携带着它们以便永远记住我的根。</t>
  </si>
  <si>
    <t>我保护那些无力自我保护的人。</t>
  </si>
  <si>
    <t>我希望我的青梅竹马能伴着我一起追寻我的命运。</t>
  </si>
  <si>
    <t>统治我故乡的暴君会一直追杀我。</t>
  </si>
  <si>
    <t>我深信命运的征兆，以至于看不清自己的不足或是失败的可能性。</t>
  </si>
  <si>
    <t>自幼认识我的人知道我羞耻的秘密，所以我再也不能回家了。</t>
  </si>
  <si>
    <t>我对一些城里的恶习没有抵抗力，尤其是酗酒。</t>
  </si>
  <si>
    <t>我暗地里会觉得，如果我是那个统领这片土地的暴君所有事情肯定会更好。</t>
  </si>
  <si>
    <t>我难以信任我的盟友。</t>
  </si>
  <si>
    <t>家人教会了我什么是对什么是错。</t>
  </si>
  <si>
    <t>我总是倾心于英雄传说，渴望成为不平凡的人物。</t>
  </si>
  <si>
    <t>我讨厌自己平凡乏味的生活，所以当需要有人挺身而出做正确的事时，我把握住了这个机会。</t>
  </si>
  <si>
    <t>我的父亲/母亲或者某位亲人曾是一名冒险者，他的勇气鼓舞了我。</t>
  </si>
  <si>
    <t>有一位疯疯癫癫的老隐者在我出生时曾预言我会完成伟业。</t>
  </si>
  <si>
    <t>我总是会维护那些比我弱的人。</t>
  </si>
  <si>
    <t>命定事件</t>
  </si>
  <si>
    <t>我挺身而出反抗某位暴君的代理人。</t>
  </si>
  <si>
    <t>我在一起自然灾害中救了人。</t>
  </si>
  <si>
    <t>我独自一人对抗一只可怕的怪物。</t>
  </si>
  <si>
    <t>我偷窃了一名腐败商人的钱财再用来帮助穷人。</t>
  </si>
  <si>
    <t>我领导一支民兵击退了一支入侵的军队。</t>
  </si>
  <si>
    <t>我闯进某位暴君的城堡，并从中偷取武器武装民众。</t>
  </si>
  <si>
    <t>我训练农民们以农具作武器抵抗某位暴君的士兵们。</t>
  </si>
  <si>
    <t>为反对一项不公法令，我发起了一场象征性的抗议活动，随后当地领主就将其废止了。</t>
  </si>
  <si>
    <t>一只天界生物，精类生物或是类似的其他生物赐我予祝福，或是揭示了我的秘密血统。</t>
  </si>
  <si>
    <t>我被招募进一位领主的军队，期间我因自己的英雄气概而受到称赞，并被提升为领导者。</t>
  </si>
  <si>
    <t>中立邪恶</t>
  </si>
  <si>
    <t>兽人语</t>
  </si>
  <si>
    <t>不管当初是怎样的灾难，总之你挺过来了，你还从中总结出了能帮助别人也熬过去本领。无论面对严重的暴力、病痛、亦或是其他情况，你都是人们心目中对付灾难的专家。你了解非魔法的恢复手段、大自然中的资源、以及误导的信息。你知道如何有效的与善良的医生、神职人员、当地领导者们沟通，并说服他们资助一个人（除了你自己）在最长一个月内享有朴素的生活方式。</t>
  </si>
  <si>
    <t>公会工匠</t>
  </si>
  <si>
    <t>洞悉、游说</t>
  </si>
  <si>
    <t>一种工匠工具</t>
  </si>
  <si>
    <t>任选一门语言</t>
  </si>
  <si>
    <t>公会成员</t>
  </si>
  <si>
    <t>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
公会常常掌握着庞大的政治资源。当你被指控某项罪名时，公会可以为你提供全面的支持，前提是你必须为自己的清白做出举证，或是你的罪名必须仍可接受辩护。倘若你身处公会高层，甚至可以藉由公会获取有力的政治地位。而这些人脉资源都需要你为公会捐赠金钱或魔法物品来维持。
你每个月必须上交5gp作为会费。若你因故未缴这笔费用，则必须在补齐后才能重获公会的青睐。</t>
  </si>
  <si>
    <t>我确信能做的事就要做到最好。而我必须要做到最好——我是完美主义者。</t>
  </si>
  <si>
    <t>我瞧不起那些不懂审美的家伙。</t>
  </si>
  <si>
    <t>我总是想搞清楚事物如何运作，人们为何奔波。</t>
  </si>
  <si>
    <t>我有一肚子格言警句，总是能恰到好处地掉书袋。</t>
  </si>
  <si>
    <t>我对那些不像我那样努力工作、公平竞争的人并不会以礼相待。</t>
  </si>
  <si>
    <t>我喜欢对我的行当高谈阔论。</t>
  </si>
  <si>
    <t>我不会轻易花钱，砍价也总是砍到最低。</t>
  </si>
  <si>
    <t>我在我这行鼎鼎有名，而我要确保所有人都认同这点。如果人们没听说过我，就会让我大吃一惊。</t>
  </si>
  <si>
    <t>团结：加强集体团结，保卫社区安全，是文明人应尽的义务。</t>
  </si>
  <si>
    <t>慷慨：既然我有天赋，我就要造福世界。</t>
  </si>
  <si>
    <t>自由：任何人都有选择营生方式的自由。</t>
  </si>
  <si>
    <t>贪婪：我干这行就只为钱。</t>
  </si>
  <si>
    <t>人民：我为我在乎的人奋斗，而不是为了什么理想。</t>
  </si>
  <si>
    <t>抱负：我努力钻研是为了成为本行中的翘楚。</t>
  </si>
  <si>
    <t>我学习技艺的厂房对我来说是世界上最重要的地方。</t>
  </si>
  <si>
    <t>我为某人造出了一件绝世珍品，却发现对方根本配不上它。而我仍在找配得上它的人。</t>
  </si>
  <si>
    <t>公会造就了今天的我，因此我仍欠公会良多。</t>
  </si>
  <si>
    <t>我为了向某人求爱而攒钱。</t>
  </si>
  <si>
    <t>终有一天，我会回到公会，然后证明我是其中最厉害的工匠。</t>
  </si>
  <si>
    <t>我要向那个破坏我工坊，毁掉我生活的邪恶势力复仇。</t>
  </si>
  <si>
    <t>我会为了获得某些珍贵无价之物做任何事。</t>
  </si>
  <si>
    <t>我常常很急躁地认定某人正在骗我。</t>
  </si>
  <si>
    <t>应当没人知道我曾经从公会金库里偷过钱。</t>
  </si>
  <si>
    <t>我从未知足于自己所有之物，而总是欲壑难填。</t>
  </si>
  <si>
    <t>我极度渴望贵族头衔。</t>
  </si>
  <si>
    <t>我妒忌任何手艺胜我一筹的人。而我无论走到哪里却都是对手环绕。</t>
  </si>
  <si>
    <t xml:space="preserve">我曾是一位大师的学徒，他教导了我行会生意。 </t>
  </si>
  <si>
    <t>我曾帮一名行会工匠保守秘密或者完成某个任务，作为回报，他收我为徒。</t>
  </si>
  <si>
    <t>我家族里有一个人是行会成员，他为我谋了个位置。</t>
  </si>
  <si>
    <t>我的手艺很好，所以抓住机会学了一门生意。</t>
  </si>
  <si>
    <t>我想要离家独立，开始新的人生。</t>
  </si>
  <si>
    <t>我从一个导师那里学了些基础，但需要加入行会才能完成所有的训练。</t>
  </si>
  <si>
    <t>公会行当</t>
  </si>
  <si>
    <t>炼金师、药剂师</t>
  </si>
  <si>
    <t>盔甲工匠、锁匠、镀金师</t>
  </si>
  <si>
    <t>酿酒师、蒸馏师、葡萄酒商</t>
  </si>
  <si>
    <t>抄写员、书记员、公证人</t>
  </si>
  <si>
    <t>木匠、盖顶匠、泥水匠</t>
  </si>
  <si>
    <t>绘图员、测量员、制表员</t>
  </si>
  <si>
    <t>补鞋匠、制鞋匠</t>
  </si>
  <si>
    <t>厨师、烘焙师</t>
  </si>
  <si>
    <t>玻璃吹制师、玻璃装配师</t>
  </si>
  <si>
    <t>珠宝匠、宝石切割师</t>
  </si>
  <si>
    <t>皮匠、剥皮师、制革师</t>
  </si>
  <si>
    <t>泥瓦匠、石匠</t>
  </si>
  <si>
    <t>漆匠、画师、纹章师</t>
  </si>
  <si>
    <t>陶工、瓦匠</t>
  </si>
  <si>
    <t>船木工、修帆匠</t>
  </si>
  <si>
    <t>铁匠、冶炼匠</t>
  </si>
  <si>
    <t>修补匠、锡匠、铸造师</t>
  </si>
  <si>
    <t>车厢工匠、轮匠</t>
  </si>
  <si>
    <t>织布师、染布师</t>
  </si>
  <si>
    <t>木雕师、桶匠、弓匠</t>
  </si>
  <si>
    <t>混乱邪恶</t>
  </si>
  <si>
    <t>深渊语</t>
  </si>
  <si>
    <t>你来自其他人无法理解的异乡，也许你住在迷雾之地的一个独特角落或者干脆在另一个世界，总之，同在异乡的经历将你和其他旅行者的关系轻松拉近了，只要你不表现得像个危险人物，善良的贸易车队、流动家庭、或是被放逐者都愿意为你提供能够藏身休息或是养伤的地方。他们愿意为你在法律或追踪者面前打个掩护，但并不会为你冒生命危险。
另外你还能几乎百分百准确地判断出你摸到或者看到的东西是不是来自你的家乡。</t>
  </si>
  <si>
    <t>公会商人</t>
  </si>
  <si>
    <t>领航工具（或自选一门语言）</t>
  </si>
  <si>
    <t>无阵营</t>
  </si>
  <si>
    <t>天界语</t>
  </si>
  <si>
    <t>隐士</t>
  </si>
  <si>
    <t>医药、宗教</t>
  </si>
  <si>
    <t>研究发现</t>
  </si>
  <si>
    <t>你寂寥的长期隐居令你发现了某些独特而强大的秘密。这项发现的具体内容与你的隐居的理由密切相关。你或许是找到了与宇宙真相，神祇本质，异界大能或是自然之力等相关的伟大真理。你也可能是发现了某处任何人都未曾发现的地点。你可能揭露了久被遗忘的真相，或是发掘出了久远史前的遗物。或者，你也可能是发现了那些一手导致你流放的家伙们相关的情报，而那也就是你重返凡世的契机。</t>
  </si>
  <si>
    <t>由于在隐居生活中鲜少说话，现在的我更偏好用肢体语言交流，或者偶尔咕哝几声。</t>
  </si>
  <si>
    <t>即使泰山崩于眼前，我依然心如止水。</t>
  </si>
  <si>
    <t>修会的主持无论何时都能说出至理哲言，而我也想分享得此等睿智。</t>
  </si>
  <si>
    <t>我对受难者抱有强烈的同情心。</t>
  </si>
  <si>
    <t>我对于礼仪和社会常识一无所知。</t>
  </si>
  <si>
    <t>我将周遭发生的一切视作冥冥天意的一部分。</t>
  </si>
  <si>
    <t>我时常陷入自我冥思中无法自拔，丝毫不顾周围的事物。</t>
  </si>
  <si>
    <t>我正致力完成一套哲学理论，且乐于与人分享其理念。</t>
  </si>
  <si>
    <t>大义：我的天赋注定要为所有人谋利，而非为一己之私。</t>
  </si>
  <si>
    <t>逻辑：绝对不能让情绪干扰我们对正确、真实和理智的思考。</t>
  </si>
  <si>
    <t>解放思想：探究精神和好奇心是学术进步的支柱。</t>
  </si>
  <si>
    <t>力量：清修和冥想是通往神秘力量或魔法之力的道途。</t>
  </si>
  <si>
    <t>自持自重：胡乱插手他人事务只会造成麻烦。</t>
  </si>
  <si>
    <t>自知：如果你能自知，那么就无所不知。</t>
  </si>
  <si>
    <t>任何事物不比我的修行同伴、修行戒律或修会本身那么重要。</t>
  </si>
  <si>
    <t>我隐居是为了躲避那些仍在搜捕我的人。而我早晚必须直接面对他们。</t>
  </si>
  <si>
    <t>我一直在隐居生活中寻找启迪，然而至今仍然一无所获。</t>
  </si>
  <si>
    <t>我隐居是因为无法得到所爱之人。</t>
  </si>
  <si>
    <t>倘若我的发现公诸于众，世界必将天翻地覆。</t>
  </si>
  <si>
    <t>我的苦修向我揭示了只有我能摧毁的可怖邪恶。</t>
  </si>
  <si>
    <t>我现在重返文明世界，却有点过度沉溺于享乐。</t>
  </si>
  <si>
    <t>我怀有即使是苦修和冥想也无法抹消的阴暗、嗜血之心。</t>
  </si>
  <si>
    <t>我的想法和哲学观非常死板。</t>
  </si>
  <si>
    <t>我对争论的求胜之心胜过了友谊与和睦之心。</t>
  </si>
  <si>
    <t>我为了追求失落的知识而不顾任何风险。</t>
  </si>
  <si>
    <t>我喜欢对一切保密，不爱与他人分享所知。</t>
  </si>
  <si>
    <t>我的敌人毁了我的名誉，我逃到荒野里来躲避进一步的中伤。</t>
  </si>
  <si>
    <t>我寻求内在的平和，独处的时候十分舒适。</t>
  </si>
  <si>
    <t>我从没有喜欢过那些我称之为朋友的人，所以我一个人出来单干也挺好。</t>
  </si>
  <si>
    <t>虽然极不情愿，但我不得不抛弃自己的过去，有我会对这个决定感到后悔。</t>
  </si>
  <si>
    <t>我失去了一切——家、亲人、朋友——只能够孤身一人活下去了。</t>
  </si>
  <si>
    <t>社会让我恶心、使我堕落，我抛弃了社会。</t>
  </si>
  <si>
    <t>隐居生活</t>
  </si>
  <si>
    <t>我正在寻求灵魂的启迪。</t>
  </si>
  <si>
    <t>我遵守修会教规，参与集体清修。</t>
  </si>
  <si>
    <t>我因不白之冤而被流放。</t>
  </si>
  <si>
    <t>某件事情改变我人生的大事使我弃世而去。</t>
  </si>
  <si>
    <t>我为了能潜心于艺术、文字或音乐而去寻找一处僻静之地。</t>
  </si>
  <si>
    <t>我要与自然沟通而远离文明世界。</t>
  </si>
  <si>
    <t>我是一座古代遗迹或一件古代遗物的看守人。</t>
  </si>
  <si>
    <t>我是一名追寻圣人，圣地或圣遗物的朝圣者。</t>
  </si>
  <si>
    <t>备选特性</t>
  </si>
  <si>
    <t>龙语</t>
  </si>
  <si>
    <t>贵族</t>
  </si>
  <si>
    <t>历史、游说</t>
  </si>
  <si>
    <t>一种赌具</t>
  </si>
  <si>
    <t>特权地位</t>
  </si>
  <si>
    <t>由于你的贵族血统，人们总是会予你优待。高等社会愿意接纳你，人们认同你有权去任何你想去的地方。平民们会尽力满足你的要求，避免你产生任何不快，而那些同样出身高贵的人则会视你为同一个社会圈子的人。你还可以在必要时前去拜会任何当地的贵族。</t>
  </si>
  <si>
    <t>我的阿谀奉承能让其他人觉得自己举世无双。</t>
  </si>
  <si>
    <t>平民们因我的仁慈和慷慨而喜爱我。</t>
  </si>
  <si>
    <t>众所周知只要看一眼我威严的仪态，就能明白我和下层民众截然不同。</t>
  </si>
  <si>
    <t>我为了时尚和美貌忍受了很大痛苦。</t>
  </si>
  <si>
    <t>我不喜欢干脏活，更不会因不舒适的食宿勉强自己。</t>
  </si>
  <si>
    <t>我拥有贵族的血统，但并不认为自己比平民百姓更高贵。我们流的血是相同的。</t>
  </si>
  <si>
    <t>一旦辜负我的期待，就将永远失去我的青睐。</t>
  </si>
  <si>
    <t>我一受到伤害就要碾碎对方，乃至辱其名声毁其土地。</t>
  </si>
  <si>
    <t>尊重：人们尊敬我是因为我的地位，但任何人无论地位高低，都应该被体面地对待。</t>
  </si>
  <si>
    <t>责任：我将服从上级视为责任，正如我的下属也必须要服从我一样。</t>
  </si>
  <si>
    <t>独立：我必须证明自己即使不借助家族的力量也仍可以自食其力。</t>
  </si>
  <si>
    <t>权力：只要我掌握了更大的权力，就没人能对我指手画脚了。</t>
  </si>
  <si>
    <t>家族：血浓于水。</t>
  </si>
  <si>
    <t>贵族义务：保护依附我的人们，是我的责任。</t>
  </si>
  <si>
    <t>为了获得家族的认可，我可以面对任何挑战。</t>
  </si>
  <si>
    <t>我必须不惜代价的维持住两个家族之间的联姻关系。</t>
  </si>
  <si>
    <t>任何事物都不如家族血亲更重要。</t>
  </si>
  <si>
    <t>我爱上了家族所不齿的另一个家族的子嗣。</t>
  </si>
  <si>
    <t>我对主君的忠诚固若泰山。</t>
  </si>
  <si>
    <t>平民们将我视作人民的英雄。</t>
  </si>
  <si>
    <t>我暗自认为自己比所有人都高贵。</t>
  </si>
  <si>
    <t>我努力遮掩一个会永远摧毁家族的可耻秘密。</t>
  </si>
  <si>
    <t>我总会听到针对我的隐晦侮辱与威胁，且轻易就会因此而发怒。</t>
  </si>
  <si>
    <t>我总是放纵自己的肉体欲望。</t>
  </si>
  <si>
    <t>事实上，世界就是围着我转的。</t>
  </si>
  <si>
    <t>我的言行总会为家族带来耻辱。</t>
  </si>
  <si>
    <t>我来自一个古老而显赫的家族，我必须要对得起家族的名誉。</t>
  </si>
  <si>
    <t>我的家族已经蒙羞，我打算挽回它的名誉。</t>
  </si>
  <si>
    <t>我的家族刚刚获得贵族头衔，这项拔擢把我们陡然推进了一个全新而奇异的世界。</t>
  </si>
  <si>
    <t>我的家族空有贵族头衔，祖上从没出过一个有名望的人。</t>
  </si>
  <si>
    <t>我的家族里人才济济，我希望自己不辜负这些榜样。</t>
  </si>
  <si>
    <t>我希望增加我家族的权利和影响力。</t>
  </si>
  <si>
    <t>深潜语</t>
  </si>
  <si>
    <t>骑士</t>
  </si>
  <si>
    <t>家仆</t>
  </si>
  <si>
    <t>你将获得三名忠于你所在家族的家仆。这些家仆可以担任随从或者信使的工作，而其中一位还可以是一名管家。你的家仆都是平民，可以为你完成一些俗务工作，不过无法为你战斗，且不能跟随你进入明显危险的地域（比如地下城），而你一旦经常对其施虐或威胁，他们也会离你而去。</t>
  </si>
  <si>
    <t>炼狱语</t>
  </si>
  <si>
    <t>化外之民</t>
  </si>
  <si>
    <t>运动、求生</t>
  </si>
  <si>
    <t>一种乐器</t>
  </si>
  <si>
    <t>漂泊者</t>
  </si>
  <si>
    <t>你对记忆地图和地形时能力惊人，且你总能回想起地形、定居点或者其他环境特征的大致布局。此外，你每天可以为自己以及至多五名队友获取食物和饮水，前提是你们身处的土地可以提供浆果、小野兽、水源等资源。</t>
  </si>
  <si>
    <t>我因旅行欲望的驱使而背井离乡。</t>
  </si>
  <si>
    <t>我像照顾新生儿般照顾同伴。</t>
  </si>
  <si>
    <t>我曾马不停蹄地跑了二十五里以警告氏族有兽人来袭。如果有必要，我还会这么干。</t>
  </si>
  <si>
    <t>我善于观察自然，并从中获得应对任何境况的经验。</t>
  </si>
  <si>
    <t>财富和礼貌无法帮你对抗一头饥饿枭熊，而我对看重这些东西的家伙不屑一顾。</t>
  </si>
  <si>
    <t>我习惯偶尔从地上捡起些东西再漫不经心地摆弄，有的时候还会弄坏它们。</t>
  </si>
  <si>
    <t>相对于与人相处，和动物在一起会让我更自在。</t>
  </si>
  <si>
    <t>我实际上是个由狼养大的孩子。</t>
  </si>
  <si>
    <t>改变：生活如四季流转，变化不止，而我们必须与之一道改变。</t>
  </si>
  <si>
    <t>大义：部族整体的幸福，是每个成员的义务。</t>
  </si>
  <si>
    <t>荣誉：我若玷污荣誉，便是给整个氏族蒙羞。</t>
  </si>
  <si>
    <t>力量：最强者即是规矩本身。</t>
  </si>
  <si>
    <t>自然：大自然比任何文明造物都重要。</t>
  </si>
  <si>
    <t>光荣：我必须在战斗中赢得荣耀，既为自己也为氏族。</t>
  </si>
  <si>
    <t>即使与其异地相隔，我的家族，氏族或部族是我生命中最重要的事物。</t>
  </si>
  <si>
    <t>破坏家园的原始风貌即是对我的伤害。</t>
  </si>
  <si>
    <t>我会让那些摧毁我家乡的恶徒见识什么叫狂怒。</t>
  </si>
  <si>
    <t>我是部族最后的遗孤，因而只剩我可以让部族的威名成为传奇。</t>
  </si>
  <si>
    <t>我眼前时常浮现灾难将至的幻景，我要尽全力阻止其发生。</t>
  </si>
  <si>
    <t>抚养幼童继承部族是我的责任。</t>
  </si>
  <si>
    <t>我过度痴迷于麦酒、葡萄酒等醉人之物。</t>
  </si>
  <si>
    <t>繁忙充实的生活里没有谨慎的余地。</t>
  </si>
  <si>
    <t>我会记住每次侮辱，并对委屈我的人抱以无声的怨恨。</t>
  </si>
  <si>
    <t>我容易信任对那些来自其他种族，部族或社群的人。</t>
  </si>
  <si>
    <t>大多时候我会选择用暴力克服难题。</t>
  </si>
  <si>
    <t>我不会救那些无法自救者。物竞天择，强者生存。</t>
  </si>
  <si>
    <t>我早年在野外度过了许多时间，喜欢上了这种生活方式。</t>
  </si>
  <si>
    <t>从以前开始我就无法忍受臭烘烘的城市，宁愿待在大自然中。</t>
  </si>
  <si>
    <t>我了解到那些潜伏在野外的黑暗，发誓要与之战斗。</t>
  </si>
  <si>
    <t>我的族群生活在文明的边沿，我从家人那里学到了在野外生存的技巧。</t>
  </si>
  <si>
    <t>在一次悲惨的遭遇之后，我抛下了原来的生活，退到了荒野中。</t>
  </si>
  <si>
    <t>我的家庭从文明社会中迁离了，我学会了适应新环境。</t>
  </si>
  <si>
    <t>出身</t>
  </si>
  <si>
    <t>护林员</t>
  </si>
  <si>
    <t>设阱捕兽者</t>
  </si>
  <si>
    <t>自耕农</t>
  </si>
  <si>
    <t>向导</t>
  </si>
  <si>
    <t>流放者</t>
  </si>
  <si>
    <t>赏金猎人</t>
  </si>
  <si>
    <t>朝圣者</t>
  </si>
  <si>
    <t>游牧蛮族</t>
  </si>
  <si>
    <t>狩猎采集者</t>
  </si>
  <si>
    <t>劫掠蛮族</t>
  </si>
  <si>
    <t>原初语</t>
  </si>
  <si>
    <t>智者</t>
  </si>
  <si>
    <t>奥秘、历史</t>
  </si>
  <si>
    <t>研究员</t>
  </si>
  <si>
    <t>当你需要学习或是记起某段学识内容时，就算你并不清楚其具体信息，也总能知道从何处或何人身上着手获取。这些情报通常来自某个图书馆、抄写室、学院，甚至是其他某个智者或某个知道相关知识的人或生物。鉴于发掘多元宇宙最深的秘密有时会需要整趟的冒险甚至是整个的战役，你的DM可能会设定这段情报的所在是一个遥不可及的地方，或者直接将其定义为无法找到。</t>
  </si>
  <si>
    <t>我会用一些让人觉得非常博学的长词。</t>
  </si>
  <si>
    <t>我读过世上最大图书馆中的每一本书——或者我喜欢自夸我读过。</t>
  </si>
  <si>
    <t>我习惯帮助那些不像我这么聪明的人，而我有耐心对其他人解释任何事和每件事。</t>
  </si>
  <si>
    <t>没有什么能比一个有趣的谜团更令我欢心。</t>
  </si>
  <si>
    <t>我作出自己的判断前，总会乐意倾听争论双方的论点。</t>
  </si>
  <si>
    <t>我~跟~白痴们~讲话~时~会~放慢~语速，别~误会~我~是指~所有人~都是~白痴。</t>
  </si>
  <si>
    <t>我在社交场合尴尬得特别特别厉害。</t>
  </si>
  <si>
    <t>我确信人们始终在试着偷取我的秘密。</t>
  </si>
  <si>
    <t>知识：知识是通往力量和自我发展的必经之路。</t>
  </si>
  <si>
    <t>美丽：美丽的事物指引我们想着其所在的方向继续向前即是真实。</t>
  </si>
  <si>
    <t>逻辑：情绪绝不能蒙蔽逻辑思考。</t>
  </si>
  <si>
    <t>无拘无束：任何东西都不该束缚所有存在中潜在的无限可能。</t>
  </si>
  <si>
    <t>权力：知识是通往权力与统治的捷径。</t>
  </si>
  <si>
    <t>提升自我：终生学习为的正是让人变得更好。</t>
  </si>
  <si>
    <t>保护我的学生是我的责任。</t>
  </si>
  <si>
    <t>我有一份载有可怕秘密的远古文献，而它绝不能落入错误的人手中。</t>
  </si>
  <si>
    <t>我为保护一个图书馆，学院，抄写室或修道院而工作。</t>
  </si>
  <si>
    <t>我一生的作品就是关于某项特定学识领域的一系列书典。</t>
  </si>
  <si>
    <t>我终生寻求某个特定问题的解答。</t>
  </si>
  <si>
    <t>我出卖了自己的灵魂以获得知识。并希望做一些大事将其赢回来。</t>
  </si>
  <si>
    <t>以知识许诺很容易打动我。</t>
  </si>
  <si>
    <t>一般人看到恶魔时会尖叫着逃跑，而我则会停下来对它作解剖和记录。</t>
  </si>
  <si>
    <t>揭示一项远古奥秘值得以一整个文明作代价。</t>
  </si>
  <si>
    <t>我总是拿出极度复杂的解决方案，却忽视了那些简单易行的方法。</t>
  </si>
  <si>
    <t>我说话时未真正考虑过自己的措辞，因而老是冒犯到他人。</t>
  </si>
  <si>
    <t>我无法保守关乎自己或其它性命的秘密。</t>
  </si>
  <si>
    <t>我天性好奇，充满求知欲，所以我收拾东西去读大学，学习关于大千世界的更多东西。</t>
  </si>
  <si>
    <t>导师的教诲启发了我的心智，让我在这个研究领域看到了全新的可能性。</t>
  </si>
  <si>
    <t>我一直是个如饥似渴的书痴，自学了许多最感兴趣的领域的知识。</t>
  </si>
  <si>
    <t>我发现了一个古老的图书馆，熟读了在里面找到的文献，这唤起了我的渴望，使我迫切地想要学习更多知识。</t>
  </si>
  <si>
    <t>一位法师告诉我，我正在浪费自己的才华，我应该去接受教育，好让自己的天赋之才得以发挥，我被他打动了。</t>
  </si>
  <si>
    <t>我的父亲/母亲或者某位亲戚给了我基础教育，这激发了我求学的欲望，所以我离开家进一步深造。</t>
  </si>
  <si>
    <t>专业</t>
  </si>
  <si>
    <t>占星师</t>
  </si>
  <si>
    <t>失权威学者</t>
  </si>
  <si>
    <t>图书馆员</t>
  </si>
  <si>
    <t>教授</t>
  </si>
  <si>
    <t>法师学徒</t>
  </si>
  <si>
    <t>书记员</t>
  </si>
  <si>
    <t>木族语</t>
  </si>
  <si>
    <t>水手</t>
  </si>
  <si>
    <t>运动、察觉</t>
  </si>
  <si>
    <t>领航工具、载具（水运）</t>
  </si>
  <si>
    <t>船家路子</t>
  </si>
  <si>
    <t>在必要时，你可以为团队谋得免费的顺风船进行旅行。你可能是搭上曾经效力过的船只，也可能是遇到与你交好的另一艘船（可能一位你曾经的同船水手所指挥的船只）。因为你是请求对方帮助（而非雇佣），所以你不能让行程和日程全然满足自己的要求。到达目的地的具体时间将由DM做决定。而作为免费搭乘的报酬，你和你的队友必须在航行中加入船员的行列帮忙做工。</t>
  </si>
  <si>
    <t>朋友们知道无论出现什么困难，我都值得依赖。</t>
  </si>
  <si>
    <t>我努力工作，然后休闲时就可以尽情玩乐。</t>
  </si>
  <si>
    <t>我喜欢航行到新港口，然后在那里以酒会友。</t>
  </si>
  <si>
    <t>我常常会为了讲述一个好故事而夸大其词。</t>
  </si>
  <si>
    <t>我就觉得酒馆是了解一座陌生城市的好地方。</t>
  </si>
  <si>
    <t>我从不会放弃友好的赌局。</t>
  </si>
  <si>
    <t>我的言辞脏污得好比食腐兽的窝。</t>
  </si>
  <si>
    <t>我喜欢工作都好好完成的样子，如果整个过程都让别人来干就更好了。</t>
  </si>
  <si>
    <t>尊重：只有船长和船员相互尊重，船才能乘风破浪。</t>
  </si>
  <si>
    <t>公正：一起干的活工钱一起分。</t>
  </si>
  <si>
    <t>自由：大海即是自由——随你去哪儿，随你干什么。</t>
  </si>
  <si>
    <t>统治：我是个掠夺者，海上其他船都是我的猎物。</t>
  </si>
  <si>
    <t>人民：我只为同伴们出力，而不是为了什么理想。</t>
  </si>
  <si>
    <t>抱负：早晚有一天，我会拥有自己的船，掌握自己的命运。</t>
  </si>
  <si>
    <t>我首先忠于我的船长，任何事物都要排在后头。</t>
  </si>
  <si>
    <t>船才是最重要的，无论船员还是船长都是过客。</t>
  </si>
  <si>
    <t>我总是会怀念我上过的第一艘船。</t>
  </si>
  <si>
    <t>在一个港口里住着我的情人，她的魅力几乎能让我抛弃海上生活和她在一起。</t>
  </si>
  <si>
    <t>我平分财宝时见到有人作弊，而我要夺回我应得的那份。</t>
  </si>
  <si>
    <t>残忍的海盗杀了我的船长和兄弟，抢走了我的船，只留下濒死的我。而我一定要复仇。</t>
  </si>
  <si>
    <t>我遵守命令，哪怕是那些并不正确的命令。</t>
  </si>
  <si>
    <t>我会绞尽脑汁避免额外劳动。</t>
  </si>
  <si>
    <t>一旦有人质疑我的勇气，我就什么都敢干。</t>
  </si>
  <si>
    <t>我一旦开始喝酒，就根本停不下来。</t>
  </si>
  <si>
    <t>我会忍不住收集遇到的各种硬币或小饰品等玩意儿。</t>
  </si>
  <si>
    <t>我的骄傲可能会毁了自己。</t>
  </si>
  <si>
    <t>我曾被海盗强抓壮丁上船，被迫干活，直到最后逃了出来。</t>
  </si>
  <si>
    <t>我想要见识世界，所以签约成为一艘商船的下级水手。</t>
  </si>
  <si>
    <t>我有一个亲戚是水手，他把我带到了海上。</t>
  </si>
  <si>
    <t>我需要尽快离开目前的社群，所以我偷偷溜上了一艘船，等到船员们发现了我，我不得不在船上工作为自己的偷渡买单。</t>
  </si>
  <si>
    <t>掠夺者们袭击了我的社群，我隐姓埋名地在一艘船上避风头，等待复仇的机会。</t>
  </si>
  <si>
    <t>在之前居住的地方我没什么前景，所以离开那里去别处寻找财富。</t>
  </si>
  <si>
    <t>地底通用语</t>
  </si>
  <si>
    <t>海盗</t>
  </si>
  <si>
    <t>恶名</t>
  </si>
  <si>
    <t>无论你走到哪里，人们都会因你的恶名而恐惧。你在身处文明社区时，可以免受一些细微的犯罪指控（例如在酒馆吃霸王餐或者踢坏商店的大门等），只因人们不敢冒险向当局告发你的劣行。</t>
  </si>
  <si>
    <t>水族语</t>
  </si>
  <si>
    <t>士兵</t>
  </si>
  <si>
    <t>运动、威吓</t>
  </si>
  <si>
    <t>一种赌具、载具（陆运）</t>
  </si>
  <si>
    <t>军衔</t>
  </si>
  <si>
    <t>你作为士兵时曾获得过军衔。那些忠于你之前所在组织的士兵仍会承认你的权威与影响，而其中军衔比你低的人甚至依然会遵从你的命令。凭借军衔的影响，你可以向其他士兵临时征用简单的装备或马匹。并且还可以凭此随意通过那些承认你军衔的友方军队大营和堡垒。</t>
  </si>
  <si>
    <t>我总是表现的恭敬有礼。</t>
  </si>
  <si>
    <t>我的心中总是萦绕着战争时的记忆，那些残暴的画面总是挥之不去。</t>
  </si>
  <si>
    <t>我曾失去太多的朋友，而现在已经很难交个新的朋友了。</t>
  </si>
  <si>
    <t>我的军事生涯曾经历过各种情况，所以我能以此讲出许多鼓舞人心而又发人深省的故事。</t>
  </si>
  <si>
    <t>我能盯着一只地狱犬看而毫不畏缩。</t>
  </si>
  <si>
    <t>我喜欢强壮的感觉并且乐于打坏东西。</t>
  </si>
  <si>
    <t>我有着粗俗的幽默感。</t>
  </si>
  <si>
    <t>我迎难而上直面问题。一个简单直接的解决方案是通往成功的最佳路径。</t>
  </si>
  <si>
    <t>大义：我们的使命即是为保卫他人而献出自己的生命。</t>
  </si>
  <si>
    <t>责任：我服从权力，并且只做必须做的事。</t>
  </si>
  <si>
    <t>独立：盲目的服从命令，某种意义上就相当于接受暴君统治。</t>
  </si>
  <si>
    <t>力量：生活与战争一样，只有更强大的一方才能获胜。</t>
  </si>
  <si>
    <t>自持自重：不该以理想之名行杀戮之事，或是以其名义发动战争。</t>
  </si>
  <si>
    <t>国家：我的城市、国家和人民是最重要的事。</t>
  </si>
  <si>
    <t>我依然会以性命保护曾一起共事之人。</t>
  </si>
  <si>
    <t>有人在战场上救过我的命。因而现在我也不会丢下任何一个朋友。</t>
  </si>
  <si>
    <t>荣誉即吾命。</t>
  </si>
  <si>
    <t>我永远不会忘记队伍曾遭受到的惨败，以及当时的敌人。</t>
  </si>
  <si>
    <t>那些与我同袍的人值得为之豁出性命。</t>
  </si>
  <si>
    <t>我为那些无法为他们自己战斗的人而战。</t>
  </si>
  <si>
    <t>我们曾在战场上面对的凶暴的敌人依然会令我恐惧的发抖。</t>
  </si>
  <si>
    <t>除那些久经沙场的武士外，任何人都不值得我尊重。</t>
  </si>
  <si>
    <t>我曾在战场上犯了一个严重的错并为此伤害了许多生命——而我为了能守住这个秘密愿意做任何事。</t>
  </si>
  <si>
    <t>我对敌人的仇恨盲目而缺乏理性。</t>
  </si>
  <si>
    <t>我遵从法律，而不管其律条是否会招致不幸。</t>
  </si>
  <si>
    <t>我在犯错时宁可吞掉自己的护甲也不愿承认。</t>
  </si>
  <si>
    <t>我加入了民兵队，抵御怪物，保护我的社群</t>
  </si>
  <si>
    <t>我家有亲人是士兵，我希望继承这个传统。</t>
  </si>
  <si>
    <t>我被本地领主强征入伍。</t>
  </si>
  <si>
    <t>在我成长的过程中，故乡一直战火纷飞，满目疮痍。战斗是我唯一所知的生活方式。</t>
  </si>
  <si>
    <t>我想要出名和发财，所以加入了一伙雇佣兵集团，为出开价最高的人战斗。</t>
  </si>
  <si>
    <t>侵略者袭击了我的家乡，拿起武器保卫人民是我的使命。</t>
  </si>
  <si>
    <t>专职</t>
  </si>
  <si>
    <t>军官</t>
  </si>
  <si>
    <t>侦察兵</t>
  </si>
  <si>
    <t>步兵</t>
  </si>
  <si>
    <t>医疗师</t>
  </si>
  <si>
    <t>军需官</t>
  </si>
  <si>
    <t>旗手</t>
  </si>
  <si>
    <t>后勤人员</t>
  </si>
  <si>
    <t>气族语</t>
  </si>
  <si>
    <t>流浪儿</t>
  </si>
  <si>
    <t>巧手、隐匿</t>
  </si>
  <si>
    <t>易容工具、盗贼工具</t>
  </si>
  <si>
    <t>城中秘密</t>
  </si>
  <si>
    <t>你熟知城市中的秘密小路和胡同，能够在其他人容易迷失的混乱街区中寻路。如果你们并非身处战斗状态，则你还可以在市区内引导同伴以两倍的平时速度在两个地点间穿行。</t>
  </si>
  <si>
    <t>我把食物碎屑和饰品深深地藏在口袋里。</t>
  </si>
  <si>
    <t>我会常常发问。</t>
  </si>
  <si>
    <t>我喜欢钻进别人找不到我的地方。</t>
  </si>
  <si>
    <t>我习惯靠着墙或树睡觉，睡时把自己的东西都捆成一捆抱在怀里。</t>
  </si>
  <si>
    <t>我的吃相像猪一样，十分没有礼数。</t>
  </si>
  <si>
    <t>我认为任何对我假仁假义的人都不安好心。</t>
  </si>
  <si>
    <t>我不喜欢洗澡。</t>
  </si>
  <si>
    <t>我总是直接说出其他人暗示或者想遮掩的事情。</t>
  </si>
  <si>
    <t>尊重：所有人，不论贫富都应受到尊重。</t>
  </si>
  <si>
    <t>团结：外人不会帮我们，因此我们必须同舟共济。</t>
  </si>
  <si>
    <t>改变：下等人可能发迹，上等人可能落马，变化才是万物的本质。</t>
  </si>
  <si>
    <t>报应：富人们应该被按在水沟里尝尝濒死的感觉。</t>
  </si>
  <si>
    <t>人民：我帮助那些帮了我的人——这正是我们生存的根本。</t>
  </si>
  <si>
    <t>抱负：我会证明我值得拥有更好的生活。</t>
  </si>
  <si>
    <t>这城镇就是我的家，而我必须保卫它。</t>
  </si>
  <si>
    <t>我资助了一所孤儿院，以免其他人再遭受我的厄运。</t>
  </si>
  <si>
    <t>我的幸存应归功于那位曾教会我如何在街头生存的另一位流浪儿。</t>
  </si>
  <si>
    <t>我欠某位同情我的绅士一笔我还不起的债。</t>
  </si>
  <si>
    <t>我通过抢劫一位大人物而脱贫致富，但是也因此而遭到通缉。</t>
  </si>
  <si>
    <t>不该再有人遭受我曾经的苦难了。</t>
  </si>
  <si>
    <t>如果敌人人多势众，我就会在打斗时溜走。</t>
  </si>
  <si>
    <t>我觉得金子很值钱，因此我会不择手段赚很多金子。</t>
  </si>
  <si>
    <t>我从不会完全信任别人，而只相信我自己。</t>
  </si>
  <si>
    <t>与其公平决斗，我更喜欢趁人之危偷袭。</t>
  </si>
  <si>
    <t>如果我比原主人更需要某物，那我拿走就不算偷。</t>
  </si>
  <si>
    <t>自己顾不好自己的家伙，只能算活该。</t>
  </si>
  <si>
    <t>漫游欲让我离开了家庭去见识世界，我能照顾好自己。</t>
  </si>
  <si>
    <t>我在家中的处境很不好，所以我逃跑了，并开拓出自己的道路。</t>
  </si>
  <si>
    <t>怪物屠戮了我的村子，我是唯一的幸存者，我得想办法活下去。</t>
  </si>
  <si>
    <t>一个臭名昭著的盗贼收养了我和其他的孤儿们，我们必须去做间谍或者偷窃，不然就会失去容身之所。</t>
  </si>
  <si>
    <t>某天，还是孩子的我孤零零地在街头醒来，饿得不行，并且毫无之前的记忆。</t>
  </si>
  <si>
    <t>爸爸妈妈都死了，再也没人抚养我，我自力更生地长大了。</t>
  </si>
  <si>
    <t>刻洛语</t>
  </si>
  <si>
    <t>运动、洞悉</t>
  </si>
  <si>
    <t>守护者之眼</t>
  </si>
  <si>
    <t>你对执行法律、处理犯法者有着丰富的经验，这给了你对法律和犯罪异常敏感的感觉。你能很容易的找到守卫的哨站或是一些类似的组织，也能轻易的发现犯罪者们活动的窝点，同时你也在前者更容易受到欢迎。</t>
  </si>
  <si>
    <t>人鱼语</t>
  </si>
  <si>
    <t>调查、洞悉</t>
  </si>
  <si>
    <t>牛头人语</t>
  </si>
  <si>
    <t>历史、洞悉</t>
  </si>
  <si>
    <t>矮人语或任选一门语言（如已会矮人语）</t>
  </si>
  <si>
    <t>矮人的尊敬</t>
  </si>
  <si>
    <t>没有人会像矮人们一样对作为宗族工匠的外来者一样高度尊重。你通常能在盾矮人或者金矮人居住的地方免费获得食宿，矮人们还可能会彼此竞争来决定谁提供给你（也可能是你的同胞）最好的食宿和帮助。</t>
  </si>
  <si>
    <t>斯芬克斯语</t>
  </si>
  <si>
    <t>历史、另外从奥秘、自然、宗教中选择一个</t>
  </si>
  <si>
    <t>图书馆使用权</t>
  </si>
  <si>
    <t>尽管在你的图书馆中其他人们需要经常忍受大量的面试和缴纳一定的费用来获得通用档案室的资料，你将能免费并且能进入图书馆的大部分区域，即使是那些不对外人开放的有着太多价值的知识，魔力，或是秘密的区域。
你有着你学院人员和机构的应用知识，你知道如何将两者轻松的联系起来。
此外，你作为一个专业礼貌的学者，在世界上其他的图书馆中也可能获得优惠待遇。</t>
  </si>
  <si>
    <t>吉斯语</t>
  </si>
  <si>
    <t>官员</t>
  </si>
  <si>
    <t>你拥有的对官场如何运作的知识让你获得你所遇到过的贵族政议院和政府中访问档案和内部运作的能力。你了解是谁在背后操纵着神秘，你知道需要支持时应该去找谁，目前这些组织感兴趣的阴谋又是哪些。</t>
  </si>
  <si>
    <t>象族语</t>
  </si>
  <si>
    <t>洞悉、另外自选一种作为适合你组织的智力、感知、魅力技能</t>
  </si>
  <si>
    <t>避风港</t>
  </si>
  <si>
    <t>作为一个组织的代理人，你可以组织秘密联络网中那些可以给你在冒险生涯中提供援助的支援者和工作人员。你知道那些可以用来识别这些秘密人员的记号和密语，这些人可以为你提供一个有免费食宿的隐秘安全屋，或是能够协助寻找你需要的讯息。但是这些家伙并不会为了你冒着暴露自己身份或者生命安全的危险来帮你做事。</t>
  </si>
  <si>
    <t>维多肯语</t>
  </si>
  <si>
    <t>洞察、察觉</t>
  </si>
  <si>
    <t>一种乐器或一种赌具</t>
  </si>
  <si>
    <t>众目焦点</t>
  </si>
  <si>
    <t>你的口音，言谈举止，措辞风格甚至你的外表都标记着你是一个异乡人。无论你走到哪里，好奇的目光总会伴随着你。虽然这有些令人讨厌，但是也让你获得那些感兴趣的学者们和那些对其他遥远地方好奇希望听到你家乡故事的人们的好感。
你独特于其他普通大众，你可以运用这种关注力为自己或者旅行的伙伴们接近想要接触的人们。那些贵族领主，学者，贸易亲王以及其他人可能会感兴趣听听你那些有关远方故乡和人民的故事。</t>
  </si>
  <si>
    <t>我有着与周围人关于私人空间的不同想法，并不觉得进入到别人私人空间是什么犯罪行为，而且也不觉得我的私人空间被别人进入也豪无所谓。</t>
  </si>
  <si>
    <t>我对哪些是或不是食物有着自己的看法，并且我觉得我周围那些人的饮食习惯真是让我向往，让人恶心或是混乱不堪。</t>
  </si>
  <si>
    <t>我有着非常强烈的荣誉准则或规范，这让一些人无法理解。</t>
  </si>
  <si>
    <t>我表达喜爱和厌恶的方式和其他人不一样。</t>
  </si>
  <si>
    <t>我通过在这片土地上实践来敬仰我的神灵。</t>
  </si>
  <si>
    <t>我通过一种通常和周围人不一样的小型的仪式来开始或结束我一天的生活。</t>
  </si>
  <si>
    <t>开放：那些在我旅程路上遇到的人，我有很多需要向他们学习。</t>
  </si>
  <si>
    <t>保守：作为这个奇怪地方的新来者，我在日常交易之中保持谨慎和礼貌的态度。</t>
  </si>
  <si>
    <t>冒险：我远离了我的家乡，这所有的一切真是奇怪，太棒啦！</t>
  </si>
  <si>
    <t>狡猾：虽然我不了解他们的处事方式，但是他们也不了解我的，这可以成为我的优势。</t>
  </si>
  <si>
    <t>好奇：所有的一切都没见过，但是我渴望了解这些。</t>
  </si>
  <si>
    <t>疑心：我必须要小心，我没有办法告诉朋友们敌人是谁。</t>
  </si>
  <si>
    <t>只要我有从家乡培养出的品质，我就可以在这片陌生的土地上面对任何逆境。</t>
  </si>
  <si>
    <t>我的人民信仰的上神是对于远离家乡的我的一种安慰。</t>
  </si>
  <si>
    <t>没有比为我的人民服务更伟大的事业。</t>
  </si>
  <si>
    <t>我的自由是我最珍贵的财宝。我不会再让任何人从我手中多去它。</t>
  </si>
  <si>
    <t>我为这片美丽而神器的新土地而着迷。</t>
  </si>
  <si>
    <t>虽然我没有选择，但我还是为之前必须离开所爱之人感到悲哀。我希望在未来某一天能再次见到他们。</t>
  </si>
  <si>
    <t>我背地里（或者明面上就）觉得我家乡的文化风俗比这片外国土地要好的多。</t>
  </si>
  <si>
    <t>为了不想和这些当地人交流，我假装不懂这些人当地的语言。</t>
  </si>
  <si>
    <t>我对这片土地上的新奇的令人沉醉的事物和其他趣事无法抗拒。</t>
  </si>
  <si>
    <t>我并不会对这片土地上的人们抱有友善的态度，因为这帮家伙与我大不相同。</t>
  </si>
  <si>
    <t>我认为其他神的信徒们都是一些被欺骗蒙蔽的无辜百姓/愚蠢无知的白痴。</t>
  </si>
  <si>
    <t>我对这片土地上的异国美人们无法抗拒。</t>
  </si>
  <si>
    <t>为何来此</t>
  </si>
  <si>
    <t>使者，密使</t>
  </si>
  <si>
    <t>逃亡者</t>
  </si>
  <si>
    <t>游客</t>
  </si>
  <si>
    <t>流浪汉</t>
  </si>
  <si>
    <t>梦族语</t>
  </si>
  <si>
    <t>求生、另外从奥秘、历史、宗教中选择一个</t>
  </si>
  <si>
    <t>继承</t>
  </si>
  <si>
    <t>从列表中选择或者随机一个你继承的遗产，和你的DM一起讨论决定出细节：你的遗产为何那么重要，它拥有的故事是什么？你可以让DM把这部分内容加入到整个游戏故事中，通过剧情让你和你的角色更多的了解这份遗产的故事。</t>
  </si>
  <si>
    <t>遗产列表</t>
  </si>
  <si>
    <t>一份例如地图，信件或是日记的文档</t>
  </si>
  <si>
    <t>一个小饰品</t>
  </si>
  <si>
    <t>一件衣物</t>
  </si>
  <si>
    <t>一件首饰</t>
  </si>
  <si>
    <t>一本奇怪的书或是字条</t>
  </si>
  <si>
    <t>一本手写的故事，歌曲，诗歌，或是一个秘密</t>
  </si>
  <si>
    <t>狮族语</t>
  </si>
  <si>
    <t>游说、另外从奥秘、历史、宗教中选择一个</t>
  </si>
  <si>
    <t>骑士的敬重</t>
  </si>
  <si>
    <t>你会获得来自你的骑士团其他成员和那些与骑士团有着相同目标的人们的救助和避难。如果你的教团是一个宗教骑士团，你可以从信仰的神的神殿和其他宗教团体中获得帮助。服务人民的骑士团可以从某些为自己目标服务或是为整个国家服务的团体们寻求帮助。服务于某种理念的骑士团可以从曾近帮助过追寻理念的人们和那些与骑士团分享理念的人们获得帮助。
这些帮助的方式来自他们提供的避难和食物，在适当之时为你治疗。偶尔也会有些危险，比如一群本地居民一同帮助一位在战斗中严重受伤的骑士，或是帮助一名受到不公正追捕的骑士秘密走私出城。</t>
  </si>
  <si>
    <t>阿兰寇拉语</t>
  </si>
  <si>
    <t>运动、游说</t>
  </si>
  <si>
    <t>佣兵生涯</t>
  </si>
  <si>
    <t>你拥有的生活经历，只有曾同样从事过佣兵生涯之人才能体会。你只要看到对方的徽记就能辨认出相应的佣兵团，你还知道该军团的某些情报，包括其指挥官和领导者的名字和声誉，以及最近雇佣他们的是何人。只要能说相应的语言，你在任何地方都能找到这些佣兵混迹的酒馆或宴会地。你总能在冒险中通过佣兵工作找到足够的钱来维持舒适程度的生活。</t>
  </si>
  <si>
    <t>娜伽语</t>
  </si>
  <si>
    <t>从欺瞒、洞悉、游说、隐匿中选择两项</t>
  </si>
  <si>
    <t>从一种赌具、一种乐器、盗贼工具中选择两项</t>
  </si>
  <si>
    <t>耳目众多</t>
  </si>
  <si>
    <t>你经常与所选定猎物途径地区的社会人士接触。这些人可能与黑社会罪犯、街头莽汉或上流社会成员相关联。这种联系其形式为，每个你所访问的城市都存在一名相应的联络人，该人物会为你提供当地人文和地理的各种相关情报。</t>
  </si>
  <si>
    <t>吸血鬼语</t>
  </si>
  <si>
    <t>一种乐器或一种工匠工具</t>
  </si>
  <si>
    <t>乌斯伽之传承</t>
  </si>
  <si>
    <t>你不仅彻底了解自己部族之领地，还清楚北地其他地区的地形和自然资源。你熟悉所有的野外地区，而你在那里找到的食物和水的数量是平时的两倍。
另外，你可以唤起他人的好客之道。受你该影响的对象包括你的同胞，以及那些与你部族结盟之人，通常包括有德鲁伊结社、精灵游牧部族、竖琴手同盟等团体的成员，以及那些献身于“第一结社”众神的祭祀者。</t>
  </si>
  <si>
    <t>塞连语</t>
  </si>
  <si>
    <t>一种赌具或一种乐器</t>
  </si>
  <si>
    <t>保持风度</t>
  </si>
  <si>
    <t>在深水城或北地其他地方时，你的家族会确保你的每日的日常用度。你的名字与玺印就足以支付大部分的费用，而你经常光顾的旅店、酒馆和餐馆都很乐于记下你的债务，并将账单寄给你的家人以解决你欠下的债务。
这种优势使你能过上舒适的生活，而不必每天支付2gp的费用，也可以减少富裕或奢华程度生活的成本。你不能以更低价的生活方式来将这只生活费当做收入——这种得益属于信用体系，而不是明确的货币奖励。</t>
  </si>
  <si>
    <t>洞悉、威吓</t>
  </si>
  <si>
    <t>法律权威</t>
  </si>
  <si>
    <t>你有权在拉尼卡进行执法活动，这种权利通常会激起民众的尊重以及一定程度上的恐惧。在你面前，任何人都会下意识的注意自己的举止，并避免引起你的注意。同时，民众们也认为你有权出现在任何地方。
出示你的俄佐立徽记，你可以要求任何一位平民接受你的询问（尽管当你在处理无可救药的违法者时，这么做通常会引发更多的麻烦）。如果你滥用这项权利，你有可能被上级申斥，甚至被剥夺职务。</t>
  </si>
  <si>
    <t>戏法：交友术、传讯术
1环：命令术、诱捕打击
2环：秘法锁、安定心神、人类定身术
3环：鹰眼术、法术反制
4环：强迫术、预言术
5环：支配人类</t>
  </si>
  <si>
    <t>我尽力保证我的判决不会受到感情的影响。</t>
  </si>
  <si>
    <t>对于我必须要面对的糊涂蛋和莽夫们，我有着无穷无尽的耐心。</t>
  </si>
  <si>
    <t>当我下达命令时，我希望它能够被遵守。</t>
  </si>
  <si>
    <t>我只按照我喜欢的方式——整洁，有序，干净——来处理事情。</t>
  </si>
  <si>
    <t>没有任何坏事能逃过我的眼睛。</t>
  </si>
  <si>
    <t>我说的话永远是我想表达的意思，无论这需要浪费多少口舌，来交流以表述清楚任何我想表达的细节。</t>
  </si>
  <si>
    <t>我喜欢开门见山，并不喜欢隐喻或是讽刺。</t>
  </si>
  <si>
    <t>当我下定决心后，便绝不动摇。</t>
  </si>
  <si>
    <t>公会：我的公会是我的一切。</t>
  </si>
  <si>
    <t>秩序：法律旨在确保社会平稳而安定地运转。</t>
  </si>
  <si>
    <t>和平：法律的终极目标是将暴力从社会中移除。</t>
  </si>
  <si>
    <t>守法：强制力是确保法律得以遵守的好办法。</t>
  </si>
  <si>
    <t>立法：法律因其精确和细致而完美。</t>
  </si>
  <si>
    <t>惩戒：公开处刑可以有效的威慑其他罪犯。</t>
  </si>
  <si>
    <t>我非常感激一位俄佐立逮捕人，他抓住了杀死我父母的凶手，救了我一命。</t>
  </si>
  <si>
    <t>我希望有一天能够参与立法而不仅仅是执法。</t>
  </si>
  <si>
    <t>我曾试图阻止一起谋杀，但是失败了。我立誓要抓住那个凶手。</t>
  </si>
  <si>
    <t>我成功的阻止了一起谋杀，那个未遂犯现在想要我死掉。</t>
  </si>
  <si>
    <t>我的父亲/母亲在公会中非常著名，我也以他/她作为我的榜样。</t>
  </si>
  <si>
    <t>我以一位备受尊敬的律法师/逮捕人作为榜样来规划我的职业生涯，但我担心，我的榜样似乎卷入了某些非法的事情。</t>
  </si>
  <si>
    <t>我无法鉴别法律条文和其内在的精神。</t>
  </si>
  <si>
    <t>对别人来说我是一个过于严苛的法官，但我评判自己最为严苛。</t>
  </si>
  <si>
    <t>我有一个小秘密，非法的那种。</t>
  </si>
  <si>
    <t>我幼时曾目睹过一场犯罪，这给我的内心留下了阴影。</t>
  </si>
  <si>
    <t>面对骗局我无能为力。</t>
  </si>
  <si>
    <t>我希望能够加入波洛斯，但我担心他们永远不会接纳我。</t>
  </si>
  <si>
    <t>运动、恐吓</t>
  </si>
  <si>
    <t>从天界语、龙语、地精语、牛头人语中选择一项</t>
  </si>
  <si>
    <t>波洛斯据点</t>
  </si>
  <si>
    <t>你被派往波洛斯教团的一处据点服役。你可以向任意一处波洛斯的要塞驻军临时借用简易武器，同时，你有进入拉尼卡任意一座波洛斯要塞进行休息的权限。在要塞中休息时，你会受到安全的保护以及医疗照顾。此外，你每周可以收到1gp以及一间位于你驻扎的要塞中的宿舍来维持至少【穷困】的生活水平。</t>
  </si>
  <si>
    <t>戏法：火焰箭、圣火术
1环：曳光弹、英雄气概
2环：援助术、灼热射线
3环：希望信标、致盲斩
4环：防死结界、火墙术
5环：焰击术</t>
  </si>
  <si>
    <t>我对于每项任务都会全身心投入，精益求精。</t>
  </si>
  <si>
    <t>我永远身先士卒，第一个投入战斗。</t>
  </si>
  <si>
    <t>我永远遵守纪律，即使受到伤害或者侮辱。</t>
  </si>
  <si>
    <t>最轻微的罪行也会引燃我心中正义的怒火。</t>
  </si>
  <si>
    <t>荣耀高于生命。</t>
  </si>
  <si>
    <t>团结一致是完成危险任务的最佳途径。</t>
  </si>
  <si>
    <t>我的武器，制服，和徽记是来自天使的礼物，我会以最高的敬意来维护它们。</t>
  </si>
  <si>
    <t>我永远躁动不安。</t>
  </si>
  <si>
    <t>正义：实践正义需要在社会中建立公正，平等，以及友善的关系。</t>
  </si>
  <si>
    <t>守护：力量与强权不可欺压无辜的平民。</t>
  </si>
  <si>
    <t>团结：展现个体意志的最佳途径是并肩作战。</t>
  </si>
  <si>
    <t>秩序：人们必须履行义务，服从指挥，社会才能高效运转。</t>
  </si>
  <si>
    <t>信念：世上无难事，只怕有心人。</t>
  </si>
  <si>
    <t>我的生命献给欧瑞梨和天使们。</t>
  </si>
  <si>
    <t>我欠那个将我带离拉尼卡混乱街道的波洛斯长官一条命</t>
  </si>
  <si>
    <t>我的部下们就是我的家人</t>
  </si>
  <si>
    <t>我挥舞着祖传的武器，我的行为将荣耀我的家族</t>
  </si>
  <si>
    <t>我曾加入拉铎斯，如今我致力于为我的所作所为赎罪</t>
  </si>
  <si>
    <t>我会尽我所能帮助那些牺牲的战友的家人。</t>
  </si>
  <si>
    <t>人多势众的时候我很大胆，落单时我就是个懦夫</t>
  </si>
  <si>
    <t>我信奉简单的非黑即白</t>
  </si>
  <si>
    <t>我感觉古鲁之道有点诱人</t>
  </si>
  <si>
    <t>我对于上级的信任超过一切，甚至超过我的密友们</t>
  </si>
  <si>
    <t>我很难信任其他公会的人</t>
  </si>
  <si>
    <t>我曾因受贿而对不义之事视而不见</t>
  </si>
  <si>
    <t>虚假身份</t>
  </si>
  <si>
    <t>你拥有多个身份，你大多数时间里披着的外衣让你看起来似乎是底密尔之外的其他公会的一名成员。你具有的文件，人际关系和伪装让你能够担任这个角色并融入到你的第二个公会里。
你也可以在任何时候抛弃掉这层身份并融入到城市的无属者群体里。
想想你为什么被安插在第二个公会里。按照下表投骰决定或选择一个适合你的，然后与你的DM创造一个故事。</t>
  </si>
  <si>
    <t>戏法：思想编码、法师之手
1环：易容术、睡眠术
2环：侦测思想、行动无踪
3环：气化形体、融身入石、回避侦测
4环：秘法眼、行动自如
5环：篡改记忆</t>
  </si>
  <si>
    <t>我很擅长隐藏自己的真实想法与感受。</t>
  </si>
  <si>
    <t>当我怀疑自己是否要揭露某件事情的时候，我会认定这是个秘密而拒绝与他人分享。</t>
  </si>
  <si>
    <t>我说话总是喜欢故弄玄虚，毕竟随着阅历增长智慧也会隐藏的更深。</t>
  </si>
  <si>
    <t>我对于碍我事的人没有半点耐心。</t>
  </si>
  <si>
    <t>我喜欢听别人谈论他们的可怕经历。</t>
  </si>
  <si>
    <t>战斗，注定是干净、利落、单方面的。</t>
  </si>
  <si>
    <t>我喜欢站在阴影里。</t>
  </si>
  <si>
    <t>我从不当面生气，我只背后报复。</t>
  </si>
  <si>
    <t>公会：我的公会就是我的一切。</t>
  </si>
  <si>
    <t>控制：我喜欢在幕后操纵一切。</t>
  </si>
  <si>
    <t>秘密：我收集秘密而且从不泄露出来。</t>
  </si>
  <si>
    <t>知识：我想要尽我所能地了解这座城市以及它运作的方式。</t>
  </si>
  <si>
    <t>自主：毫无干扰地追求自己的目标就是我所珍视的自由。</t>
  </si>
  <si>
    <t>虚无主义：我不相信任何东西，任何试图去相信什么的人都是蠢货。</t>
  </si>
  <si>
    <t>我发现了一个不能让包括我的公会上级在内的任何人知道的秘密。</t>
  </si>
  <si>
    <t>我与自己所潜伏的公会里的某人建立了亲密的友谊或爱情。</t>
  </si>
  <si>
    <t>招募了我的底密尔密探被人揭发并杀害了。我对凶手的报复将是彻底而充满痛苦。</t>
  </si>
  <si>
    <t>我尽可能地把我的时间消磨在依梅里图书馆里，因为我确定有个信息中心正在图书馆的幕后运作，而我想要知道这个秘密。</t>
  </si>
  <si>
    <t>我完全地效忠于我的公会上级，甚至超过了对公会本身和公会会长的忠诚。</t>
  </si>
  <si>
    <t>某人已经发现了我的真实身份</t>
  </si>
  <si>
    <t>我是如此地喜欢秘密以至于即使某些人有必要知晓计划的细节我也不愿意与他们分享。</t>
  </si>
  <si>
    <t>我宁愿杀死我的朋友们也不能让他们知道我的真实身份。</t>
  </si>
  <si>
    <t>我除了自己之外很难去相信任何人。</t>
  </si>
  <si>
    <t>我有一个特别的恶习，如果我不小心谨慎一点就有把我的所有秘密和盘托出的风险。</t>
  </si>
  <si>
    <t>我很确定我做过一件非常可怕的事情，但是公会的心灵魔法让我不记得这件事了。</t>
  </si>
  <si>
    <t>我过于相信那个给我指令的人了。</t>
  </si>
  <si>
    <t>渗透原因</t>
  </si>
  <si>
    <t>我的父母属于这个公会，而我想要让他们认为我依旧跟随着他们的道路。</t>
  </si>
  <si>
    <t>我被指派追踪这个公会的行动。</t>
  </si>
  <si>
    <t>我被指派接近这个公会里的一个人来获取他们的秘密。</t>
  </si>
  <si>
    <t>我被指派从这个公会的阶层中新招募一位底密尔间谍。</t>
  </si>
  <si>
    <t>在底密尔招募我之前我就是这个公会的成员。</t>
  </si>
  <si>
    <t>我不喜欢这个公会所代表的一切并想从内部毁灭它。</t>
  </si>
  <si>
    <t>我私底下希望能离开底密尔并加入这个公会，但是在底密尔，没有“逃离”这个词。</t>
  </si>
  <si>
    <t>我只是随便选了一个公会或者根本没想过为什么。</t>
  </si>
  <si>
    <t>自然、求生</t>
  </si>
  <si>
    <t>从精灵语、巨人语、刻洛语中选择一项</t>
  </si>
  <si>
    <t>地底城通路</t>
  </si>
  <si>
    <t>你通晓地下的道路，他们能帮你绕开人群，障碍和监视，走遍全城。当你不在战斗中时，你和你带领的伙伴可以以比平时两倍的速度从城内的任意地点到达另一地点。这些地底城通路中潜伏着不会在地表世界的阳光下出现的各种危险，你们的旅途不一定一帆风顺。</t>
  </si>
  <si>
    <r>
      <rPr>
        <sz val="11"/>
        <color rgb="FF000000"/>
        <rFont val="宋体"/>
        <family val="3"/>
        <charset val="134"/>
      </rPr>
      <t>戏法：</t>
    </r>
    <r>
      <rPr>
        <sz val="11"/>
        <color rgb="FF000000"/>
        <rFont val="MS Gothic"/>
        <family val="3"/>
        <charset val="128"/>
      </rPr>
      <t>​</t>
    </r>
    <r>
      <rPr>
        <sz val="11"/>
        <color rgb="FF000000"/>
        <rFont val="宋体"/>
        <family val="3"/>
        <charset val="134"/>
      </rPr>
      <t>舞光术、维生术
1环：</t>
    </r>
    <r>
      <rPr>
        <sz val="11"/>
        <color rgb="FF000000"/>
        <rFont val="MS Gothic"/>
        <family val="3"/>
        <charset val="128"/>
      </rPr>
      <t>​</t>
    </r>
    <r>
      <rPr>
        <sz val="11"/>
        <color rgb="FF000000"/>
        <rFont val="宋体"/>
        <family val="3"/>
        <charset val="134"/>
      </rPr>
      <t>纠缠术、致病射线
2环：</t>
    </r>
    <r>
      <rPr>
        <sz val="11"/>
        <color rgb="FF000000"/>
        <rFont val="MS Gothic"/>
        <family val="3"/>
        <charset val="128"/>
      </rPr>
      <t>​</t>
    </r>
    <r>
      <rPr>
        <sz val="11"/>
        <color rgb="FF000000"/>
        <rFont val="宋体"/>
        <family val="3"/>
        <charset val="134"/>
      </rPr>
      <t>防护毒素、衰弱射线、蛛行术
3环：</t>
    </r>
    <r>
      <rPr>
        <sz val="11"/>
        <color rgb="FF000000"/>
        <rFont val="MS Gothic"/>
        <family val="3"/>
        <charset val="128"/>
      </rPr>
      <t>​</t>
    </r>
    <r>
      <rPr>
        <sz val="11"/>
        <color rgb="FF000000"/>
        <rFont val="宋体"/>
        <family val="3"/>
        <charset val="134"/>
      </rPr>
      <t>操纵死尸、植物滋长
4环：</t>
    </r>
    <r>
      <rPr>
        <sz val="11"/>
        <color rgb="FF000000"/>
        <rFont val="MS Gothic"/>
        <family val="3"/>
        <charset val="128"/>
      </rPr>
      <t>​</t>
    </r>
    <r>
      <rPr>
        <sz val="11"/>
        <color rgb="FF000000"/>
        <rFont val="宋体"/>
        <family val="3"/>
        <charset val="134"/>
      </rPr>
      <t>巨虫术、擒抱藤
5环</t>
    </r>
    <r>
      <rPr>
        <sz val="11"/>
        <color rgb="FF000000"/>
        <rFont val="MS Gothic"/>
        <family val="3"/>
        <charset val="128"/>
      </rPr>
      <t>​</t>
    </r>
    <r>
      <rPr>
        <sz val="11"/>
        <color rgb="FF000000"/>
        <rFont val="宋体"/>
        <family val="3"/>
        <charset val="134"/>
      </rPr>
      <t>：死云术、疫病虫群</t>
    </r>
  </si>
  <si>
    <t>记住，我可以在你睡着后杀了你，或者在你的铺盖里放点蜈蚣。</t>
  </si>
  <si>
    <t>​我喜欢提醒人们他们终将死去</t>
  </si>
  <si>
    <t>有时我会回应腐烂中的低于，除了我之外别人都听不见</t>
  </si>
  <si>
    <t>我尽力阻止别人靠近我或者与我交谈</t>
  </si>
  <si>
    <t>我接受我的死亡，因此，我不惧怕死亡。</t>
  </si>
  <si>
    <t>​树根在岩石中生长，我的行动就像树根一样坚毅固执。</t>
  </si>
  <si>
    <t>​我用解剖学的知识来营造恐怖的氛围，详细地描述我的敌人遭受的重创。</t>
  </si>
  <si>
    <t>我就像野兽一样，谁惹我了我就会狠狠回击——而我很容易被惹怒。</t>
  </si>
  <si>
    <t>公会：我的公会高于一切。</t>
  </si>
  <si>
    <t>斯多葛主义：我们都是自然循环的一部分，有没有我们自然都会循环下去。</t>
  </si>
  <si>
    <t>自然：大自然可比城市和文明中的高楼大厦重要得多。</t>
  </si>
  <si>
    <t>互相依存：我们都是自然之网的一部分。</t>
  </si>
  <si>
    <t>野心勃勃：葛加理登顶的时代即将来临，我希望在新世界的序列中取得崇高的地位。</t>
  </si>
  <si>
    <t>互相忍让，互不干涉：插手其他公会的事务会让你像个臭虫一样被碾死。</t>
  </si>
  <si>
    <t>我珍藏着一节被美杜莎石化的家族成员的手指。</t>
  </si>
  <si>
    <t>我有一个和我完全不一样，跟路人似的同卵双胞胎兄弟姐妹</t>
  </si>
  <si>
    <t>我希望带领一个族群在公会内取得新的地位。</t>
  </si>
  <si>
    <t>我喜欢在我初次完成开垦任务的建筑里打发时间，那里苔藓遍布。</t>
  </si>
  <si>
    <t>我找到了下水道里某样绝对不能见光的东西。</t>
  </si>
  <si>
    <t>我对那位在下水道里发现面朝下，飘在污水上处于生死之间的我的回收人员深表感谢。</t>
  </si>
  <si>
    <t>死亡都会降临在我们身上，所以别指望我在乎那些不能战胜死亡的人。</t>
  </si>
  <si>
    <t>我觉得每个葛加理之外的人都轻视我。</t>
  </si>
  <si>
    <t>我有必要向那些享有住在地面上特权的人复仇。</t>
  </si>
  <si>
    <t>我不会用献媚的语句来表达我的观点。</t>
  </si>
  <si>
    <t>无论多廉价，我都管不住自己的手，想把所有见到的小饰品和硬币装进我的口袋里。</t>
  </si>
  <si>
    <t>其他公会的成员都不明白生和死的本质，因此我觉得我比他们都要更强更棒。</t>
  </si>
  <si>
    <t>驯兽、运动</t>
  </si>
  <si>
    <t>从龙语、巨人语、地精语、木族语中选择一项</t>
  </si>
  <si>
    <t>瓦砾区难民</t>
  </si>
  <si>
    <t>你十分熟悉那些城市中大多数人通常会回避的区域：亚龙暴乱导致荒废的临近街区，数十年中从未有人照料导致过度生长的公园，文明种族废弃长久的，广阔的，不断蔓延的，充斥着破碎地形的瓦砾区。你可以找到一个适合你和你队友的地方来隐藏或休息在这些区域。额外的，你每天可以在这些区域为你自己和至多五个人找到食物和新鲜的水源。</t>
  </si>
  <si>
    <r>
      <rPr>
        <sz val="11"/>
        <color rgb="FF000000"/>
        <rFont val="宋体"/>
        <family val="3"/>
        <charset val="134"/>
      </rPr>
      <t>戏法：</t>
    </r>
    <r>
      <rPr>
        <sz val="11"/>
        <color rgb="FF000000"/>
        <rFont val="MS Gothic"/>
        <family val="3"/>
        <charset val="128"/>
      </rPr>
      <t>​</t>
    </r>
    <r>
      <rPr>
        <sz val="11"/>
        <color rgb="FF000000"/>
        <rFont val="宋体"/>
        <family val="3"/>
        <charset val="134"/>
      </rPr>
      <t>火焰箭、燃火术
1环：强令对决、动物交谈、雷鸣波
2环：</t>
    </r>
    <r>
      <rPr>
        <sz val="11"/>
        <color rgb="FF000000"/>
        <rFont val="MS Gothic"/>
        <family val="3"/>
        <charset val="128"/>
      </rPr>
      <t>​</t>
    </r>
    <r>
      <rPr>
        <sz val="11"/>
        <color rgb="FF000000"/>
        <rFont val="宋体"/>
        <family val="3"/>
        <charset val="134"/>
      </rPr>
      <t>野兽知觉、粉碎音波
3环：</t>
    </r>
    <r>
      <rPr>
        <sz val="11"/>
        <color rgb="FF000000"/>
        <rFont val="MS Gothic"/>
        <family val="3"/>
        <charset val="128"/>
      </rPr>
      <t>​</t>
    </r>
    <r>
      <rPr>
        <sz val="11"/>
        <color rgb="FF000000"/>
        <rFont val="宋体"/>
        <family val="3"/>
        <charset val="134"/>
      </rPr>
      <t>召唤动物、召唤箭雨
4环：支配野兽、石肤术
5环</t>
    </r>
    <r>
      <rPr>
        <sz val="11"/>
        <color rgb="FF000000"/>
        <rFont val="MS Gothic"/>
        <family val="3"/>
        <charset val="128"/>
      </rPr>
      <t>​</t>
    </r>
    <r>
      <rPr>
        <sz val="11"/>
        <color rgb="FF000000"/>
        <rFont val="宋体"/>
        <family val="3"/>
        <charset val="134"/>
      </rPr>
      <t>：湮灭波</t>
    </r>
  </si>
  <si>
    <t>不喜欢人群，对我而言荒野中的野兽是不会背叛我的朋友（狗比人更忠诚）</t>
  </si>
  <si>
    <t>继续，侮辱我——我赌你不敢（？？？）</t>
  </si>
  <si>
    <t>我蔑视那些脱离了城市的舒适生活就生存不下来的人（城市乐色！）</t>
  </si>
  <si>
    <t>别告诉我我不被允许做某事（我命由我不由你！）</t>
  </si>
  <si>
    <t>规则是那些不敢直面自己内心中的野兽的人准备的（直面本我，实现超我）</t>
  </si>
  <si>
    <t>我用我敌人的鲜血涂抹我的皮肤（为了剥皮双子！）</t>
  </si>
  <si>
    <t>事实上我是被马卡兽养大的（狼孩）</t>
  </si>
  <si>
    <t>HarrRRAAGGHH！[我几乎不能说连贯的句子并且乐意用砸东西来表达自己的情绪]</t>
  </si>
  <si>
    <t>部族：我的部族胜于一切。</t>
  </si>
  <si>
    <t>无序：没有人或法律或习俗可以强迫他人做事。</t>
  </si>
  <si>
    <t>中立：我们生而自由，故活仍应自由。</t>
  </si>
  <si>
    <t>力量：强者统治弱者，此乃自然之理。</t>
  </si>
  <si>
    <t>愤怒：AAAAARRRRggggh！[生活就是感受胃中愤怒的燃烧！]</t>
  </si>
  <si>
    <t>传统：古神之路必将延续与信仰。</t>
  </si>
  <si>
    <t>我认定我必将引领我自己的部族或者一个新的部族。</t>
  </si>
  <si>
    <t>我将会为我部落的酋长奉献生命。</t>
  </si>
  <si>
    <t>其他部族的酋长嫉恨我。</t>
  </si>
  <si>
    <t>我忠诚于瓦砾区中的一片神圣的区域。</t>
  </si>
  <si>
    <t>我的武器是由我第一个猎到的锐牙兽制成的。</t>
  </si>
  <si>
    <t>GrrrRRAAAAGGHH！[我将会做任何事来变得比我的兄弟姐妹或我的祖先更加强大！]</t>
  </si>
  <si>
    <t>如果你质疑我的勇气，我绝不拒绝挑战！</t>
  </si>
  <si>
    <t>HrrrGGGAAAARRuuuh！[我在战斗中的怒火致使了我挚爱的死亡。]</t>
  </si>
  <si>
    <t>我就像一只冲击野猪一般顽固。</t>
  </si>
  <si>
    <t>我非常确信我的远胜于柔弱的文明佬，我将不遗余力的证明这件事。</t>
  </si>
  <si>
    <t>我很容易被我认为很有魅力的人控制。</t>
  </si>
  <si>
    <t>我没有实际上的那么愤怒。</t>
  </si>
  <si>
    <t>部族</t>
  </si>
  <si>
    <t>火树部族</t>
  </si>
  <si>
    <t>高尔族</t>
  </si>
  <si>
    <t>司凯族</t>
  </si>
  <si>
    <t>司立族</t>
  </si>
  <si>
    <t>砾藏族</t>
  </si>
  <si>
    <t>筑塔族</t>
  </si>
  <si>
    <t>未成年人或一个新的部族</t>
  </si>
  <si>
    <t>特罗戈</t>
  </si>
  <si>
    <t>奥秘、调查</t>
  </si>
  <si>
    <t>在龙语、地精语、维多肯语中任选一项</t>
  </si>
  <si>
    <t>城市基建</t>
  </si>
  <si>
    <t>伊捷联盟的流行概念基于疯狂的发明、危险的实验和剧烈的爆炸。这个观点大部分是准确的，但是联盟也会参与到建设和建造的世俗任务中，主要是修建基础设施，让拉尼卡人享受自来水、悬浮平台，以及其他魔法的又科技的奇迹。 
你对建筑物的结构，包括墙后的材质有基本的了解。您还可以找到某栋建筑的蓝图，以便了解其构造的细节。这样的蓝图可以为你提供切入点、结构弱点或秘密空间等知识。你获得这些信息的途径不是毫无限制的。如果获得或使用这些信息使你陷入法律困境，公会也不能保护你免受影响。</t>
  </si>
  <si>
    <t>戏法：燃火术、电爪
1环：混乱箭、造水/枯水术
2环：灼热金属、魔绳术
3环：召雷术、元素武器、守卫刻文
4环：召唤次级元素生物、预言术、欧提路克弹力法球
5环：活化物件、召唤元素生物</t>
  </si>
  <si>
    <t xml:space="preserve">我很难把注意力集中……噢，我的思维又跳跃到另一个方向了……我刚刚提到集中了吗？ </t>
  </si>
  <si>
    <t xml:space="preserve">我的想法让我非常兴奋，我迫不及待地想找人讨论这些想法并开始将它们付诸实践，我要让你们知道一切是多么令人兴奋！ </t>
  </si>
  <si>
    <t xml:space="preserve">这并不是魔法或别的什么东西，真的。完全是因为你半途而废了。而我无论做什么都会全力以赴。 </t>
  </si>
  <si>
    <t>我做事全凭直觉。</t>
  </si>
  <si>
    <t>生活就是一场实验，我已经迫不及待地想看看会发生什么了。</t>
  </si>
  <si>
    <t>我说话总是夹杂着令人费解的行业术语，例如“将米捷液滴插入到怪奇力场悬浮系统中”。</t>
  </si>
  <si>
    <t xml:space="preserve">伟大的想法是好的，但是伟大的结果才是重要的。 </t>
  </si>
  <si>
    <t>如果你能猜到我要干什么，那就意味着我的想象力已经枯竭了。</t>
  </si>
  <si>
    <t>创造力：世界上一半的麻烦来自停留在过去的古板想法。我们需要全新的解决方案。</t>
  </si>
  <si>
    <t>发现：每个实验都有可能揭开多重宇宙的更多奥秘。</t>
  </si>
  <si>
    <t>科学：严格应用符合逻辑的准则和草案将比任何信任系统更可靠地引导我们前进。</t>
  </si>
  <si>
    <t>乐趣：我喜欢我的工作！尽管工作的条件很危险，但除此之外我什么都不想做。</t>
  </si>
  <si>
    <t>权力：总有一天我发现或创造出魔法会让我成为拉尼卡最强大的存在。</t>
  </si>
  <si>
    <t xml:space="preserve">我毕生致力于寻找解决一个科研难题的方法。 </t>
  </si>
  <si>
    <t xml:space="preserve">我永远不会忘记那个让我能够学习技艺的实验室，或者和我一起学习的其他侍从。 </t>
  </si>
  <si>
    <t>我确信是一起蓄意破坏行为摧毁了我的第一个实验室，害死了我许多朋友。我寻找凶手并试图报复。</t>
  </si>
  <si>
    <t xml:space="preserve">我有一个发明的构思蓝图，而一旦我有了必要的资源，就有希望完成它。 </t>
  </si>
  <si>
    <t xml:space="preserve">我和我的同窗同学正在争先恐后地试图攻克同一个科研难题。 </t>
  </si>
  <si>
    <t xml:space="preserve">公会会长让我做什么，我就做什么。 </t>
  </si>
  <si>
    <t>如果有计划，我就会忘记它；如果我忘不掉，我就会忽略它。</t>
  </si>
  <si>
    <t>我很容易感到无聊，如果没什么事情发生，我就会创造一些事情。</t>
  </si>
  <si>
    <t xml:space="preserve">没有任何事情是简单的，如果它确实看起来简单，我会想办法让它变得复杂。 </t>
  </si>
  <si>
    <t xml:space="preserve">在进行研究时，我往往会好几天不休不眠，这经常会以牺牲我自己的健康和安全为代价。 </t>
  </si>
  <si>
    <t xml:space="preserve">我相信，除了伟大的尼米捷之外，拉尼卡没有灵魂能比得上我无穷的智慧。 </t>
  </si>
  <si>
    <t>我绝不会承认我的逻辑有缺陷。</t>
  </si>
  <si>
    <t>威吓、宗教</t>
  </si>
  <si>
    <t>利用</t>
  </si>
  <si>
    <t>你可以在公会的层级中对低于您的一个或多个个人施加影响，并根据需要请求他们的帮助。例如，你可以让人带着信息穿过一个街区，免费搭乘一辆短途马车，或者让别人帮你清理在小巷里留下的血迹。DM决定你的要求是否合理，是否有下级成员可以满足它们。随着你在公会中地位的提高，你会对更多的人产生影响，包括那些拥有更大权力的人。</t>
  </si>
  <si>
    <t>戏法：交友术、神导术
1环：命令术、迷幻手稿
2环：注目术、衰弱射线、诚实之域
3环：降咒、死者交谈、灵体卫士
4环：枯萎术、防死结界、李欧蒙秘藏箱
5环：指使术</t>
  </si>
  <si>
    <t>我总是愿意按照提供的钱财，干相应的活儿。</t>
  </si>
  <si>
    <t>债务永远不会被宽恕。</t>
  </si>
  <si>
    <t>我习惯于享受金钱可以买到的最好的乐趣。</t>
  </si>
  <si>
    <t>没有人会怀疑，我比城里那些可怜的农民群众高一等。</t>
  </si>
  <si>
    <t>除了必要的东西，我不能忍受再多花一分钱。</t>
  </si>
  <si>
    <t>我讨厌人们试图弄清楚一个严肃的事情。</t>
  </si>
  <si>
    <t>我想确保每个人都知道我是多么富有，强大和重要。</t>
  </si>
  <si>
    <t>我不认为有什么事情值得被期待。</t>
  </si>
  <si>
    <t>公会：我的公会真的很重要。</t>
  </si>
  <si>
    <t>财富：我会尽一切努力变得富有</t>
  </si>
  <si>
    <t>力量：总有一天，我将成为下达命令的人。</t>
  </si>
  <si>
    <t>威望：我希望吸引周围人的目光，钦佩，尊重，恐惧，或者甚至讨厌我。</t>
  </si>
  <si>
    <t>稳定性：混乱发生的时候，只要能控制好经济的规划，那么每个人都会守好他们的位置。</t>
  </si>
  <si>
    <t>永恒：我希望永远活着 - 哪怕肉体消亡，成为精怪也要长存。</t>
  </si>
  <si>
    <t>我因难以承受债务的重压而深陷绝望之中。</t>
  </si>
  <si>
    <t>我有义务遵守鬼影议会的祖先们的指令。</t>
  </si>
  <si>
    <t>我把我的世俗的财物看得比我的生命还重要。</t>
  </si>
  <si>
    <t>一个高层公开羞辱了我，我将对整个家庭进行报复。</t>
  </si>
  <si>
    <t>我对欧节达的信仰从不动摇。</t>
  </si>
  <si>
    <t>我想证明自己比兄长更有价值，从而确保我能继承父母财富的更大份额。</t>
  </si>
  <si>
    <t>我持有一个可能毁了我家人的可耻秘密 - 但也可以赢得鬼影议会的青睐。</t>
  </si>
  <si>
    <t>我确信我认识的每个人都在密谋反对我。</t>
  </si>
  <si>
    <t>如果有足够多的金钱回报，我会冒任何风险。</t>
  </si>
  <si>
    <t>我坚信自己比任何人都要重要得多。</t>
  </si>
  <si>
    <t>我不尊重任何不富裕的人。</t>
  </si>
  <si>
    <t>我会抓住任何机会从富裕的人那里偷窃，即使对于毫无价值的小装饰品也是如此。</t>
  </si>
  <si>
    <t>表演类型</t>
  </si>
  <si>
    <t>钉轮杂技演员</t>
  </si>
  <si>
    <t>讽刺演员</t>
  </si>
  <si>
    <t>戏火者</t>
  </si>
  <si>
    <t>木偶戏演员</t>
  </si>
  <si>
    <t>痛苦艺术家</t>
  </si>
  <si>
    <t>噪音音乐家</t>
  </si>
  <si>
    <t>梦魇骑士</t>
  </si>
  <si>
    <t>祭祀大师</t>
  </si>
  <si>
    <t>从深渊语、巨人语中选择一项</t>
  </si>
  <si>
    <t>劣迹昭著</t>
  </si>
  <si>
    <t>人们把你定义为拉铎斯的信徒，他们小心翼翼的，来不引起你的怒火或嘲弄。如果没有被法律权威目击，你可以不受轻
微犯罪的影响，比如在餐馆拒绝付餐费，或者在当地商店破门而入。大多数人被你吓得不敢向俄佐立人报告你的罪行。</t>
  </si>
  <si>
    <t>戏法：火焰箭、恶言相加
1环：燃烧之手、不谐低语、炼狱叱喝
2环：疯狂冠冕、注目术、炽焰法球
3环：恐惧术、加速术
4环：困惑术、火墙术
5环：支配人类</t>
  </si>
  <si>
    <t>我于毁灭之中汲取快乐，他们越痛苦，我就越快乐。</t>
  </si>
  <si>
    <t>我于暴力之中释放本我，在愤怒中迷失，无法停止。</t>
  </si>
  <si>
    <t>我于凡事之中悟得欢笑，为其滑稽而笑，以其酷虐而乐。</t>
  </si>
  <si>
    <t>我于痛苦之中获取欢愉，痛在他身，乐在我心。</t>
  </si>
  <si>
    <t>我乐于挑战别人的耐心，</t>
  </si>
  <si>
    <t>我无法忍受预言，既然说已被预言，那我就要在其中加入混乱，看看着预言是否成真。</t>
  </si>
  <si>
    <t>我施以权力来保证我得到我所要的。</t>
  </si>
  <si>
    <t>我乐于打碎那些精美的艺术品，手指也是一样的，他们同样是精美的艺术品。</t>
  </si>
  <si>
    <t>公会：我的公会重于一切</t>
  </si>
  <si>
    <t>享乐：死亡终将到来，故而及时行乐。</t>
  </si>
  <si>
    <t>创造：我努力的寻找各式各样的形式来从痛苦之中展现我的艺术，不论是我的痛苦还是他人的</t>
  </si>
  <si>
    <t>自由：没人能告诉我该做什么，不该做什么。</t>
  </si>
  <si>
    <t>平等：我希望看到一个没有阶级区分，没有公会限制的新拉尼卡。</t>
  </si>
  <si>
    <t>奇观：人们因他们所见艺术品中的伟大而鼓舞。</t>
  </si>
  <si>
    <t>我是某个剧团中的一员，这些人对我来说就是一切。</t>
  </si>
  <si>
    <t>一个血祭司告诉我，我有一个特殊的命运要完成，我正在试图弄明白它是什么。</t>
  </si>
  <si>
    <t>我私下里认为我能从内部改变邪教，利用我的影响力来帮助控制肆意的暴力。</t>
  </si>
  <si>
    <t>我拥有拉铎斯曾经触碰过的东西(当场被烧焦)，我很珍惜。</t>
  </si>
  <si>
    <t>我想在我选择的表演形式上比我剧团的其他成员做得更好。</t>
  </si>
  <si>
    <t>我热爱拉铎斯，我活着就是为了给他留下深刻的印象。</t>
  </si>
  <si>
    <t>我的家庭是其他公会的杰出成员，虽然我享受我狂野的生活但是我不想让他们难堪。</t>
  </si>
  <si>
    <t>我难以掩饰自己的情感与意愿，即便我想要主动掩饰也无法做到。</t>
  </si>
  <si>
    <t>我忽视了他人的警告。</t>
  </si>
  <si>
    <t>我憎恨那些富有的或者有权力的人。</t>
  </si>
  <si>
    <t>当我愤怒时，我将以暴力的形式将其发泄出来。</t>
  </si>
  <si>
    <t>世上没有太多的快乐。</t>
  </si>
  <si>
    <t>自然、游说</t>
  </si>
  <si>
    <t>一种工匠工具或一种乐器</t>
  </si>
  <si>
    <t>从精灵语、象族语、木族语中选择一项</t>
  </si>
  <si>
    <t>盟会庇护所</t>
  </si>
  <si>
    <t>作为瑟雷尼亚盟会的成员，你可以向公会中的同伴们请求庇护与援助。你和你的同伴可以进入拉尼卡的任意一处瑟雷尼亚盟地休息和躲藏——除非你被证明对该盟地产生了威胁。盟地成员将会保护你免受法律或是任何其他找麻烦的人的伤害，尽管他们不会冒生命危险做这些事。
此外，作为公会成员，你可以在瑟雷尼亚盟地获得免费的治疗和护理，但你必须提供法术所必需的材料。</t>
  </si>
  <si>
    <t>戏法：德鲁伊伎俩、交友术
1环：援助术、化兽为友、魅惑人类
2环：动物信使、安定心神、守护之链
3环：植物滋长、植物交谈
4环：生命灵光、召唤次级元素生物
5环：启蒙术、问道自然</t>
  </si>
  <si>
    <t>我从不声音过高或情绪失控。</t>
  </si>
  <si>
    <t>我能体会到我周围每个人的喜悦和痛苦，无论敌友。</t>
  </si>
  <si>
    <t>比起树敌，我更爱交友。</t>
  </si>
  <si>
    <t>我总是喜欢尽力探寻稍稍超出我感知的存在。</t>
  </si>
  <si>
    <t>如果我不能看到正在生长的植物或是感受到脚下的泥土，我会非常不安。</t>
  </si>
  <si>
    <t>看到任何生物生病或是受伤都会令我难过。</t>
  </si>
  <si>
    <t>我有很多值得骄傲的事情，但这都只是编织成生活这张华丽挂毯的一条丝线。</t>
  </si>
  <si>
    <t>想要理解复杂的生活，大自然教会了我们很多。</t>
  </si>
  <si>
    <t>公会：我的公会是我的一切</t>
  </si>
  <si>
    <t>和谐：没有什么能够比为了共同目标而发出的声音和行动更美好了。</t>
  </si>
  <si>
    <t>秩序：如同一颗经过精心修剪的树，社会的蓬勃发展源自一切事物各归其位。</t>
  </si>
  <si>
    <t>生命：保护生命和自然永远值得我们去努力。</t>
  </si>
  <si>
    <t>谦卑：野心和骄傲是冲突的根源。</t>
  </si>
  <si>
    <t>福音：当所有人都加入瑟雷尼亚盟会，拉尼卡才能明白什么是和平。</t>
  </si>
  <si>
    <t>我愿用生命守护那个我第一次接触到太瑟雷尼亚时所在的盟地。</t>
  </si>
  <si>
    <t>我喜欢所有的植物和动物，厌恶伤害它们的行为。</t>
  </si>
  <si>
    <t>多亏了一位治疗师照顾我，我才能从一场致命的疾病中恢复过来。</t>
  </si>
  <si>
    <t>我会吟唱太瑟雷尼亚的邀请作为我的遗言。</t>
  </si>
  <si>
    <t>我收藏有一片维图加基的树叶——它会随着季节改变颜色，即使已经离开了树枝。</t>
  </si>
  <si>
    <t>每位盟会的成员都是我的亲人，我愿为任何一位盟会成员而战。</t>
  </si>
  <si>
    <t>在战斗中，如果我们寡不敌众，我会感到恐慌。</t>
  </si>
  <si>
    <t>我倾向于认为每个人都是好人，除非他们证明自己不是好人。</t>
  </si>
  <si>
    <t>我喜欢舒适和宁静，宁愿避免花费额外的力气。</t>
  </si>
  <si>
    <t>我脾气比较暴躁，而不是我内心中追寻的平静。</t>
  </si>
  <si>
    <t>我感觉盟会中的任何人与世界之魂的联系都比我要更深刻。</t>
  </si>
  <si>
    <t>我希望能为我加入瑟雷尼亚之前的犯罪生活赎罪，但我发现旧习很难改正。</t>
  </si>
  <si>
    <t>奥秘、医药</t>
  </si>
  <si>
    <t>研究者</t>
  </si>
  <si>
    <t>当你需要学习或是记起某段魔法或科学的学识时，就算你并不清楚其具体信息，也总能知道从何处或何人身上着手获取。这些情报通常来自析米克实验室，有时也会来自伊捷设施、图书馆、大学、甚至是其他某个智者或某个知道相关知识的人或生物。知道哪里可以找到信息并不会自动让你学会它;你可能需要贿赂、恩惠或其他激励来诱使人们透露他们的秘密。
鉴于发掘多元宇宙最深的秘密有时会需要整趟的冒险甚至是整个战役，你的 DM可能会设定这段情报的所在是一个遥不可及的地方，或者直接将其定义为无法找到。</t>
  </si>
  <si>
    <t>戏法：酸液飞溅、德鲁伊伎俩
1环：侦测毒性和疾病、脚底抹油、跳跃术
2环：变身术、强化属性、变巨/缩小术
3环：气化形体、水下呼吸、风墙术
4环：行动自如、变形术
5环：造物术</t>
  </si>
  <si>
    <t>我迫不及待地想看看我接下来会变成什么样子！</t>
  </si>
  <si>
    <t>我相信一切都有不断改进的趋势。</t>
  </si>
  <si>
    <t>我渴望向那些对我最复杂的实验和理论不感兴趣的人解释每一个细节。</t>
  </si>
  <si>
    <t>我认为需要向每个人解释最基本的概念。</t>
  </si>
  <si>
    <t>我描述的每一件事都像是在写我的研究笔记（事实往往如此）。</t>
  </si>
  <si>
    <t>我对生活中似乎无尽的状态和变化充满了的好奇。</t>
  </si>
  <si>
    <t>我忍不住要窥探任何被禁止的东西，因为那一定非常有趣。</t>
  </si>
  <si>
    <t>我使用非常专业的词汇来避免交流中的不精确和模糊。</t>
  </si>
  <si>
    <t>公会：我的公会才是最重要的。</t>
  </si>
  <si>
    <t>改变：所有的生命都是为了追求完美，而我们的工作就是要让它快点完成——不管过程中会发生什么。</t>
  </si>
  <si>
    <t>知识：理解这个世界比你用你的知识做什么更重要。</t>
  </si>
  <si>
    <t>进步：我想把这个世界改造成更高级的生命形式，让所有人都能享受进化。</t>
  </si>
  <si>
    <t>逻辑：让感情和原则干扰逻辑的结论是愚蠢的。</t>
  </si>
  <si>
    <t>傲慢：我巨大的智慧和力量使我能轻易对他人施加影响。</t>
  </si>
  <si>
    <t>我协助创造了一个融合体，我像爱宠物一样爱它，它会带我去任何地方……但它有一栋楼那么大，甚至可能会吃掉我。</t>
  </si>
  <si>
    <t>在我的实验室里，我发现了一种东西，我觉得它可以消灭拉尼卡一半的生物。</t>
  </si>
  <si>
    <t>我分支中的其他研究人员是我的家人——一个古怪的大家庭，包括许多公会成员和其他物种。</t>
  </si>
  <si>
    <t>我曾经的实验室包含了对我来说珍贵的一切。</t>
  </si>
  <si>
    <t>我要报复那个杀了我宝贵的融合体造物的目光短浅的傻瓜。</t>
  </si>
  <si>
    <t>我做的每件事都是为了给我爱的人留下深刻的印象。</t>
  </si>
  <si>
    <t>我有一个相当尴尬的突变，我会尽我所能不让别人发现它。</t>
  </si>
  <si>
    <t>比起和怪兽战斗，我更感兴趣的是记录怪兽的解剖结构。</t>
  </si>
  <si>
    <t>我似乎会在每一个社交场合问一些粗鲁的私人问题。</t>
  </si>
  <si>
    <t>我坚信我有能力适应任何情况和处理任何危险。</t>
  </si>
  <si>
    <t>为获得对我的科学才华的肯定我愿意冒任何风险。</t>
  </si>
  <si>
    <t>在我的研究和其他必须完成的任务中，我倾向于寻找捷径。</t>
  </si>
  <si>
    <t>分支项目</t>
  </si>
  <si>
    <t>甲壳分支：注重保护与耐用性</t>
  </si>
  <si>
    <t>鳍类分支：注重移动力</t>
  </si>
  <si>
    <t>涡流分支：注重周期性变化与超魔</t>
  </si>
  <si>
    <t>守护者项目：注重创造守卫怪物和超级士兵</t>
  </si>
  <si>
    <t>隐匿项目：情报与反情报</t>
  </si>
  <si>
    <t>新领域的独立研究</t>
  </si>
  <si>
    <t>调查、游说</t>
  </si>
  <si>
    <t>两种，视家族决定：
卡尼斯：炼金工具和修补工具
邓奈斯：一种赌博工具和载具（陆运）
伽兰达：酿酒工具和厨师工具
乔拉斯克：炼金工具和草药工具
昆达拉克：修理工具和盗贼工具
林兰德：载具（空运/海运）和领航工具
梅丹尼：盗贼工具和易容工具
欧瑞恩：载具（陆运）和一种赌具
费奥兰：易容工具和一种乐器
西维斯：书法工具和文书伪造工具
萨拉释克：领航工具和一种赌具
索兰尼：制毒工具和一种乐器
瓦塔利斯：载具（陆运）和草药工具</t>
  </si>
  <si>
    <t>家族背景</t>
  </si>
  <si>
    <t>你身为你家族的代理人，总是能够在家族飞地中为自己和朋友获得食宿。当家族给你任务时，通常会为你提供必要的补给和交通。除此之外，你在家族中还有很多老朋友、导师和竞争对手，当你在为家族工作时，可能会遇到其中之一。身为一名林兰德家族代理人，你可能认识一艘飞空艇的船长；身为一名伽兰达家族的代理人，你会认识很多旅馆老板和调酒师。这些熟人会帮你多大的忙取决于你目前在家族中的地位。</t>
  </si>
  <si>
    <t>我从不让感情复杂化。</t>
  </si>
  <si>
    <t>我总是想提高效率。</t>
  </si>
  <si>
    <t>我会告诉别人一些和自己家族业务有关的琐事。</t>
  </si>
  <si>
    <t>我对自己和任何共事者都有极高的要求。</t>
  </si>
  <si>
    <t>我永远不会忘记对我自己或家族的侮辱。</t>
  </si>
  <si>
    <t>我对我家族达成的每一件事都感到激动和兴奋。</t>
  </si>
  <si>
    <t>我是家族的颜面，同时对自己的外表拥有很高的自信。</t>
  </si>
  <si>
    <t>我对君主制和任何针对家族的限制都感到不满。</t>
  </si>
  <si>
    <t>共同利益：我的龙纹家族在世界上举足轻重，它的繁荣能够让所有人得利。</t>
  </si>
  <si>
    <t>传统：我恪守家族传统，为家庭争取荣耀。</t>
  </si>
  <si>
    <t>创新：抛弃旧的传统，找到更好的做事方法。</t>
  </si>
  <si>
    <t>权力：我想确保家族的繁荣昌盛，以便利用家族在世间的权势。</t>
  </si>
  <si>
    <t>发现：为了我的家族和满足好奇心，我想尽我所能地学习。</t>
  </si>
  <si>
    <t>舒适：我想要确保我的我的爱人能够享受生活中最美好的东西。</t>
  </si>
  <si>
    <t>我的龙纹家族就是我的家人，我愿意为我的家人做任何事。</t>
  </si>
  <si>
    <t>我爱上了另一个龙纹家族的人，但是这种关系是禁忌的。</t>
  </si>
  <si>
    <t>我爱的人被自己家族中的敌对派别杀害了，我决心报仇。</t>
  </si>
  <si>
    <t>我并不关心家族整体如何，但我愿意为我的老导师做任何事。</t>
  </si>
  <si>
    <t>我相信我的家族需要进化才能生存，而我需要引领这个变化。</t>
  </si>
  <si>
    <t>我决心给家族中的领导留下深刻的印象，并借此上位。</t>
  </si>
  <si>
    <t>职责</t>
  </si>
  <si>
    <t>采购</t>
  </si>
  <si>
    <t>研发</t>
  </si>
  <si>
    <t>安保</t>
  </si>
  <si>
    <t>恐吓</t>
  </si>
  <si>
    <t>探索</t>
  </si>
  <si>
    <t>谈判</t>
  </si>
  <si>
    <t>地下活动</t>
  </si>
  <si>
    <t>欺瞒、表演</t>
  </si>
  <si>
    <t>一种乐器、盗贼工具</t>
  </si>
  <si>
    <t>傻笑歌谣</t>
  </si>
  <si>
    <t>像其他自由斗士一样，你知道如何找到藏身之处。在集会海岸或敦达里安帝国中任何人口过万的城市中，你都可以在当地最大的酒馆或旅店中演奏傻笑歌谣暗示自己的身份，之后将有当地金色笑脸的同志联络你并为你和你愿意信任的同伴提供庇护所。如果DM认为隐藏你过于危险也可以决定废弃庇护所。这个特性使用时必须谨慎，因为知道这首歌曲的人除了你的战友，还可能会是叛徒、特务、或是其他独裁者的走狗。</t>
  </si>
  <si>
    <t>我喜欢聚光灯，大家快看我！</t>
  </si>
  <si>
    <t>请我一杯，咱俩就是朋友了。</t>
  </si>
  <si>
    <t>多讲讲你自己，我是最棒的倾听者。</t>
  </si>
  <si>
    <t>我讨厌开战，我只喜欢停止它们。</t>
  </si>
  <si>
    <t>我很难坐的住。</t>
  </si>
  <si>
    <t>我总是哼着我过去的老歌。</t>
  </si>
  <si>
    <t>当我没有遇到好事时就会很难过。</t>
  </si>
  <si>
    <t>我幸运到你不敢相信。</t>
  </si>
  <si>
    <t>革命：推翻暴政，不论代价。</t>
  </si>
  <si>
    <t>同情：勿以善小而不为，小善积而为大善。</t>
  </si>
  <si>
    <t>正义：建立在正义基础上的国家将维护所有人的自由。</t>
  </si>
  <si>
    <t>表达：音乐、欢乐、以及笑容是通往自由的钥匙。</t>
  </si>
  <si>
    <t>自主：人们应该随心所欲。</t>
  </si>
  <si>
    <t>警惕：自由的人民需要认真的教导，以免走上歧路。</t>
  </si>
  <si>
    <t>敦达里安帝国的特工害我失去了重要的人，那个政权必须被摧毁。</t>
  </si>
  <si>
    <t>最先受到这场战争伤害的将会是普通民众，我需要保护他们。</t>
  </si>
  <si>
    <t>音乐帮我度过了人生中的黑暗时期，现在该是我用音乐改变世界了。</t>
  </si>
  <si>
    <t>我将被称为有史以来最伟大的谍报员。</t>
  </si>
  <si>
    <t>我认为每个人的生命都是宝贵的，所以我在改变世界的过程中不会去制造伤亡。</t>
  </si>
  <si>
    <t>象牙塔里的精英并不理解我们的苦难，我会让他们明白的。</t>
  </si>
  <si>
    <t>我这辈子从不撒谎，这句当然也不是，我才没心虚！</t>
  </si>
  <si>
    <t>成大事者不拘小节！这话有问题吗？</t>
  </si>
  <si>
    <t>在战争中当一名地下工作者非常难过，我见识了太多的苦难，已经快被折磨疯了。</t>
  </si>
  <si>
    <t>我难以专注于任务，随时都想畅饮、高歌、玩个痛快！</t>
  </si>
  <si>
    <t>对，这是我的真名，我还是金色笑脸的卧底，谁在乎什么潜伏不潜伏的？</t>
  </si>
  <si>
    <t>我不相信任何人，任·何·人。</t>
  </si>
  <si>
    <t>偏好乐曲</t>
  </si>
  <si>
    <t>赞斯归来：一首描绘正直统治者终将出现的充满希望的塔尔多雷民谣，可以用来寻找潜在的盟友</t>
  </si>
  <si>
    <t>大火烧遍海岸：一首讲述炸沉海盗船的喧闹的克洛维斯联会战斗小调，可以用来激励战斗</t>
  </si>
  <si>
    <t>嘘！前方有龙：一首回忆红龙“灰烬王”入侵后恐怖日子的塔尔多雷民歌，可以用来提醒谨言慎行</t>
  </si>
  <si>
    <t>让剑生锈吧：一首传唱故事已无法确定的反战的马奎特颂歌，可以用来平息暴力冲突</t>
  </si>
  <si>
    <t>李哥继续喝：一首嘲笑喝高的少年们在断片后偷渡上船的集会海岸轮舞曲，可以用来劝告在交际时保持清醒</t>
  </si>
  <si>
    <t>翡翠火焰的挽歌：一首据称包含众多晦涩诗句的精灵歌曲，可以用前两节来传播死亡或失败的信息</t>
  </si>
  <si>
    <t>影子网络</t>
  </si>
  <si>
    <t>你可以通过使用影子网络与其他成员进行远距离的通信，如果你用一种特殊的奥术墨水书写信件和地址，并将信投入火中，它将会在烧尽后直接出现在收件特工的身上。
类似法师们抄写魔法书时的墨水成本，通过这种墨水所写的每封信也需要花费10GP。</t>
  </si>
  <si>
    <t>我不愿向他人透露心事。</t>
  </si>
  <si>
    <t>我沉迷恶习，自我麻痹。</t>
  </si>
  <si>
    <t>我抛弃所有情感来获得平静。</t>
  </si>
  <si>
    <t>往事不断在我的脑海中徘徊，让我不得安宁。</t>
  </si>
  <si>
    <t>我总是说话算话，除非我受命违背承诺。</t>
  </si>
  <si>
    <t>我从不把冒犯当回事，总是一笑了之。</t>
  </si>
  <si>
    <t>命令：国王的意志是绝对的。</t>
  </si>
  <si>
    <t>真正的忠诚：三头犬密会至高无上，国王也无法与之相比。</t>
  </si>
  <si>
    <t>死亡：背叛者死。</t>
  </si>
  <si>
    <t>坚定：我永远不可以失败。</t>
  </si>
  <si>
    <t>恐惧：权利是用来让人恐惧的而不是尊重的。</t>
  </si>
  <si>
    <t>逃避：我为这个邪恶的组织犯下了无法弥补的罪行，只为了逃避自己的生活。</t>
  </si>
  <si>
    <t>工作是我的一切，我会奋斗到底。</t>
  </si>
  <si>
    <t>我把同袍看的比命令和一切都更重要，我愿意为他们赴汤蹈火。</t>
  </si>
  <si>
    <t>我做的一切都是为了保护身边的某个人。</t>
  </si>
  <si>
    <t>帝国的崩溃将导致整个文明社会堕入混乱和野蛮，我要不惜任何代价阻止这种事。</t>
  </si>
  <si>
    <t>为了减轻后脑的疼痛我一直喝酒。</t>
  </si>
  <si>
    <t>一旦见血我就会变得有点疯狂。</t>
  </si>
  <si>
    <t>被我杀害的人的脸和声音总会在我身边出现，我无法摆脱他们的冤魂。</t>
  </si>
  <si>
    <t>我会尽一切努力让隐瞒自己的身份，避免任何人从我的失误中看出，或从我在乎的人身上知道。</t>
  </si>
  <si>
    <t>悲剧</t>
  </si>
  <si>
    <t>弑亲：通过欺骗或操纵，伏击者让你杀害了自己的至亲。</t>
  </si>
  <si>
    <t>失忆：你被迫学习有害身心的魔法，以致在走火入魔之后失去了过去的记忆。</t>
  </si>
  <si>
    <t>被俘：你被克灵王朝俘虏并残遭折磨，勉强才逃了出来。</t>
  </si>
  <si>
    <t>饥荒：一场使植物全部枯萎的可怕疫病席卷了你的家乡，你的亲人朋友大多没有活下来，你也仅仅是勉强没有饿死。</t>
  </si>
  <si>
    <t>毁容：你的样貌在一场出了大错的复杂实验中遭到了严重的伤害，在那之后，除了伏击者之外的其他人都对你避之不及。</t>
  </si>
  <si>
    <t>变故：你原本是个富家子弟，但仿佛一刹那间，家里就已经破产了。</t>
  </si>
  <si>
    <t>察觉、表演</t>
  </si>
  <si>
    <t>攀亲带故</t>
  </si>
  <si>
    <t>你曾被引荐给许多有权势的人，其中一部分人可能还对你有些印象。如果你的DM同意，你可以从战役的主要人物那里争取到一些额外的协助。另外普通人也会敬重你，你也许可以用家族的故事交换免费的一餐或一宿免费的住宿。</t>
  </si>
  <si>
    <t>我永远无法摆脱父母的名气，没人理解我的负担。</t>
  </si>
  <si>
    <t>我已经见识了很多的冒险生活，对同龄人有更合理的预期和共鸣。</t>
  </si>
  <si>
    <t>实现家族的期待很困难，但我会为之努力。</t>
  </si>
  <si>
    <t>我已经习惯了最好的生活，很难打破这种舒适圈。</t>
  </si>
  <si>
    <t>父母教育我要有责任感，即使会对我不利的情况下我也努力坚持这一点。</t>
  </si>
  <si>
    <t>没人能像我一样擅长虚伪的客套。</t>
  </si>
  <si>
    <t>从我学会走路起，我就一直被父母带着冒险，所以让我来给你解释一些常识。</t>
  </si>
  <si>
    <t>击败敌人（并拿走战利品）值得冐任何风险。</t>
  </si>
  <si>
    <t>权力：取得成功的唯一方法就是紧抓权力绝不松手。</t>
  </si>
  <si>
    <t>和平：那些能在乱世中寻得或是创造和平的人已经有了一切。</t>
  </si>
  <si>
    <t>名声：我已经看到了名声可能带来什么，我会尽一切努力去争取这些。</t>
  </si>
  <si>
    <t>训练：努力工作、自我牺牲、以及坚持训练将会带来成功，并最终臻于化境。</t>
  </si>
  <si>
    <t>低调：我想在成功之后归隐故园，将自己与整个世界隔离开来。</t>
  </si>
  <si>
    <t>智慧：物质财富如过眼云烟，只有智慧才是真正的财富。</t>
  </si>
  <si>
    <t>当父母在外冒险时，是奶妈养大了我，对我来说她比任何人更重要。</t>
  </si>
  <si>
    <t>父母昔日冒险团队中的每个人都像我的家人一样。</t>
  </si>
  <si>
    <t>尽管缺席了我的成长，但我依然爱着善良和蔼的父母，我希望让他们以我为傲。</t>
  </si>
  <si>
    <t>父母曾经将一个被诅咒的魔法道具带回家，我一直希望找到解除方法。</t>
  </si>
  <si>
    <t>我童年居住的家中有我一切的美好回忆，对它的维护是我最重视的事情。</t>
  </si>
  <si>
    <t>从幼时起，我一直有个可以永远信赖的幻想朋友，到现在它依然陪伴着我。</t>
  </si>
  <si>
    <t>你根本不知道我经历了什么，你也永远体验不到。</t>
  </si>
  <si>
    <t>嘿，把我的斗篷拿过来，顺便给我揉揉脚。</t>
  </si>
  <si>
    <t>我的战友很勇敢，但只有独自战胜威胁才能证明我的价值。</t>
  </si>
  <si>
    <t>那个咒语啊，是用我父母最好的朋友命名的，要不要我给你讲讲他们的故事啊？</t>
  </si>
  <si>
    <t>美好的生活已停留在过去，前方的道路只剩下辛劳、痛苦、以及死亡。</t>
  </si>
  <si>
    <t>你要自己照顾好自己，其他人都指望不上。</t>
  </si>
  <si>
    <t>供应链</t>
  </si>
  <si>
    <t>从你开始经商起，你就一直与贸易伙伴们保持着联系，当你需要获取某些信息或物品时他们可能会助你一臂之力。</t>
  </si>
  <si>
    <t>过去的我没有成功所需的铁石心肠，但将来的我不会再心慈手软了。</t>
  </si>
  <si>
    <t>即使我的对手都认为我又聪明又善良，这些特质应该会有利于我。</t>
  </si>
  <si>
    <t>有自制力才能成功。</t>
  </si>
  <si>
    <t>客户永远是对的。</t>
  </si>
  <si>
    <t>我曾经为了利益不择手段，偷工减料或者不遵守交易条款，所以我才失败了。</t>
  </si>
  <si>
    <t>每当我想到一个主意，就会一门心思的实现它，哪怕这个主意很糟糕。</t>
  </si>
  <si>
    <t>如果我能和所有人做朋友，就会永远有人帮助我。</t>
  </si>
  <si>
    <t>我既不适合做商人也不愿意冒险，所以之前才会失败，但我还是为了钱不得不继续。</t>
  </si>
  <si>
    <t>生存：活着就有希望，只要我能活下来并保持变通的心态，我就会成功。</t>
  </si>
  <si>
    <t>慷慨：我失意的时候人们帮助了我，现在我已经重新站起来了，该我帮助别人了。</t>
  </si>
  <si>
    <t>激进：谨慎曾经让我在事业上一事无成，以后我不会再让它阻碍我了。</t>
  </si>
  <si>
    <t>财富：只要有足够的钱我就可以买到一切：不管是舒适的生活、还是权力和知识、甚至是永恒的生命，所以我不会让任何事物阻止我去赚钱。</t>
  </si>
  <si>
    <t>稳定：商业贸易对我来说太混乱了，我需要一个类似冒险家一样的稳定职业。</t>
  </si>
  <si>
    <t>救赎：很多人觉得我已经是个失败者了，我要证明他们是错的。</t>
  </si>
  <si>
    <t>家人是我的一切。我之前对不起他们，以后我再也不会失败了。</t>
  </si>
  <si>
    <t>我的教会提供了我与神的联系，所以我必须确保它受到保护和资助。</t>
  </si>
  <si>
    <t>我之前的生意伙伴生病了，然后我们的生意也失败了，我需要从新事业的收益中拿出一部分去照顾他的家庭。</t>
  </si>
  <si>
    <t>没有人会跟我一辈子，只有武器或魔杖永远陪伴着我，所以我要好好保养我的装备。</t>
  </si>
  <si>
    <t>虽然我的生意失败了，但社区里的同胞还是对我很好，所以我将竭尽全力保护他们。</t>
  </si>
  <si>
    <t>我欠了一个危险的人一大笔债，只有哄他高兴我才不用立刻还款。</t>
  </si>
  <si>
    <t>下个城镇我就能用铜板买的东西为什么要现在就用金币买？</t>
  </si>
  <si>
    <t>我必须拥有最好的一切，现在就要。</t>
  </si>
  <si>
    <t>你连我都没听说过？那一定是因为你是个无知的下等人。</t>
  </si>
  <si>
    <t>虽然我失败了，但我还是最棒的，别人之所以成功只是因为靠不正当竞争或者该死的运气而已。</t>
  </si>
  <si>
    <t>我觉得大多数人都是值得信赖的，唉？谁把我的小包偷走了？</t>
  </si>
  <si>
    <t>只有同伴能帮我抵挡危险，所以我要把他们推到前面。</t>
  </si>
  <si>
    <t>欺瞒、洞悉</t>
  </si>
  <si>
    <t>永远不要告诉我赔率</t>
  </si>
  <si>
    <t>胜算和概率是你的谋生之道。在修整期活动中，如果DM同意，你可以知道哪种选择是最好的，或者哪些选择好过头了。</t>
  </si>
  <si>
    <t>我为一切情况都做好预案，算无遗策。</t>
  </si>
  <si>
    <t>每一分钱都希望身价倍增，每次下注都是一个机会。</t>
  </si>
  <si>
    <t>我是幸运女神的宠儿，我做什么都注定成功。</t>
  </si>
  <si>
    <t>我在赌博中输了太多，以致我不敢再在其他任何事情上花钱。</t>
  </si>
  <si>
    <t>世事无常，懦夫才会提前计划。</t>
  </si>
  <si>
    <t>我已经记不清欺骗过哪些人或击败过哪些人，所以我在公共场所都会保持低调。</t>
  </si>
  <si>
    <t>完美的赌注就在某个地方，我只需要发现它。</t>
  </si>
  <si>
    <t>我已经戒赌了，但只要有诱惑我就可能又会回到赌桌上。</t>
  </si>
  <si>
    <t>知识：知识就是力量，知道什么东西赢面大是最重要的。</t>
  </si>
  <si>
    <t>命运：命里有时终须有，命里无时莫强求。</t>
  </si>
  <si>
    <t>勇敢：想成功必须要冒险。</t>
  </si>
  <si>
    <t>生存：活着才有机会胜利，所以运气不好的时候可以先退避。</t>
  </si>
  <si>
    <t>可靠：过去我曾依赖别人，将来我希望可以成为别人的依靠。</t>
  </si>
  <si>
    <t>胜利：胜负是衡量一个人的唯一标准。</t>
  </si>
  <si>
    <t>有个人欠我很多钱，为了收回债务我得确保他活着。</t>
  </si>
  <si>
    <t>我对教会我赌博的家人/朋友忠心耿耿。</t>
  </si>
  <si>
    <t>救我脱离赌瘾的人是我的再生父母。</t>
  </si>
  <si>
    <t>之前有人赞助我一笔启动资金，现在我欠他一个人情，还有一笔说好分给他的利润。</t>
  </si>
  <si>
    <t>我之前效力的犯罪组织对我的离开很不满意，现在他们的打手正在找我。</t>
  </si>
  <si>
    <t>流浪儿曾经帮助我获得胜利，现在我希望能帮助他们不要再流落街头。</t>
  </si>
  <si>
    <t>我做不到及时收手，哪怕是其他人都警告了我之后。</t>
  </si>
  <si>
    <t>我只会同情我的朋友，但我不觉得谁是朋友。</t>
  </si>
  <si>
    <t>你觉得我们有麻烦了么？要不是我本来事情还会更糟糕的。</t>
  </si>
  <si>
    <t>你会借我一点钱吧？我会保证双倍还你的！</t>
  </si>
  <si>
    <t>我过去跟你一样也有缺点，现在我来告诉你怎么改善自己吧。</t>
  </si>
  <si>
    <t>我其实很善于赌博，只是逻辑和数学思维有点欠缺罢了。</t>
  </si>
  <si>
    <t>医药、游说</t>
  </si>
  <si>
    <t>法律术语</t>
  </si>
  <si>
    <t>你在当地的法律实践经验使你对法律制度的来龙去脉有了清晰的认识。即使法律实际对你不利，你也可以通过使用一些晦涩的措辞（比如“不法行为不产生权利”或是“任何人不因思想受处罚”）来吓唬对方，让他们以为你很懂行。对于那些不懂法律的普通人，你可以通过威吓或欺瞒来获得帮助或特殊待遇。</t>
  </si>
  <si>
    <t>我简直不敢相信我能有机会加入艾奎兹玄有限责任公司，我将享受这种乐趣！</t>
  </si>
  <si>
    <t>我一直受到不公平的对待，我觉得全世界都欠我的。</t>
  </si>
  <si>
    <t>我总是尽人事以听天命。</t>
  </si>
  <si>
    <t>法律不保护诚实和勤奋的人，我要尽我所能的去纠正它。</t>
  </si>
  <si>
    <t>我总在错误的时间出现在错误的地点。</t>
  </si>
  <si>
    <t>我的上司比我更聪明更机灵，所以他让我做什么我就做什么。</t>
  </si>
  <si>
    <t>我的座右铭是“不要错过任何赚快钱的机会”</t>
  </si>
  <si>
    <t>我觉得众神不再眷顾我了。</t>
  </si>
  <si>
    <t>公正：违法的人都需要为自己的罪行负责。</t>
  </si>
  <si>
    <t>自由：每个人都有做自己想做的事和追求自己想达成的梦想的自由。</t>
  </si>
  <si>
    <t>贪婪：我看到每个人都得到了他们想要的，所以我无疑也会得到我想要的。</t>
  </si>
  <si>
    <t>混乱：你违反了规章！你们也违反了规章！全世界都违反了规章！</t>
  </si>
  <si>
    <t>谦逊：我只是集体中的一份子，大家都是。</t>
  </si>
  <si>
    <t>责任：我们都有自己需要扮演的角色，我会坚持到底。</t>
  </si>
  <si>
    <t>我将同一场事故中的其他受害者视为家人，我会确保他们得到照料。</t>
  </si>
  <si>
    <t>这地方的统治者对我很好，我将终生效忠于他。</t>
  </si>
  <si>
    <t>父母一直为我操心，但我会让他们以我为傲。</t>
  </si>
  <si>
    <t>唯一重要的人是付我工资的那个。</t>
  </si>
  <si>
    <t>公司的其他新员工是我的盟友，我们互相支持。</t>
  </si>
  <si>
    <t>我的法律顾问是我最好的朋友，他们辛勤的工作才为我争取到这个机会。</t>
  </si>
  <si>
    <t>不劳而获才是最好的。</t>
  </si>
  <si>
    <t>一头牛就可以换来三颗魔豆，听起来很值呀！</t>
  </si>
  <si>
    <t>我只有一个恶习，但它已经控制了我的生活。</t>
  </si>
  <si>
    <t>弱者才需要休息，为了准备好迎接未来的挑战，我们需要不断的精进自己的能力。</t>
  </si>
  <si>
    <t>除非我的事迹在全国每个酒馆都被传唱，否则我都无法满足。</t>
  </si>
  <si>
    <t>如果谁让我不快，那一定是对方的错。</t>
  </si>
  <si>
    <t>历史、调查</t>
  </si>
  <si>
    <t>内部线人</t>
  </si>
  <si>
    <t>你和前雇主或过去的工作伙伴还保持着联系，如果DM同意，你可以和他们交流一些信息。</t>
  </si>
  <si>
    <t>前雇主不把我当回事，现在我会尽我所能来赢得重视。</t>
  </si>
  <si>
    <t>工作固然重要，但与同事建立人际关系更为重要。</t>
  </si>
  <si>
    <t>工作是我的全部，我才不需要放松、爱好、或者社交生活。</t>
  </si>
  <si>
    <t>我不是最优秀或最有前途的，但如果我把自己的潜力发挥到极致，依然能克服任何困难。</t>
  </si>
  <si>
    <t>我之前的老板是个白痴，上一个也是，再上一个还是，我相信这肯定是个巧合。</t>
  </si>
  <si>
    <t>这家公司比我之前那家好多了，只要我还在这任职，我会一直觉得这里是最好的。</t>
  </si>
  <si>
    <t>我知道这把匕首是公司财产，但我相信没人在意它还在不在，这个烧瓶也是，还有这件盔甲。</t>
  </si>
  <si>
    <t>我升职加薪只是时间问题，我只需要上恭下倨就行。</t>
  </si>
  <si>
    <t>晋升：在组织里可以更容易地获得金钱和权力。我计划尽可能多地获益。</t>
  </si>
  <si>
    <t>体系：当你在一个系统里循规蹈矩的工作时，生活将会更加稳定。</t>
  </si>
  <si>
    <t>不确定性：我周围越混乱，我就能找到越多的获利机会。</t>
  </si>
  <si>
    <t>公正：我无法忍受人们被不公正地对待，我会采取一切措施来阻止不公正的现象和那些藐视法律的人。</t>
  </si>
  <si>
    <t>知足：如果你不能享受生活中的美好，那么拼命工作赚钱又有什么用呢？</t>
  </si>
  <si>
    <t>权力：有钱是不错，但有权意味着你永远不用为失误道歉。</t>
  </si>
  <si>
    <t>我有一位需要帮助的家庭成员，我做什么之前都会先替他考虑。</t>
  </si>
  <si>
    <t>我的同龄人让我脚踏实地。</t>
  </si>
  <si>
    <t>我过去的错误让某人损失惨重，我必须要纠正回来。</t>
  </si>
  <si>
    <t>我的童年导师让我走上了现在的人生道路，如果我成功了，我想用某种方式回报他。</t>
  </si>
  <si>
    <t>我珍视对一群朋友的忠诚誓言，胜过我生命中的一切。</t>
  </si>
  <si>
    <t>我不善与人交往，我的宠物就是我的全世界。</t>
  </si>
  <si>
    <t>我知道什么最好，相信我。</t>
  </si>
  <si>
    <t>缺点？我没有缺点，我是完美的。</t>
  </si>
  <si>
    <t>我的忠诚是……很善变的。</t>
  </si>
  <si>
    <t>如果有任何错误，那肯定是别人犯的，听我详细的解释一下。</t>
  </si>
  <si>
    <t>对就是对，错就是错，没有中间地带。</t>
  </si>
  <si>
    <t>我的上级可能不喜欢你做的事，我将不得不把它写进我的报告。</t>
  </si>
  <si>
    <t>体操、运动</t>
  </si>
  <si>
    <t>胜利回响</t>
  </si>
  <si>
    <t>你过去的辉煌胜利使你赢得了教练、队友以及观众们的爱戴，当你访问主场周边100里内的任何社区时，都有50%的几率找到愿意为你提供情报或临时住所的粉丝。
你可以在冒险以外的时间参加比赛，使你得以维持舒适的生活而不需要付每日2GP的开销，可参考玩家手册第八章中的“专业实践”活动。</t>
  </si>
  <si>
    <t>不管是竞技还是搏斗，都能让我进入放空状态。</t>
  </si>
  <si>
    <t>我闲不住。</t>
  </si>
  <si>
    <t>我每天的训练雷打不动。</t>
  </si>
  <si>
    <t>有需要克服的障碍。</t>
  </si>
  <si>
    <t>我会主动帮助那些在奋斗的人。</t>
  </si>
  <si>
    <t>我喜欢和人交流笑话。</t>
  </si>
  <si>
    <t>只要去做，就要做到最好。</t>
  </si>
  <si>
    <t>我讨厌别人在我面前夸其他人。</t>
  </si>
  <si>
    <t>竞争：我在每件事上都会挑战自我。</t>
  </si>
  <si>
    <t>战胜：击倒对手是胜利中最爽的地方。</t>
  </si>
  <si>
    <t>友谊：竞争中建立的情谊是最坚固的。</t>
  </si>
  <si>
    <t>民众：我努力激励我的观众们。</t>
  </si>
  <si>
    <t>传统：所有比赛都要有规则，场地也必须合乎要求。</t>
  </si>
  <si>
    <t>成长：无论成败都会带来收获。</t>
  </si>
  <si>
    <t>队友就是我的家人。</t>
  </si>
  <si>
    <t>我要战胜对手来证明我才是更强的那个。</t>
  </si>
  <si>
    <t>我的失误害别人受了伤，我再也不会重复相同的错误。</t>
  </si>
  <si>
    <t>为了家族的荣耀，我要成为第一。</t>
  </si>
  <si>
    <t>教练是我最重要的人。</t>
  </si>
  <si>
    <t>我努力让自己符合楷模应有的形象。</t>
  </si>
  <si>
    <t>我沉溺于某种威胁到我名誉或健康的恶习。</t>
  </si>
  <si>
    <t>我为了胜利不择手段。</t>
  </si>
  <si>
    <t>我对任何输给我或不敢和我比的人不屑一顾。</t>
  </si>
  <si>
    <t>旧伤的疼痛挥之不去。</t>
  </si>
  <si>
    <t>我觉得对手的胜利都是因为作弊。</t>
  </si>
  <si>
    <t>我参加任何队伍都必须当队长。</t>
  </si>
  <si>
    <t>擅长项目</t>
  </si>
  <si>
    <t>马拉松</t>
  </si>
  <si>
    <t>长跑</t>
  </si>
  <si>
    <t>摔跤</t>
  </si>
  <si>
    <t>拳击</t>
  </si>
  <si>
    <t>赛马或赛车</t>
  </si>
  <si>
    <t>古希腊式搏击</t>
  </si>
  <si>
    <t>武装赛跑</t>
  </si>
  <si>
    <t>五项全能</t>
  </si>
  <si>
    <t>从奥秘、调查、宗教、求生中选择两项</t>
  </si>
  <si>
    <t>任选一门语言，另外从深渊语、天界语、深潜语、龙语、炼狱语、原初语、木族语、地底通用语中选择一项</t>
  </si>
  <si>
    <t>黑暗之心</t>
  </si>
  <si>
    <t>那些直视你的人将从你面对黑暗时波澜不惊的眼中看出你见识过多么难以想象的恐怖，尽管他们会感到害怕，但平民还是会对你表现出最大的善意并竭尽全力地帮助你，除非你显露出对他们有所威胁，否则民众甚至会在你独自面对敌人时拿起武器与你并肩作战。</t>
  </si>
  <si>
    <t>苦难事件</t>
  </si>
  <si>
    <t>一只怪物屠杀了数十名无辜者，却唯独留了你一命，而你也不知道是为什么。</t>
  </si>
  <si>
    <t>你出生时的主星是一颗黑暗星，你能感到它在悠远而冷漠的注视着你，甚至有时还会在午夜召唤着你。</t>
  </si>
  <si>
    <t>一个已经纠缠了你家过去数代人的鬼魂现在又找上了你，你不知道它的诉求，只知道它会一只跟着你。</t>
  </si>
  <si>
    <t>你的家族有练习黑魔法的传统，你却在第一次尝试时就觉得灵魂好像被什么恐怖的东西攫住了，于是立刻就惊恐的放弃了。</t>
  </si>
  <si>
    <t>在一个漆黑寒冷的夜晚中，一只恶鬼抓走了你的兄弟姐妹，而你却没能阻止它。</t>
  </si>
  <si>
    <t>你曾被诅咒变成狼人，之后又被治愈，但现在那些被你屠杀的无辜者却仍萦绕在你的脑海。</t>
  </si>
  <si>
    <t>一位鬼婆绑架了你并将你养大，虽然你后来逃了出来，但鬼婆仍在通过魔法控制着你并向你的头脑中灌输各种邪恶思想。</t>
  </si>
  <si>
    <t>你翻阅过一本写满诡异内容的鸿篇巨著，虽然事后你烧毁了它，但书中的图文仍在摧毁着你的神智。</t>
  </si>
  <si>
    <t>你在孩童时期被一个邪魔附身了，其他人将你锁了起来，你却逃了出来，现在邪魔仍寄生在你体内，而你则在努力封印它。</t>
  </si>
  <si>
    <t>为了对谋杀你爱人的凶手复仇，你做出了可怕的事情，你变成了一个怪物，而且它还一直出现在你的幻觉中。</t>
  </si>
  <si>
    <t>从洞悉、调查、察觉中选择两项</t>
  </si>
  <si>
    <t>官方调查</t>
  </si>
  <si>
    <t>你对于从人物和场景中获取有用情报有丰富的经验，通过花言巧语、不屈不挠、以及一些看起来像官方发布的文件的配合，你可以搞到与正在调查的罪案相关的地点或人员的访问许可，那些不参与你调查的人会避免对你或你的请求造成阻碍。此外地方执法机构也对你有坚定的看法，无论他们视你为麻烦精还是自己人。</t>
  </si>
  <si>
    <t>最初案例</t>
  </si>
  <si>
    <t>你的一位朋友被错误的指控谋杀，而你找到了真凶并证明了朋友的清白，也借此开启了你的侦探生涯。</t>
  </si>
  <si>
    <t>你被告知自己曾失踪了数周，但你被发现时并没有自己走失的记忆，所以现在你正在努力查明自己身上发生了什么。</t>
  </si>
  <si>
    <t>你帮助一个精魂找到它失踪的尸体并获得了安宁，从那以后，其他鬼魂也会慕名而来委托你协助他们获得安息。</t>
  </si>
  <si>
    <t>你发现了那些威胁你家的怪物是一位残忍的施法者的骗局，在那位施法者逃跑之后，你选择将揭露魔法骗局作为自己的事业。</t>
  </si>
  <si>
    <t>你曾遭遇诬告，在设法越狱之后，即使仍在遭到追捕，你也尽力尝试帮助其他人避免蒙受与你一样的遭遇。</t>
  </si>
  <si>
    <t>从一场因滥用魔法装置导致你家被摧毁的灾难中，你幸存了下来，一个秘密组织的成员发现了你，现在你加入了他们，一同追踪危险的超自然现象，并阻止它们造成损害。</t>
  </si>
  <si>
    <t>你发现了可以揭露某个神秘的阴谋集团的证据，但没有被任何人采信，你还在努力证明你获取的信息是真实的。</t>
  </si>
  <si>
    <t>你在一间专司调查地方执法机构无法解决的罪案的机构工作，你时常琢磨到底是真相还是工资更吸引你。</t>
  </si>
  <si>
    <t>历史、宗教</t>
  </si>
  <si>
    <t>衡鉴学徒</t>
  </si>
  <si>
    <t>你获得斯翠海文学徒专长，你必须选择衡鉴学院。</t>
  </si>
  <si>
    <t>1环：通晓语言、鉴定术
2环：借鉴才学、物件定位术
3环：死者交谈、灵体卫士
4环：秘法眼、塑石术
5环：焰击术、通晓传奇</t>
  </si>
  <si>
    <t>我靠着深奥的学问过活。我在日常对话中引用的历史典故越晦涩约好。</t>
  </si>
  <si>
    <t>我希望能在搜寻这些失落的神器的旅途上发现真正的自己。</t>
  </si>
  <si>
    <t>我每时每刻都在讨论我的研究。我脑子里装了那么多知识，得有地方倾泻出来。</t>
  </si>
  <si>
    <t>和死去的魂灵交谈比起和活人同学讲话有意思多啦。</t>
  </si>
  <si>
    <t>我说起历史的影响时雄辩有力。但是问我两位数的加法我头就晕了。</t>
  </si>
  <si>
    <t>到最后，只会剩下混乱无序。事物终有一天溃灭。</t>
  </si>
  <si>
    <t>粹丽学徒</t>
  </si>
  <si>
    <t>你获得斯翠海文学徒专长，你必须选择粹丽学院。</t>
  </si>
  <si>
    <t>1环：繁彩球、雷鸣波
2环：炽焰法球、动力短行
3环：加速术、水上行走
4环：行动自如、火墙术
5环：寒冰锥、召唤元素生物</t>
  </si>
  <si>
    <t>我是派对的中心人物，我希望当我踏进房门时，每个人的注意力都在我身上。</t>
  </si>
  <si>
    <t>两个星期前我被我最新的课题给迷住了。现在，我认为那是一堆垃圾，理当摧毁。</t>
  </si>
  <si>
    <t>我坚信每个人都有通过艺术表达他们真实自我的能力，我乐于暗中促使他们走上正确的方向。</t>
  </si>
  <si>
    <t>每个人都是评论家，我会努力让他们倾心于我。</t>
  </si>
  <si>
    <t>我对自己的艺术充满了强烈的厌倦感。没有东西能再提起我的兴趣了。</t>
  </si>
  <si>
    <t>与其安抚我的负面情绪，我更喜欢将它们变成艺术性的爆炸表演释放出来。</t>
  </si>
  <si>
    <t>奥秘、自然</t>
  </si>
  <si>
    <t>量析学徒</t>
  </si>
  <si>
    <t>你获得斯翠海文学徒专长，你必须选择量析学院。</t>
  </si>
  <si>
    <t>1环：纠缠术、曳光弹
2环：变巨/缩小术、涡旋翘曲
3环：活力灵光、加速术
4环：操控水体、行动自如
5环：原力法阵、穿墙术</t>
  </si>
  <si>
    <t>当我发现一门我感兴趣的课程时，在我彻底理解它之前，我是不会停止学习的。这让我彻夜不眠。</t>
  </si>
  <si>
    <t>我希望有一天我能搞懂这一切。在那天到来之前，我会继续假装我懂了。</t>
  </si>
  <si>
    <t>方程式和模式自然而然的就流进我的脑海。要是交朋友有这么简单就好了。</t>
  </si>
  <si>
    <t>我坚信我就是屋子里最聪明的人。即使没人要求，我也会证明给大家看。</t>
  </si>
  <si>
    <t>如果说这些课程教会了我什么，那就是现实是谎言，什么事情都无所谓。所以还费什么劲呢？</t>
  </si>
  <si>
    <t>在我毕业之前，我希望做到些数学上不可能的事情。我必须留下一件遗产。</t>
  </si>
  <si>
    <t>威吓、游说</t>
  </si>
  <si>
    <t>银毫学徒</t>
  </si>
  <si>
    <t>你获得斯翠海文学徒专长，你必须选择银毫学院。</t>
  </si>
  <si>
    <t>1环：不谐低语、银光锐语
2环：安定心神、黑暗术
3环：希望信标、昼明术
4环：强迫术、困惑术
5环：支配人类、拉瑞心灵联结</t>
  </si>
  <si>
    <t>为了维持我的高端社交地位，我什么都能说。</t>
  </si>
  <si>
    <t>比起善意的谎言我更喜欢直言不讳，而且我也不怎么在乎伤到谁的感情。</t>
  </si>
  <si>
    <t>我相信提升我的地位是通往成功的最佳道路。</t>
  </si>
  <si>
    <t>我已经掌握了用幽默来防御的艺术，并且时时刻刻都准备着一个迷人的笑话。</t>
  </si>
  <si>
    <t>说话前我会先等等，分析当前情况我从何种角度展开对实现我的目标最有优势。</t>
  </si>
  <si>
    <t>没有人知道我为了让我的施法看起来易如反掌而通宵达旦了多少次，而且我将保持这种状态。</t>
  </si>
  <si>
    <t>靡华学徒</t>
  </si>
  <si>
    <t>你获得斯翠海文学徒专长，你必须选择靡华学院。</t>
  </si>
  <si>
    <t>1环：疗伤术、致伤术
2环：次级复原术、靡叶生华
3环：回生术、吸血鬼之触
4环：枯萎术、防死结界
5环：防活物护罩、高等复原术</t>
  </si>
  <si>
    <t>我喜欢配制新的配方，仅管有人可能接受不了我选择的材料。或是最终产品。或者两样都是。</t>
  </si>
  <si>
    <t>我的时尚感就如同我的花园：披靡，漆黑，怪异。</t>
  </si>
  <si>
    <t>如果我死前还能做最后一件事，那就是和这片沼泽里的每一个怪兽都交上朋友。</t>
  </si>
  <si>
    <t>万物终有一死，关键在于那天到来之前你做了什么。</t>
  </si>
  <si>
    <t>我知道我们才刚认识，但是，如果你死了，我可以拿走你的骨头吗？为了研究。</t>
  </si>
  <si>
    <t>别打搅我；我正在忧思。</t>
  </si>
  <si>
    <t>调查、宗教</t>
  </si>
  <si>
    <t>盗贼工具、一种工匠工具</t>
  </si>
  <si>
    <t>作为一个教会的审判官,你有权逮捕罪犯。如果没有其他当权者,你有权进行审判,甚至执行判决。然而，如果你滥用这种力量,你教会的上司可能剥夺你的权利。</t>
  </si>
  <si>
    <t>如果所有人都按照我说的做那么一切都能顺利度过。</t>
  </si>
  <si>
    <t>绝望是种我等不可承受的奢侈品。</t>
  </si>
  <si>
    <t>我已经前前后后读了圣拉班文本。</t>
  </si>
  <si>
    <t>在十分糟糕的情况下我也会努力往好的一面看。</t>
  </si>
  <si>
    <t>别人对我所忍受的惊惧表示认同或者感谢，那会让我感觉好些。</t>
  </si>
  <si>
    <t>我喜欢和一群强有力的朋友一起面对眼前的邪恶。</t>
  </si>
  <si>
    <t>我想看看恶徒因他们的邪恶引火烧身。</t>
  </si>
  <si>
    <t>当我清理世界的时候，我感觉罪恶也从我身上被净化。</t>
  </si>
  <si>
    <t>诚实：小小的欺骗铺平了通往大罪之路。</t>
  </si>
  <si>
    <t>虔诚：对天使的奉献和教会的仪式就是保护世界免受破坏的一切。</t>
  </si>
  <si>
    <t>秩序：艾维欣的法律是为了维护社会秩序——一切都各得其所。</t>
  </si>
  <si>
    <t>人道：人的生命应该被珍爱被保护以防夜之惊惧。</t>
  </si>
  <si>
    <t>知识：朝圣之路必经了解世界。</t>
  </si>
  <si>
    <t>惩罚：令无辜者受罚比令有罪者逃离他们应得之惩戒要好。</t>
  </si>
  <si>
    <t>瑟班是世界的心脏，就算内陆沦陷大教堂也必须屹立不倒。</t>
  </si>
  <si>
    <t>总有一天，我会对把我家人从我身边带走的怪物宣誓复仇。</t>
  </si>
  <si>
    <t>我的武器是我对我挚爱导师的全部回忆。</t>
  </si>
  <si>
    <t>我爱人的灵魂有时会对我说些什么</t>
  </si>
  <si>
    <t>我亲密的兄弟现在是个狼人</t>
  </si>
  <si>
    <t>一个路口教堂是我的精神家园。</t>
  </si>
  <si>
    <t>我因潜藏在我内心的狂野愤怒和嗜血欲望而陷入困境。</t>
  </si>
  <si>
    <t>我已经开始逐渐相信我处决过一个无辜的人。</t>
  </si>
  <si>
    <t>我享受我的声望地位胜过侍奉天使。</t>
  </si>
  <si>
    <t>我酗酒以忘掉我所见过的惊惧。</t>
  </si>
  <si>
    <t>我可能已经向恶魔许下了一个我不可能完成的诺言。</t>
  </si>
  <si>
    <t>无论要完成什么样的严峻任务我都会去做，因为我的灵魂已经迷失。</t>
  </si>
  <si>
    <t>问题1</t>
  </si>
  <si>
    <t>问题2</t>
  </si>
  <si>
    <t>问题3</t>
  </si>
  <si>
    <t>问题4</t>
  </si>
  <si>
    <t>问题5</t>
  </si>
  <si>
    <t>问题6</t>
  </si>
  <si>
    <t>对自己族人的忠诚驱使我投身战斗，让我变得强大而危险。</t>
  </si>
  <si>
    <t>先祖的精魂们呼唤我去执行一项重大的使命。</t>
  </si>
  <si>
    <t>某一天，我在战斗中失控了，就好像是有别的东西操纵着我的身体，迫使我杀掉每一个够得着的敌人。</t>
  </si>
  <si>
    <t>我曾踏上一趟灵魂之旅寻找自我，却找到了一个兽魂来引导、保护和激励我。</t>
  </si>
  <si>
    <t>我曾被闪电击中但活了下来，自那以后，体内涌现出一股崭新的力量，使我能够超越自己的极限。</t>
  </si>
  <si>
    <t>我必须用战斗来发泄自己的怒火，否则就有可能成为一个无差别的杀手。</t>
  </si>
  <si>
    <t>一条独狼身上的一簇毛，你在一次捕猎中和它成了朋友。</t>
  </si>
  <si>
    <t>智慧的萨满给你了三只鹰的羽毛，告诉你它们将决定你的命运。</t>
  </si>
  <si>
    <t>用年轻穴熊的爪子做成的项链，你还是个孩子的时候单杀了它。</t>
  </si>
  <si>
    <t>装着三块石头的小皮袋，代表了你的祖先。</t>
  </si>
  <si>
    <t>你杀死的第一只野兽的几块骨头，用彩色毛绳绑在一起。</t>
  </si>
  <si>
    <t>你的动物精魂形状的一块鸡蛋大小的石头，有一天出现在你的腰袋里。</t>
  </si>
  <si>
    <t>纹身</t>
  </si>
  <si>
    <t>纹在背肌上的展翅雄鹰。</t>
  </si>
  <si>
    <t>纹在手背上的洞熊之掌。</t>
  </si>
  <si>
    <t>纹在手臂上的族谱。</t>
  </si>
  <si>
    <t>纹在背上的麋鹿角。</t>
  </si>
  <si>
    <t>纹满整个手臂的动物精魂图案。</t>
  </si>
  <si>
    <t>纹在背上的狼的眼睛，可以帮助你看到并抵御邪恶的灵魂。</t>
  </si>
  <si>
    <t>迷信</t>
  </si>
  <si>
    <t>如果你搅扰死者的遗骸，就要再次承受他们一生的苦难。</t>
  </si>
  <si>
    <t>永远不要相信法师，尤其看起来友善的那些，他们都是伪装的魔鬼。</t>
  </si>
  <si>
    <t>矮人都是失去魂魄的行尸走肉，所以和其他不死生物一样生活在地底。</t>
  </si>
  <si>
    <t>神奇的东西都会带来麻烦，在魔法物品旁边一定不能放松警惕。</t>
  </si>
  <si>
    <t>穿越墓地时一定要穿银白色的衣服，以免遇到鬼上身。</t>
  </si>
  <si>
    <t>如果有精灵看着你的眼睛，她一定在试图读取你的内心。</t>
  </si>
  <si>
    <t>标记</t>
  </si>
  <si>
    <t>用丝巾包裹的一颗你之前受害者的牙齿。</t>
  </si>
  <si>
    <t>一张带有你签名的名片。</t>
  </si>
  <si>
    <t>你亲手绘制的受害者的炭笔素描。</t>
  </si>
  <si>
    <t>你最喜欢的花的花瓣。</t>
  </si>
  <si>
    <t>六滴血，要么是你的，要么是别人的。</t>
  </si>
  <si>
    <t>一个象牙雕刻模具，有一面上的点被换成了眼睛。</t>
  </si>
  <si>
    <t>刻有死神画像的铜币。</t>
  </si>
  <si>
    <t>一个小瓶子，里面装着几滴你引以为豪的自制啤酒。</t>
  </si>
  <si>
    <t>一句谜语、笑话、或是诗句。</t>
  </si>
  <si>
    <t>一张写着你从受害者身上取走的东西的借条。</t>
  </si>
  <si>
    <t>风格</t>
  </si>
  <si>
    <t>带毛皮衬里的双排扣西装，胸前还印有公司的商标。</t>
  </si>
  <si>
    <t>卡林珊顶级裁缝手工缝制的头巾。</t>
  </si>
  <si>
    <t>侧面刻有明显个人标志的软皮靴。</t>
  </si>
  <si>
    <t>用移位兽皮制成的西裤背带。</t>
  </si>
  <si>
    <t>金质的皮带扣，上面杂乱的画着矮人符文。</t>
  </si>
  <si>
    <t>定制的腰包挂在你的腰背部。</t>
  </si>
  <si>
    <t>造型时髦的眼镜。</t>
  </si>
  <si>
    <t>特殊染色的束腰外衣，展现出七彩缤纷的螺旋图案。</t>
  </si>
  <si>
    <t>有许多口袋的长大衣，肘部还用皮革打了补丁。</t>
  </si>
  <si>
    <t>金镶钻的牙套，钻石上还用古文雕有“盈利”两个字。</t>
  </si>
  <si>
    <t>反复尝试和汲取教训，唤醒了我潜在的吟游诗人能力。</t>
  </si>
  <si>
    <t>我颇有表演天赋，一位大师级的吟游诗人看中了我并以传统的方式训练了我。</t>
  </si>
  <si>
    <t>我加入了一个由学者和演说家组成的松散社团来学习新的表演技巧和魔法技巧。</t>
  </si>
  <si>
    <t>我感受到一种召唤，要去讲述勇士和英雄们的事迹，让他们在歌曲和故事中栩栩如生。</t>
  </si>
  <si>
    <t>我进入了最伟大的学院中的一所，学习古老的传闻、魔法的奥秘以及表演的艺术。</t>
  </si>
  <si>
    <t>某天我接触到了一件乐器，我马上就发现我能演奏它。</t>
  </si>
  <si>
    <t>拿手作品</t>
  </si>
  <si>
    <t>“三个弗拉宾尼斯”：一首关于身份错位和不受约束的欲望的下流歌曲。</t>
  </si>
  <si>
    <t>“蕈人圆舞曲”：孩子们特别喜欢的欢快调子。</t>
  </si>
  <si>
    <t>“阿斯摩蒂斯的黄金屁股”：一首戏剧性的诗，你声称灵感来源于你在地狱的私人拜访。</t>
  </si>
  <si>
    <t>“路斯坎海盗”：你在小时候被海盗劫持的第一手记录。</t>
  </si>
  <si>
    <t>“一个箍，两只鸽子，以及一头地狱猎犬”：一首恶搞某个无能贵族的滑稽诗。</t>
  </si>
  <si>
    <t>“蠢货在深渊”：一首关于一个小丑在恶魔间旅行的喜剧诗。</t>
  </si>
  <si>
    <t>一把大师手工制作的半身人小提琴。</t>
  </si>
  <si>
    <t>一把精灵制作的秘银号角。</t>
  </si>
  <si>
    <t>一把卓尔蜘蛛丝制成的齐特琴*（一种类似筝的乐器）。</t>
  </si>
  <si>
    <t>一面兽人鼓。</t>
  </si>
  <si>
    <t>一个木制的狂蛙人呱声盒。</t>
  </si>
  <si>
    <t>一把侏儒设计的竖琴。</t>
  </si>
  <si>
    <t>窘迫</t>
  </si>
  <si>
    <t>当你表演喜剧歌“大汤姆的狂欢”时--尽管你觉得发挥得很好--你和大汤姆引来一阵嘘声。</t>
  </si>
  <si>
    <t>日场演出时，马戏团的枭熊吓散了惊恐的人群。</t>
  </si>
  <si>
    <t>你的开场歌是你热衷的“沼喉怪之歌”，但这对普通人来说是场噩梦。</t>
  </si>
  <si>
    <t>你第一次也是最后一次公开演出是“纨绔子弟米尔特”。</t>
  </si>
  <si>
    <t>在舞台上你的假发着火了，你扔下了它--然后它点燃了舞台。</t>
  </si>
  <si>
    <t>在你演奏“星光小夜曲”的最后一节时，你因为失误坐在了你的鲁特琴上。</t>
  </si>
  <si>
    <t>辱骂</t>
  </si>
  <si>
    <t>你妈当初是不是把你扔了把胎盘养大了？</t>
  </si>
  <si>
    <t>谁给你选的衣服？石蛮盲族？</t>
  </si>
  <si>
    <t>你闻起来跟地狱犬的屁股似的。</t>
  </si>
  <si>
    <t>你差不多能派上半个人的用途。</t>
  </si>
  <si>
    <t>你们法术课是不是体育老师都没来直接改自习了？</t>
  </si>
  <si>
    <t>你性格差不多像冬狼一样温柔。</t>
  </si>
  <si>
    <t>你是我认识的老妖婆里最可爱的。</t>
  </si>
  <si>
    <t>把你扔穿刺者堆里你都不是最聪明的。</t>
  </si>
  <si>
    <t>你这身材我还以为是个小号的巨人。</t>
  </si>
  <si>
    <t>你的智慧浅薄到像个谭森浮碟。</t>
  </si>
  <si>
    <t>昨晚你是睡在战蜥人的窝里了么，还是说你身上平时就这味？</t>
  </si>
  <si>
    <t>我猜你是在战士学校学的法术，而且还经常缺课。</t>
  </si>
  <si>
    <t>格乌什创造你的时候闭着眼瞎捏的吧。</t>
  </si>
  <si>
    <t>我能看见你，但那头把你排泄出来的龙去哪了？</t>
  </si>
  <si>
    <t>你像被夺心魔采完脑之后一样聪明。</t>
  </si>
  <si>
    <t>眼魔和毒气孢子放一块你都分不出来。</t>
  </si>
  <si>
    <t>我估计你是白痴树上长出来的，但我还拿不准你是不是又被拖进过傻子林。</t>
  </si>
  <si>
    <t>你的长相问题不大，盖上全脸头盔就还能看。</t>
  </si>
  <si>
    <t>你对世界的助益跟茶话会上的兽人一样。</t>
  </si>
  <si>
    <t>我觉得你脸长的还没惧噬体好看。</t>
  </si>
  <si>
    <t>敌人</t>
  </si>
  <si>
    <t>一名在你违法后因为没抓住你而被解雇的前警卫队长。</t>
  </si>
  <si>
    <t>一名被你剽窃了歌曲和故事的前著名吟游诗人。</t>
  </si>
  <si>
    <t>一名被你绝妙骗术所欺骗的低级贵族</t>
  </si>
  <si>
    <t>一名受你欺骗而打破誓言的堕落圣武士。</t>
  </si>
  <si>
    <t>一名认为被你所害而失败的冒险队长。</t>
  </si>
  <si>
    <t>一位被你嫌弃没用而抛弃的原冒险同伴。</t>
  </si>
  <si>
    <t>一位你曾经伙同他人偷窃过的强大公会的会长。</t>
  </si>
  <si>
    <t>一位被你骗得泄露机密的政府官员。</t>
  </si>
  <si>
    <t>一位无辜被你卷入计划导致失去自己酒馆的前老板。</t>
  </si>
  <si>
    <t>一位无意中被你害到破产的高利贷者。</t>
  </si>
  <si>
    <t>一位侍奉神祇的超自然存在感召我成为神圣力量在世间的代行人。</t>
  </si>
  <si>
    <t>我见识了世上的恐怖和不公，为之深深触动而挺身与其对抗。</t>
  </si>
  <si>
    <t>我的神祇给我降下了明确无误的神迹，我抛弃一切侍奉祂。</t>
  </si>
  <si>
    <t>尽管一直虔诚，但我必须在完成巡礼之后才能理解对我的呼召真义为何。</t>
  </si>
  <si>
    <t>我曾在宗教机构服务，但我发现自己必须入世，将我信仰的声音传播到地上最黑暗的角落。</t>
  </si>
  <si>
    <t>我认识到我的神祇通过我来完成祂的工作，我服从祂，尽管我不知道为什么神祇选择了我。</t>
  </si>
  <si>
    <t>神庙</t>
  </si>
  <si>
    <t>你的神庙据说是你侍奉的神的神庙中现存最古老的。</t>
  </si>
  <si>
    <t>几名同盟的神明的侍奉者们都在此接受神明的引导。</t>
  </si>
  <si>
    <t>你来自一个以酿酒闻名的神庙。有的人说你闻起来就像是那里产的酒。</t>
  </si>
  <si>
    <t>你的神庙是一座堡垒，一个战斗祭祀的训练场。</t>
  </si>
  <si>
    <t>你的神庙和平而简朴，充满了菜园和朴素的牧师。</t>
  </si>
  <si>
    <t>你来自外层位面的神庙。</t>
  </si>
  <si>
    <t>纪念品</t>
  </si>
  <si>
    <t>圣徒的手指骨。</t>
  </si>
  <si>
    <t>金属装订的，讲述如何狩猎和毁灭地狱生物的书。</t>
  </si>
  <si>
    <t>猪哨子，可以让你回忆起你谦虚而被敬爱的老师。</t>
  </si>
  <si>
    <t>独角兽尾巴毛辫。</t>
  </si>
  <si>
    <t>讲述如何最好地消灭亡灵巫师的书。</t>
  </si>
  <si>
    <t>据说被神祝福的符文石。</t>
  </si>
  <si>
    <t>秘密</t>
  </si>
  <si>
    <t>一个小恶魔给你提供“忠告”，你试图无视它，但有时它的建议的确有用。</t>
  </si>
  <si>
    <t>你相信，归根结底，神明只是有超强力量的凡物。</t>
  </si>
  <si>
    <t>你承认神的力量，但是你认为大多数事情都纯属偶然。</t>
  </si>
  <si>
    <t>即使你可以使用神术，你从未真正感到自己内心圣洁本质的存在。</t>
  </si>
  <si>
    <t>神明因为你某些未知的错误而驱逐你的噩梦折磨着你。</t>
  </si>
  <si>
    <t>在绝望时，你认为你不过是诸神的玩物，你憎恨他们的高高在上。</t>
  </si>
  <si>
    <t>圣人腿骨制成的手杖。</t>
  </si>
  <si>
    <t>自助放纵工具包。</t>
  </si>
  <si>
    <t>圣水酿造啤酒。</t>
  </si>
  <si>
    <t>梵天神侍羽翼制作的书签。</t>
  </si>
  <si>
    <t>神灵亲笔签名的圣徽。</t>
  </si>
  <si>
    <t>摩擦生香的圣象。</t>
  </si>
  <si>
    <t>异界神侍剃须刀。</t>
  </si>
  <si>
    <t>下流话未经删减的原版圣经。</t>
  </si>
  <si>
    <t>仪式</t>
  </si>
  <si>
    <t>15分钟的神圣健美操。</t>
  </si>
  <si>
    <t>手写未来24小时的详细日程表。</t>
  </si>
  <si>
    <t>静坐15分钟，并对所有发出噪音的人大喊“闭嘴！”</t>
  </si>
  <si>
    <t>睡一小时回笼觉，你的神告诉这你没问题。</t>
  </si>
  <si>
    <t>在临时祭坛上烧香点烛，同时背诵你的誓言。</t>
  </si>
  <si>
    <t>温习战斗时的形态和姿势。</t>
  </si>
  <si>
    <t>用你手头的随便什么材料制造一个你所信奉的新的神像。</t>
  </si>
  <si>
    <t>狂饮葡萄酒。（并坚称这是圣餐）</t>
  </si>
  <si>
    <t>关系</t>
  </si>
  <si>
    <t>你的神附身了你并通过你的嘴来说话，所以你需要其他人来记笔记。</t>
  </si>
  <si>
    <t>你能从生物的运动、天气的变化、建筑物的形状等各种小事中看到神的预兆。</t>
  </si>
  <si>
    <t>在私底下，你对神强加给你的重担抱怨不休。</t>
  </si>
  <si>
    <t>你时常怀疑自己是否配得上神的恩赐。</t>
  </si>
  <si>
    <t>你确定你的神并非全知，毕竟他们显然不知道你到底在干嘛。</t>
  </si>
  <si>
    <t>你的神赐给你力量，于是你愿以一切换得他的荣耀。</t>
  </si>
  <si>
    <t>其他牧师对你的神的爱都比不上你。</t>
  </si>
  <si>
    <t>你从小信教，但你只在节假日才去教堂。</t>
  </si>
  <si>
    <t>你和你的神同喜同悲。</t>
  </si>
  <si>
    <t>你陷入了买家懊悔，你一直想搞清你到底有没有选对神。</t>
  </si>
  <si>
    <t>我见到荒野遍体鳞伤，美丽的自然被掠夺殆尽。我加入了德鲁伊结社，对大自然的敌人以牙还牙。</t>
  </si>
  <si>
    <t>我逃离了一场大劫，在德鲁伊中找到了安身立命的地方。</t>
  </si>
  <si>
    <t>我与动物之间总是很亲近，所以我继续探寻自己的天赋，看如何才能最好的使用它。</t>
  </si>
  <si>
    <t>我有个德鲁伊朋友，我被其德鲁伊教义触动，打算跟随朋友的指引，回馈这个世界。</t>
  </si>
  <si>
    <t>从小我就能看到四周的精魂，但没有其他人能感受到这些东西的存在。我找到德鲁伊们来帮我理解这些景象并与这些存在交流。</t>
  </si>
  <si>
    <t>我一直对那些非自然的生物感到厌恶。因此我潜心学习德鲁伊教的奥秘，成为了一名自然秩序的捍卫者。</t>
  </si>
  <si>
    <t>物品</t>
  </si>
  <si>
    <t>矗立在你村子中心的相遇树上的一条枝丫。</t>
  </si>
  <si>
    <t>从神圣之河的源头采集的一小瓶河水。</t>
  </si>
  <si>
    <t>被捆束在一起的特殊草木。</t>
  </si>
  <si>
    <t>一个刻画着动物图案的青铜碗。</t>
  </si>
  <si>
    <t>由干葫芦和冬青浆果做成的拨浪鼓。</t>
  </si>
  <si>
    <t>由你的导师亲手继承给你的一把小小的金色镰刀。</t>
  </si>
  <si>
    <t>精神向导</t>
  </si>
  <si>
    <t>紫杉树提醒着你不断更新自己的思想和灵魂，让旧的死去，新的生长。</t>
  </si>
  <si>
    <t>橡树象征了力量和活力。在橡树之下冥想让你的身体和心灵重新坚韧且不被动摇。</t>
  </si>
  <si>
    <t>河流的永恒流动让你联想到世界的伟大跨度。你提醒自己在行动时要考虑到自然的长远利益。</t>
  </si>
  <si>
    <t>海洋仿佛一个持续搅动着混沌力量的锅炉。它令你接受，变化是维持自我在世界中继续存在的必要因素。</t>
  </si>
  <si>
    <t>飞鸟是最好的证明，即使最渺小的生物也能存活下来，只要它们远离争端。</t>
  </si>
  <si>
    <t>狼的习性展示了个人力量在集群面前的微不足道。</t>
  </si>
  <si>
    <t>导师</t>
  </si>
  <si>
    <t>你的导师是一个智慧的树人，它在以年为单位的时间跨度中教育着你，而非几天或几个月。</t>
  </si>
  <si>
    <t>你被一个树妖所教导，她同时也是一扇通往无底深渊的休眠传送门的守望者。在训练期间，你被托付了从隐藏的威胁中守卫这个世界的责任。</t>
  </si>
  <si>
    <t>你的导师总是用猎鹰的形态与你交流。你从来没见过导师的人形样貌。</t>
  </si>
  <si>
    <t>你和其他几个年轻人被同一个老德鲁伊教导，直到其中有一个人背叛了你的小组并且杀死了你的导师。</t>
  </si>
  <si>
    <t>你的导师只用幻象与你见面。你从来没有见过这个人，你甚至不能确定是否它真的以凡人的形态存在过。</t>
  </si>
  <si>
    <t>你的导师是一个熊人，他教导你要对所有活物一视同仁。</t>
  </si>
  <si>
    <t>特征</t>
  </si>
  <si>
    <t>你的皮毛中到处都是金色和银色的，明亮到能够反光。</t>
  </si>
  <si>
    <t>你变形过程中会发出刺耳的嘎吱声，让你的同伴感觉非常难受。</t>
  </si>
  <si>
    <t>你的荒野形态都会在某一肢体戴上同一个装饰着牙齿的仪式手镯。</t>
  </si>
  <si>
    <t>你身上的一块黑斑一眼就能看出是公司总裁欧米·德兰的剪影。</t>
  </si>
  <si>
    <t>总有枝叶或其他东西缠在你的毛发里。</t>
  </si>
  <si>
    <t>当你变回普通的形态时，有一只手上的皮毛或羽毛总会再继续保留一段时间。</t>
  </si>
  <si>
    <t>一座用来展示进口珍稀动植物的博物馆。</t>
  </si>
  <si>
    <t>生物</t>
  </si>
  <si>
    <t>一颗挑食的食肉植物。</t>
  </si>
  <si>
    <t>一窝曾经在你家乡的树上筑巢的蜂群。</t>
  </si>
  <si>
    <t>一只只剩7条腿的迷你巨蜘蛛，曾经给皮克精当过坐骑。</t>
  </si>
  <si>
    <t>一条没有显出邪恶倾向（截止目前）的亡命恶犬幼崽。</t>
  </si>
  <si>
    <t>一头在漫长严寒中成为孤儿的枭熊幼崽。</t>
  </si>
  <si>
    <t>一枚摸上去冰冷的未孵化银蛋</t>
  </si>
  <si>
    <t>一颗很小但很古老的启蒙灌木。</t>
  </si>
  <si>
    <t>一只住在你床底下的脾气恶劣的獾。</t>
  </si>
  <si>
    <t>一只自以为强大的野猫。</t>
  </si>
  <si>
    <t>一只拿你背包当巢穴的粘人的蚊蝠，只喝果汁。</t>
  </si>
  <si>
    <t>我希望精进自己的战斗技巧，所以进入了一所军事学院。</t>
  </si>
  <si>
    <t>我曾经是一位骑士的随从，这位骑士教会了我战斗方法、照料坐骑以及遵循荣誉行事。我也决定走上这条道路。</t>
  </si>
  <si>
    <t>恐怖的怪物们袭击了我居住的地方，杀害了我所爱的人。我拿起武器去毁灭这些生物，以及其它任何与之本性相似的生物。</t>
  </si>
  <si>
    <t>我加入了军队，并且学会了作为团体的一份子来作战。</t>
  </si>
  <si>
    <t>我在战斗中长大，我在从那些与我作对的人手中保护自己的过程中完善了战斗才能。</t>
  </si>
  <si>
    <t>我就是能够拿起任何武器并且知道如何有效地使用它。</t>
  </si>
  <si>
    <t>标志</t>
  </si>
  <si>
    <t>一条伫立于绿野上的狂躁金龙：象征着勇猛和对财富的追求。</t>
  </si>
  <si>
    <t>于云端紧握闪电的风暴巨人之拳：象征着愤怒与力量。</t>
  </si>
  <si>
    <t>在城堡门前交叉的绿色对剑：象征着城市或者王国的守卫。</t>
  </si>
  <si>
    <t>一颗被匕首刺穿的颅骨：象征着你为你的敌人带来的毁灭。</t>
  </si>
  <si>
    <t>火环里的凤凰：象征着不屈的灵魂。</t>
  </si>
  <si>
    <t>在黑幕中从卧刃落下的三滴血：象征着三名你发誓要铲除的敌人。</t>
  </si>
  <si>
    <t>角斗士：你的导师是一个在某个地区为了自由而战的，或者为了获取钱财和名望甘愿成为角斗士的奴隶。</t>
  </si>
  <si>
    <t>军人：你的导师在一队士兵中工作且了解团队合作。</t>
  </si>
  <si>
    <t>城市守卫：把控群众和保卫和平是你的导师的强项。</t>
  </si>
  <si>
    <t>部落勇士：你的导师成长于一个为某人干架是家常便饭的部落</t>
  </si>
  <si>
    <t>街头打手：你的导师擅长城市作战，沉默且高效的近身战斗。</t>
  </si>
  <si>
    <t>武器大师：你的导师会帮助你，告诉你如何高效的使用你选择的武器。</t>
  </si>
  <si>
    <t>简练：你的行动精准优雅，收放自如，从没有多余的动作。</t>
  </si>
  <si>
    <t>野蛮：你的攻击犹如呼呼作响的锤子，要别人粉身碎骨血沫横飞。</t>
  </si>
  <si>
    <t>狡猾：你能够在一瞬间做出攻击，喜欢用小计谋获得优势。</t>
  </si>
  <si>
    <t>从容：你在战斗中很少出汗且喜欢及时行乐。</t>
  </si>
  <si>
    <t>活力：你在战斗中又唱又笑仿佛你的灵魂都在高涨，手握武器，面对强敌是你最快乐的时刻。</t>
  </si>
  <si>
    <t>阴险：你在战斗中会怒视和讥讽对手，你尤其享受在击败对手后羞辱他们的感觉。</t>
  </si>
  <si>
    <t>手工打造的箭，箭头上刻有闪电的符号并会在射击时发出独特的哨声。</t>
  </si>
  <si>
    <t>一面用巨龟壳打造的盾牌。</t>
  </si>
  <si>
    <t>一对短剑和匕首，分别装饰的像食肉恐龙的上下牙。</t>
  </si>
  <si>
    <t>一把头部造型类似矮人勇士飘逸长发的战斧。</t>
  </si>
  <si>
    <t>一套由巨型节肢动物蜕下的几丁质外壳打造的护甲。</t>
  </si>
  <si>
    <t>一双模仿大型猫科动物爪子造型的靴子。</t>
  </si>
  <si>
    <t>一把将配重球做成手形状的剑，当你挥剑的时候看起来就像在和它握手。</t>
  </si>
  <si>
    <t>一把看起来一头像巨人之拳、另一头像巨龙之颅的锤子。</t>
  </si>
  <si>
    <t>一顶造型类似野兔脑袋的头盔，眼睛部位还镶有小钻石。</t>
  </si>
  <si>
    <t>一张刻有月相图案的弓。</t>
  </si>
  <si>
    <t>一把骨质刀柄的匕首，上面刻有磨损到无法辨认的神秘符号。</t>
  </si>
  <si>
    <t>一个用臭鼬皮毛制成的背包。</t>
  </si>
  <si>
    <t>一支精心准备、用心编排的舞蹈。</t>
  </si>
  <si>
    <t>啤酒！以及更多的啤酒！</t>
  </si>
  <si>
    <t>从战败的敌人手里抢夺战利品。</t>
  </si>
  <si>
    <t>创作一首颂扬你英勇的战斗技巧的诗。</t>
  </si>
  <si>
    <t>在你的战绩毛毯上新增一格纪念图案。</t>
  </si>
  <si>
    <t>在你最喜欢的武器或护甲上增添一个装饰图案。</t>
  </si>
  <si>
    <t>付钱让镇上的公告员宣布你的胜利。</t>
  </si>
  <si>
    <t>委托绘制一副纪念战斗场面的画作。</t>
  </si>
  <si>
    <t>不带恶意的夸赞幸存的敌人做的不错。</t>
  </si>
  <si>
    <t>没时间庆祝，你的战争是永恒的！</t>
  </si>
  <si>
    <t>我被选中去一所隐秘的修道院学习，在此，我被传授了掌握某个宗派所必须的基本技巧。</t>
  </si>
  <si>
    <t>我寻求指引，以更深地理解何为存在，以及我在这个世界上的位置。</t>
  </si>
  <si>
    <t>我偶然进入了一个通往堕影冥界的传送门，并逃到了一所奇怪的修道院避难，在那里我学会了如何在黑暗的力量面前保护自己。</t>
  </si>
  <si>
    <t>在失去了十分亲近的某人后，我不胜悲痛，便向哲人们寻求建议，以抚慰我的失落。</t>
  </si>
  <si>
    <t>我感到自身存有一种特殊的力量，所以我找到了能帮助我唤起并控制它的人。</t>
  </si>
  <si>
    <t>我在年轻时放浪不羁，但现在我认识到自己走错了路。我申请进入一所修道院，成为了一名武僧，以此来过一种严守戒律的生活。</t>
  </si>
  <si>
    <t>修道院</t>
  </si>
  <si>
    <t>你的修道院是从山腰上被雕刻成型的，它位于一个若隐若现的危险道路。</t>
  </si>
  <si>
    <t>你的修道院在一片浩瀚无边的参天大树群的树枝高处，它位于妖精荒野。</t>
  </si>
  <si>
    <t>你的修道院很早以前由一个云巨人建立，它位于一座只能通过飞行才能抵达的云城堡内。</t>
  </si>
  <si>
    <t>你的修道院建在温泉，间歇泉和硫磺池的火山旁边。你经常会收到来自火矮人贸易商的访问。</t>
  </si>
  <si>
    <t>你的修道院是由侏儒建立的，如地下迷宫般充斥着大量隧道和房间。</t>
  </si>
  <si>
    <t>你的修道院是在冰山之上，从冰块之中雕琢而出的。</t>
  </si>
  <si>
    <t>修道院标识</t>
  </si>
  <si>
    <t>猴子：你的戒律欣赏猴子的快速反应及穿越林木的迅捷。</t>
  </si>
  <si>
    <t>龙龟：你的修道院位置在海边，他们通过背诵古代的祈祷和提供鲜花花环来纪念龙龟，这种海洋中生活的精魂。</t>
  </si>
  <si>
    <t>麒麟：你的修道院认为他们存在的意义是如同麒麟一样守望和保护这片土地。</t>
  </si>
  <si>
    <t>枭熊：你的修道院敬仰一群枭熊家族，并已与它们一起共存了好几个世代。</t>
  </si>
  <si>
    <t>九头蛇：你的戒律向往九头蛇那样在瞬间打出复数次攻击的能力。</t>
  </si>
  <si>
    <t>龙：一条龙曾存在于你的修道院中，它所带来的影响在它离开之后仍然长久。</t>
  </si>
  <si>
    <t>师傅</t>
  </si>
  <si>
    <t>你的师傅是一个专横的人，你必须在单人战斗中击败他才算是完成他对你的授业。</t>
  </si>
  <si>
    <t>你的师傅很和善，他教导你去追求和平的事业。</t>
  </si>
  <si>
    <t>你的师傅总是严厉地将你逼向极限。在一次极其残酷的试炼中你差点失去你的一只眼睛。</t>
  </si>
  <si>
    <t>你的师傅在教导你时看起来很善良，但最后却背叛了你的修道院。</t>
  </si>
  <si>
    <t>你的师傅总是对你冷漠而疏远。你经常怀疑你俩之间的关系。</t>
  </si>
  <si>
    <t>你的师傅是善良和慷慨的，从不挑剔你的进步。然而你觉得你从来没有满足他对你的期望。</t>
  </si>
  <si>
    <t>6 吵闹酒仙式：伸直一只手做出敬酒的动作。（对于防止被掌掴特别实用）</t>
  </si>
  <si>
    <t>著作</t>
  </si>
  <si>
    <t>《与神对赌》</t>
  </si>
  <si>
    <t>《铸剑为犁》</t>
  </si>
  <si>
    <t>《呋噜流诗集》</t>
  </si>
  <si>
    <t>《妖怪也是人》</t>
  </si>
  <si>
    <t>《未来预言》</t>
  </si>
  <si>
    <t>《爱交际的隐士》</t>
  </si>
  <si>
    <t>《公开发表的机密》</t>
  </si>
  <si>
    <t>《无尽空白的摘要》</t>
  </si>
  <si>
    <t>《有机日月食谱》</t>
  </si>
  <si>
    <t>《生活是无尽的灾难，你打算怎么办？》</t>
  </si>
  <si>
    <t>永恒之灵修道院（在蒸馏酒界久负盛名）</t>
  </si>
  <si>
    <t>垂直拱门之家（制造上乘鞋类）</t>
  </si>
  <si>
    <t>奇翎穹顶（羊皮纸、墨水、以及羽毛笔的制造商）</t>
  </si>
  <si>
    <t>水晶堡垒（水晶杯和水晶饰品的制造商）</t>
  </si>
  <si>
    <t>精算修道院（销售价格合理的保单的保险人）</t>
  </si>
  <si>
    <t>热气之家（美味烧烤外卖）</t>
  </si>
  <si>
    <t>圣人静修（定制研究服务）</t>
  </si>
  <si>
    <t>任性葡萄修道院（葡萄酒酿造商）</t>
  </si>
  <si>
    <t>蜘蛛之家静修（由黑暗精灵训练巨蜘蛛作为坐骑和伙伴）</t>
  </si>
  <si>
    <t>神秘大厅（可以雇佣调查员）</t>
  </si>
  <si>
    <t>一个幻想中的存在出现在我面前，召唤我承担一项神圣的使命。</t>
  </si>
  <si>
    <t>我的一位祖先留下了一项未完成的神圣使命，我打算把它完成。</t>
  </si>
  <si>
    <t>这世界上充满了黑暗和恐惧。我打算献身成为一座光明的灯塔，对抗那群聚的阴影。</t>
  </si>
  <si>
    <t>我曾是一名圣武士的随从，学会了我立下自己神圣誓言所需的一切。</t>
  </si>
  <si>
    <t>邪恶必须被全面击败，我必须找出邪恶，并且将之从世上净化。</t>
  </si>
  <si>
    <t>成为一名圣武士是我明确无误的信念的自然结果。通过立下誓言，我成为我宗教的圣剑。</t>
  </si>
  <si>
    <t>个人目标</t>
  </si>
  <si>
    <t>和平：你为之奋斗，而后代不必。</t>
  </si>
  <si>
    <t>复仇：你的誓言是你纠正一个过往错误的工具。</t>
  </si>
  <si>
    <t>职责：你不会辜负你的诺言，至少你拼死确保如此。</t>
  </si>
  <si>
    <t>领导：你将赢得一场为人传诵的大战，以此成为激励他人的榜样。</t>
  </si>
  <si>
    <t>信念：你知道你的道路是正义的，否则众神不会让你踏入其中。</t>
  </si>
  <si>
    <t>荣耀：你将引领世界进入一个新时代，它必被冠以你的名字。</t>
  </si>
  <si>
    <t>符号</t>
  </si>
  <si>
    <t>一条龙：象征你平和的高贵和激烈的奋斗。</t>
  </si>
  <si>
    <t>握紧的拳头：因为你随时准备为信仰而战。</t>
  </si>
  <si>
    <t>张开的手掌：表明你比起争斗更偏好外交。</t>
  </si>
  <si>
    <t>红色的心：向世人展现你对正义的承诺。</t>
  </si>
  <si>
    <t>黑色的心：表示怜悯之类的情绪不会影响你对誓言的奉献。</t>
  </si>
  <si>
    <t>不眨的眼珠：你对所有可能危害到你的事业的潜在威胁永远保持警惕。</t>
  </si>
  <si>
    <t>克星</t>
  </si>
  <si>
    <t>惑念</t>
  </si>
  <si>
    <t>暴怒：当你被惹火，你就难以冷静思考，甚至可能会做一些日后将会为之懊恼的事情。</t>
  </si>
  <si>
    <t>骄傲：你的行径值得注意，没有人比你更注意它们。</t>
  </si>
  <si>
    <t>色欲：你无法抗拒一张诱人的脸和一个愉快的笑容。</t>
  </si>
  <si>
    <t>嫉妒：你注意到一些著名人士。当你的行为不足以与他们比肩，你就感到不爽。</t>
  </si>
  <si>
    <t>绝望：你认识到你需要打败的敌人拥有的强大力量，而有时你感觉无法看到哪怕一丝胜利的希望。</t>
  </si>
  <si>
    <t>贪婪：无论是多少荣耀与财富，都无法满足你的贪欲。</t>
  </si>
  <si>
    <t>在你立下神圣誓言之前，你无意中公然羞辱了一位好朋友，尽管他再也不愿意理你，你也依然发誓要想办法补偿他。</t>
  </si>
  <si>
    <t>你年轻时曾使用别人的身份逃避法律的制裁，但很快就意识到这个身份比你本人要酷的多，如果任何人发现了你的真实身份，你将身败名裂。</t>
  </si>
  <si>
    <t>你是一位因从领主手里偷了一大笔钱而被判有罪的贵族的孩子，如果你的身份被发现一定会被捕，但如果没有被发现则你将会继承一大笔遗产。</t>
  </si>
  <si>
    <t>你曾加入一个因名称看起来像叛乱团伙而被查禁的组织，如果有人发现这件事，你就可能被误认为王国的公敌。</t>
  </si>
  <si>
    <t>你曾与炼狱中的生物进行过一笔交易来避免麻烦或挽救另一位角色的性命，虽然关于你的欠债有关的资料暂时丢失了，但炼狱方面的代理人时不时会来告知你他们依然在积极处理当中。</t>
  </si>
  <si>
    <t>你欠了一位健忘又迷糊的人一大笔钱，到目前为止他都没有要求你还钱，你也没想好自己到底该怎么办。</t>
  </si>
  <si>
    <t>名言</t>
  </si>
  <si>
    <t>看来就这样了，让我们从头再来一遍。</t>
  </si>
  <si>
    <t>想摆脱这群小菜我们只需要打破几个罐子就成！</t>
  </si>
  <si>
    <t>看来麻烦快解决完了，我们先想想之后去哪度个假吧。</t>
  </si>
  <si>
    <t>不过就是一场猫和老鼠的游戏罢了，我们把奶酪吃了去。</t>
  </si>
  <si>
    <t>我们只需要打这点敌人？！</t>
  </si>
  <si>
    <t>黎明前总是黑暗的，除非有满月，所以让我们来当这个满月吧！</t>
  </si>
  <si>
    <t>我们可能打败，但我们不会打败！因为我说的第一个打败不是被动式！</t>
  </si>
  <si>
    <t>“投降”是我的中间名，但那只是个小名而我则从来没使用过它！</t>
  </si>
  <si>
    <t>当我在文明的边缘地带打倒那些危险的动物磨练自己的狩猎技巧时找到了自己的目标。</t>
  </si>
  <si>
    <t>我对待动物很有一套，总能用触摸和宽慰的话语来使它们平静下来。</t>
  </si>
  <si>
    <t>我深受漫游欲的折磨，当个游侠能让我不用在一个地方停留太久。</t>
  </si>
  <si>
    <t>我见过怪物们从黑暗中出现时会发生什么。我担起了责任，成为第一道防线，抵御文明边界之外的邪恶。</t>
  </si>
  <si>
    <t>我遇到了一位头发花白的老游侠，他教导了我森林的知识和野地的奥秘。</t>
  </si>
  <si>
    <t>我曾于军中服役，在开辟小径和侦察敌营中学到了我的职业技巧。</t>
  </si>
  <si>
    <t>世界观</t>
  </si>
  <si>
    <t>城镇和城市是那些无法自我生存的人最好的去处。</t>
  </si>
  <si>
    <t>文明进步的最好办法就是阻止混乱，但它的范围必须被监视。</t>
  </si>
  <si>
    <t>城镇和城市是必要的，可一旦荒野的超自然威胁解除了，我们将不再需要他们。</t>
  </si>
  <si>
    <t>城墙是为那些当别人还在为和平奋斗自己却躲在后面的懦夫准备的。</t>
  </si>
  <si>
    <t>刚开始拜访一处城镇还不错，但没过几天我就会因感受到不可抗拒的呼唤而回归山野。</t>
  </si>
  <si>
    <t>城市会因将族群从野外的艰难挑战中隔离开来而产生弱点。</t>
  </si>
  <si>
    <t>家乡</t>
  </si>
  <si>
    <t>你曾巡逻过一片被些许穿插于其中的暗影堕界所污染和毁坏的远古森林。</t>
  </si>
  <si>
    <t>作为游牧族群的一份子，你的荒野生存技艺炉火纯青。</t>
  </si>
  <si>
    <t>你的早期在幽暗地区的生活让你对殴打别人有了充足的准备。</t>
  </si>
  <si>
    <t>你居住在一片澡泽的边缘，那里被一种水生的存在所威胁。</t>
  </si>
  <si>
    <t>因为你成长于山顶，寻找最好的路来穿山越岭是你的本能。</t>
  </si>
  <si>
    <t>你漫游过北境，知道如何保护自己并在冰天雪地里生存。</t>
  </si>
  <si>
    <t>为了你的敌人曾犯下的大罪，你在自然的支持下需求复仇。</t>
  </si>
  <si>
    <t>你的祖先或者前辈曾和某种生物作战过，现在轮到你了。</t>
  </si>
  <si>
    <t>你对你的敌人没有丝毫恨意。你只是像一个猎人追踪猎物一样靠近别人。</t>
  </si>
  <si>
    <t>你沉迷于搜寻你对敌人，你还搜集与它相关的传说和历史书籍。</t>
  </si>
  <si>
    <t>你从你的敌人身上搜集标志以来纪念你的每一次屠杀。</t>
  </si>
  <si>
    <t>你尊重你所选择的敌人，而且你视你的战斗为各项技巧的测试。</t>
  </si>
  <si>
    <t>老鼠。</t>
  </si>
  <si>
    <t>鸽子。</t>
  </si>
  <si>
    <t>臭鼬。</t>
  </si>
  <si>
    <t>乌鸦。</t>
  </si>
  <si>
    <t>浣熊。</t>
  </si>
  <si>
    <t>负鼠。</t>
  </si>
  <si>
    <t>蛇。</t>
  </si>
  <si>
    <t>蟾蜍。</t>
  </si>
  <si>
    <t>巨甲虫。</t>
  </si>
  <si>
    <t>蜥蜴。</t>
  </si>
  <si>
    <t>关注点</t>
  </si>
  <si>
    <t>小镇以北几小时路程的一个秘密海湾，你知道那是海盗们的聚集地。</t>
  </si>
  <si>
    <t>警卫室下面的下水道系统。</t>
  </si>
  <si>
    <t>你的家乡，一个古朴的定居点，你把冒险获得的东西大部分都送回了那里。</t>
  </si>
  <si>
    <t>一只由商人和雇佣兵组成的不断沿固定路线在大陆中穿行的大篷车队。</t>
  </si>
  <si>
    <t>一座曾为黑暗神而建造，现在却已长期荒废的神庙。</t>
  </si>
  <si>
    <t>你的游侠导师的长眠之处。</t>
  </si>
  <si>
    <t>一家名为“戈特·乔克尔的痛苦服饰”的黑市，毫不避讳的出售你能想到的最不合法的商品。</t>
  </si>
  <si>
    <t>一座无名的山丘，山里有一座会在午夜出现而又在黎明消失的坍塌的塔。</t>
  </si>
  <si>
    <t>我总是才思敏捷机智过人，我打算用这些才能来在世上立足。</t>
  </si>
  <si>
    <t>一个刺客或盗贼误会并盯上了我，所以我专注于训练自己掌握他们的技巧来对付他们。</t>
  </si>
  <si>
    <t>一名老练的盗贼看到了我身上的潜力并且教了我几招挺有用的把戏。</t>
  </si>
  <si>
    <t>我决定把自己天生的好运作为职业的基础，尽管我依然知道精进技巧是不可或缺的。</t>
  </si>
  <si>
    <t>我加入了一群流氓无赖，他们教会了我如何不用正面强取，而是偷偷摸摸拿到我想要的东西。</t>
  </si>
  <si>
    <t>我是个闪亮小玩意痴迷者和搜刮钱币狂热者，只要我能弄到它们而不会丢了手脚或者性命。</t>
  </si>
  <si>
    <t>罪乐感</t>
  </si>
  <si>
    <t>大宝石。</t>
  </si>
  <si>
    <t>美丽的脸庞上的微笑。</t>
  </si>
  <si>
    <t>你手指上的一个新戒指。</t>
  </si>
  <si>
    <t>有机会压制某人的自尊心。</t>
  </si>
  <si>
    <t>最好的食物和饮料。</t>
  </si>
  <si>
    <t>添加异国情调的硬币到您的收集。</t>
  </si>
  <si>
    <t>对手</t>
  </si>
  <si>
    <t>海盗船长站在你曾经的船上，对于你所说的前进，他称做叛变。</t>
  </si>
  <si>
    <t>一个间谍大师因为你给的错误信息，导致了错误的目标被暗杀</t>
  </si>
  <si>
    <t>当地盗贼工会的主人，他想要你加入组织或离开城镇</t>
  </si>
  <si>
    <t>用非法手段获得杰作的艺术品收藏家</t>
  </si>
  <si>
    <t>一个销赃犯用你们当信使来发起违法聚会</t>
  </si>
  <si>
    <t>你曾经投注的非法格斗场的老板</t>
  </si>
  <si>
    <t>恩人</t>
  </si>
  <si>
    <t>一个走私犯阻止你被捉，但这样做的时候损失了一批贵重货物。</t>
  </si>
  <si>
    <t>乞丐王多次把你从追踪者身上隐藏起来，在为未来考虑回报。</t>
  </si>
  <si>
    <t>一个地方法官曾把你关在监狱里，以获取关于一个强大的犯罪领主的信息。</t>
  </si>
  <si>
    <t>你的父母用他们的积蓄在你年轻的时候救了你，现在穷困潦倒了。</t>
  </si>
  <si>
    <t>一条龙在有机会的时候没有吃掉你，作为回报，你答应为它预留一些宝贵的财富。</t>
  </si>
  <si>
    <t>德鲁伊曾经帮助你走出困境，现在你看到的任何随机的动物都可能是捐助者，也许是来要求回报的。</t>
  </si>
  <si>
    <t>战利品</t>
  </si>
  <si>
    <t>一条贵族情妇的手帕，上面绣有两人的姓名及约会的时间地点，完美的敲诈素材。</t>
  </si>
  <si>
    <t>你从富裕地区的城堡厨房中偷来的一只银质高脚杯，上面依然散发着你偷它时盛放的葡萄酒的香味。</t>
  </si>
  <si>
    <t>从皇家法师胸前口袋中偷出的一支金色钢笔。</t>
  </si>
  <si>
    <t>当你从市长的庄园中偷窃完贵重物品准备撤离时被迫剪下的一块编织复杂的窗帘。</t>
  </si>
  <si>
    <t>一只白爪灰猫，它曾经是富商家孩子的宠物并差点破坏了你的伪装，现在它已经学会了在需要的时候保持安静，并且非常善于捕鼠。</t>
  </si>
  <si>
    <t>从城中大理石喷泉上掉下来的一尊芭蕾舞演员雕像，你因为这件事被永久禁止进入那座城市。</t>
  </si>
  <si>
    <t>一枚钻石装饰的蛇形翻领别针，是你精心潜入一场游园会之后从一位贵族的胸前悄悄摘走的。</t>
  </si>
  <si>
    <t>从一名拒绝为你修理宝剑的粗鲁铁匠手里偷来的纯金圣锤。</t>
  </si>
  <si>
    <t>欧格玛神庙中偷出的满满一瓶魔药，上面还写着“紧急情况饮用”，到目前为止你还没遇上过这么紧急的时候。</t>
  </si>
  <si>
    <t>秘术师之塔中的一面破碎的镜子，有时它的碎片中会显示出来自另一个地方的光芒。</t>
  </si>
  <si>
    <t>行会</t>
  </si>
  <si>
    <t>翻滚饺子：全部由半身人组成的行会，掩护身份是杂技演员。</t>
  </si>
  <si>
    <t>焦黑的鹰：公开的经营范围是一家知名的清洁服务公司。</t>
  </si>
  <si>
    <t>奉承屠夫：以出售来源不明的特价肉而闻名。</t>
  </si>
  <si>
    <t>亵渎盗贼：会在犯罪现场留下猥亵的名片。</t>
  </si>
  <si>
    <t>不死游侠：虽然打着这个名号但其中既没有不死生物也没有游侠。</t>
  </si>
  <si>
    <t>忠诚者：非常讽刺的是这里以惊人的违约率闻名。</t>
  </si>
  <si>
    <t>强壮秃鹫：利用飞行魔法从事特殊工作。</t>
  </si>
  <si>
    <t>奎克&amp;佛瑞德：所有人的化名都是佛瑞德。</t>
  </si>
  <si>
    <t>我出生的时候，屋子里所有的水都冻成了冰，牛奶馊了，或者所有的铁都变成了铜。家人确信这个事件预示着将来会有更奇特的事降临在我身上。</t>
  </si>
  <si>
    <t>我的精神或者肉体曾遭受可怕的压力和紧张，这引出了我潜在的魔法力量。从那以后，我一直在奋力控制它。</t>
  </si>
  <si>
    <t>直系亲属们绝口不提我的祖辈，当我问起的时候，他们就会转移话题。直到我显现出奇异的天赋，我受到何方遗赠才真相大白。</t>
  </si>
  <si>
    <t>当我的朋友受到了怪物的威胁石，我心急如焚，本能地爆发了，用一股迸发于内在的力量炸掉了那个可恶的怪物。</t>
  </si>
  <si>
    <t>一位陌生人觉察到了我不同寻常之处，并且教会了我如何控制自己的天赋。</t>
  </si>
  <si>
    <t>我逃出了一场魔法的熊熊大火，虽然没有受伤，却变得和之前不同了，我逐步展现出刚刚开始理解的、奇怪的能力。</t>
  </si>
  <si>
    <t>起源</t>
  </si>
  <si>
    <t>你的力量来自于你家族的血统。你与某些强大的生物有关，或你继承了祝福或诅咒。</t>
  </si>
  <si>
    <t>你是另一个存在的本位面的化身。</t>
  </si>
  <si>
    <t>一个强大的实体进入了这个世界。它的魔力改变了你。</t>
  </si>
  <si>
    <t>你的出生被古代的经文所预言，它预言了你的力量将被用来达到可怕的目的。</t>
  </si>
  <si>
    <t>你是几代人精心培育的产物。</t>
  </si>
  <si>
    <t>你是在一个炼金术士的大桶里做成的。</t>
  </si>
  <si>
    <t>反应</t>
  </si>
  <si>
    <t>你的力量被你周围的人视为一种巨大的祝福，你也被期望用它们来为身边人服务。</t>
  </si>
  <si>
    <t>你的眼睛是一种不寻常的颜色，比如红色。</t>
  </si>
  <si>
    <t>你的脚上有一个额外的脚趾。</t>
  </si>
  <si>
    <t>你的一只耳朵明显比另一只大。</t>
  </si>
  <si>
    <t>你的头发长得惊人。</t>
  </si>
  <si>
    <t>当你咀嚼的时候，你会不断地皱起鼻子。</t>
  </si>
  <si>
    <t>某天你的脖子上出现一个红色斑点，但一小时后就消失了。</t>
  </si>
  <si>
    <t>迹象</t>
  </si>
  <si>
    <t>你用泰坦的声音来传递你法术的语言成分。</t>
  </si>
  <si>
    <t>在你施展魔法之后的一段时间里，你周围的区域会变得黑暗而阴郁。</t>
  </si>
  <si>
    <t>你在施放一段时间的法术和之后的几秒内大量出汗。</t>
  </si>
  <si>
    <t>你的头发和衣服在你发出咒语的时候，会像是被微风吹过一般。</t>
  </si>
  <si>
    <t>如果你在施放一个咒语，你会在空气中上升6寸，然后轻轻地浮在空中。</t>
  </si>
  <si>
    <t>当你开始铸造时，虚幻的蓝色火焰缠绕在你的头上，然后突然消失。</t>
  </si>
  <si>
    <t>法器</t>
  </si>
  <si>
    <t>一只用假宝石做眼睛的毛绒黄鼠狼。</t>
  </si>
  <si>
    <t>一枚在你注视时会闪闪发光的罕见金币。</t>
  </si>
  <si>
    <t>一个印有你自己肖像的铜质皮带扣。</t>
  </si>
  <si>
    <t>一副镜片颜色会随你所释放的法术学派变化的银质眼镜</t>
  </si>
  <si>
    <t>一条保存完好并且你和周边所有生物都觉得闻起来很美味的香肠。</t>
  </si>
  <si>
    <t>一把被注视时会突然发出巨响的金口琴。</t>
  </si>
  <si>
    <t>一颗偶尔会眨眼吐舌头的干瘪侏儒头。</t>
  </si>
  <si>
    <t>一把雕刻成泰拉斯奎巨兽形状的马球锤。</t>
  </si>
  <si>
    <t>一瓶你每次看时都会变色的药剂。</t>
  </si>
  <si>
    <t>一根鹿鹰的鹿茸，用仙女的头发和皮克精的魔粉做为装饰。</t>
  </si>
  <si>
    <t>效应</t>
  </si>
  <si>
    <t>一种恶心程度比战蜥人分泌物略低的味道时不时从你身上散发。</t>
  </si>
  <si>
    <t>你的嗓音会随机的比正常声音高三个八度或低三个八度。</t>
  </si>
  <si>
    <t>你的头发颜色会改变一小时，如果你没有头发则会在一小时长出银发，之后再脱落。</t>
  </si>
  <si>
    <t>偶尔你的言行举止让人以为你烂醉如泥。</t>
  </si>
  <si>
    <t>一分钟内你的眼睛会循环发出红蓝绿三种颜色的光芒。</t>
  </si>
  <si>
    <t>有时当你对其他生活造成伤害后，你身边虚空中会有一个声音大喊道“呸！”</t>
  </si>
  <si>
    <t>你的眼睛和耳朵中会短暂的滴落出血迹。</t>
  </si>
  <si>
    <t>你的指甲上会长出扭曲的爪子，会在十分钟后或你碰触任何东西之后脱落。</t>
  </si>
  <si>
    <t>间歇性地，你施法所需的任何姿势成分会变成剧烈的咳嗽。</t>
  </si>
  <si>
    <t>一分钟内你会比正常情况下高六寸或矮六寸。</t>
  </si>
  <si>
    <t>我在一块禁地游荡的时候，遇到了一个异界存在，提出要和我签订契约。</t>
  </si>
  <si>
    <t>当我正在检查一本自己在一座废弃图书馆里发现的奇怪的典籍时，后来成为我宗主的实体突然出现在我面前。</t>
  </si>
  <si>
    <t>我偶尔穿过了一扇魔法之门，落入了我宗主的掌控之中。</t>
  </si>
  <si>
    <t>我曾在可怕的危机中向任何愿意聆听的存在祈祷，而回应了我祈祷的生物成为了我的宗主。</t>
  </si>
  <si>
    <t>我的宗主曾造访我的梦境，许给我强大的力量来换取我的侍奉。</t>
  </si>
  <si>
    <t>我的一名祖辈曾与宗主签订契约，所以这名宗主也决定和我签下同样的契约。</t>
  </si>
  <si>
    <t>态度</t>
  </si>
  <si>
    <t>你的宗主世世代代引导、帮助你的家族，并且对你也十分友善。</t>
  </si>
  <si>
    <t>每次与你任性宗主的互动都令人惊异，无论是惊喜还是惊恐。</t>
  </si>
  <si>
    <t>你的宗主是一位逝去已久的英雄，他将与你立下的契约视作继续影响世界的方法。</t>
  </si>
  <si>
    <t>你的宗主极度严格地奉行规矩，但对你抱着尊重的态度。</t>
  </si>
  <si>
    <t>你的宗主欺骗你立下契约，并把你当做奴隶。</t>
  </si>
  <si>
    <t>你基本上被丢在一边做自己的事，宗主几乎无所作为。有的时候你会担心它出现时将会提出什么要求。</t>
  </si>
  <si>
    <t>条款</t>
  </si>
  <si>
    <t>当指示下达时，你必须立刻对宗主的一名特定的敌人采取行动。</t>
  </si>
  <si>
    <t>你的契约考验着你的意志力；你不能饮酒或者类似的醉人之物。</t>
  </si>
  <si>
    <t>每天至少一次，你必须在墙上涂鸦或刻下宗主的名讳或者徽记。</t>
  </si>
  <si>
    <t>你偶尔需要进行古怪的仪式来维持契约。</t>
  </si>
  <si>
    <t>你不能第二次穿上曾经穿过的外套；你的宗主认为这种可预测性非常无聊。</t>
  </si>
  <si>
    <t>当你使用魔能祈唤时，要么高声呼喊你宗主的名字，要么承担它感到不快的风险。</t>
  </si>
  <si>
    <t>印记</t>
  </si>
  <si>
    <t>你其中一只眼睛看起来和宗主的眼睛一模一样。</t>
  </si>
  <si>
    <t>每次你醒来，你脸上的一个小瑕疵都会改变位置。</t>
  </si>
  <si>
    <t>你的外表显示出疾病的症状，但对你并没有实际危害。</t>
  </si>
  <si>
    <t>你的舌头颜色很不自然。</t>
  </si>
  <si>
    <t>你有一条返祖的尾巴。</t>
  </si>
  <si>
    <t>你的鼻子在暗处会发光。</t>
  </si>
  <si>
    <t>怪癖</t>
  </si>
  <si>
    <t>你每顿饭都必须吃掉大量的生洋葱。</t>
  </si>
  <si>
    <t>当你陷入紧张的状况时，你每说四个字就要大喊用词。</t>
  </si>
  <si>
    <t>每当你认真倾听时，你的第二对耳朵就会不停的出现又消失。</t>
  </si>
  <si>
    <t>你无法接受直接触摸贵重物品，必须要先带上手套才行。</t>
  </si>
  <si>
    <t>在你洗手或洗澡时，除非烫的吓人，不然你都会觉得水是冰凉的。</t>
  </si>
  <si>
    <t>你必须粗暴的掴一些生物之后才能睡个好觉。</t>
  </si>
  <si>
    <t>除非你的衣服有华丽的对比色或华丽的图案，不然你总会觉得不舒服。</t>
  </si>
  <si>
    <t>当你施法时，你的言语或姿势成分必须带着一点淫秽。</t>
  </si>
  <si>
    <t>你的头发长的飞快以至于你必须在每次短休或长休中理发。</t>
  </si>
  <si>
    <t>当别人用真名叫你时，你总会责怪他们是在把你的真名告诉它们。</t>
  </si>
  <si>
    <t>座右铭</t>
  </si>
  <si>
    <t>“我不算账，我直接跟人‘算账’。”</t>
  </si>
  <si>
    <t>“我是利润的先知，我有一个关于成功的预言。”</t>
  </si>
  <si>
    <t>“胜利是最好的香水，而我闻起来香气扑鼻。”</t>
  </si>
  <si>
    <t>“你的珍宝就是我的生意。”</t>
  </si>
  <si>
    <t>“凡人才会犯错，我可不会。”</t>
  </si>
  <si>
    <t>“比起琢磨花哨的座右铭我宁可直接完成工作。”</t>
  </si>
  <si>
    <t>一位老法师从几名候选人中挑中了我来做学徒。</t>
  </si>
  <si>
    <t>我曾经迷失在森林中，一位隐居的法师发现和收留了我，并教给我魔法的基础知识。</t>
  </si>
  <si>
    <t>我听着那些伟大巫师的传说长大，渴望追随他们的足迹。我通过自己的努力成功考上了一所魔法学院。</t>
  </si>
  <si>
    <t>我有亲戚是位很有成就的法师，他觉得我足够聪明，可以学习魔法的技艺。</t>
  </si>
  <si>
    <t>当我在探索一座古老的墓穴/图书馆/神殿时，找到了一本法术书，我立刻被吸引了，如饥似渴地学习一切能让我成为法师的东西。</t>
  </si>
  <si>
    <t>我是一名神童，很小的时候就展现出对魔法艺术的精妙掌握，当我长到可以独自出行的年纪，我就踏上了旅途，学习更多的魔法，增强自己的力量。</t>
  </si>
  <si>
    <t>铁铸卷册，酸蚀为文。</t>
  </si>
  <si>
    <t>一个破损的卷宗，写满了仅有你能识别的象形文字。</t>
  </si>
  <si>
    <t>写满咒文的长带的皮革，为便于携带而缠于法杖之上。</t>
  </si>
  <si>
    <t>刻有符文的石头，存于布袋之中。</t>
  </si>
  <si>
    <t>一本被龙炎所焚坏的书，裸露出其中的法术笔迹。</t>
  </si>
  <si>
    <t>由完全漆黑的纸面组成的卷册，笔迹仅于昏暗与黑暗中可见。</t>
  </si>
  <si>
    <t>野心</t>
  </si>
  <si>
    <t>你将证明，诸神并未如人们所想象得那般强大。</t>
  </si>
  <si>
    <t>你学海的终点乃是不朽。</t>
  </si>
  <si>
    <t>假若你能充分了解魔法，你能够解锁其全部的威能以开创一个平等的新纪元。</t>
  </si>
  <si>
    <t>魔法是危险的工具，你以之保卫你所爱。</t>
  </si>
  <si>
    <t>奥术的威能必须从滥用者手中夺去。</t>
  </si>
  <si>
    <t>你将成为，世上数代人所能见过的，最伟大的法师。</t>
  </si>
  <si>
    <t>你无止地跺脚并时常惹恼周边的人。</t>
  </si>
  <si>
    <t>你记忆力超乎凡人，但你可以毫不顾忌地假装心不在焉--如果这符合你的目的的话。</t>
  </si>
  <si>
    <t>你从不在看看天花板上悬挂什么之前就走进一个房间。</t>
  </si>
  <si>
    <t>你最为珍爱的财富是一个放在药瓶里的死虫子。</t>
  </si>
  <si>
    <t>当你希望他人离开你时，你便开始自顾自地说话。</t>
  </si>
  <si>
    <t>你的时尚感和妆容，或更多缺乏的东西，时常让人误以为你是个乞丐。</t>
  </si>
  <si>
    <t>噩梦</t>
  </si>
  <si>
    <t>你站在悬崖顶端看着海中浮现一只似乎能毁灭世界的海怪，开始用每只触手中的毛刷在你周围乱涂乱画，你无法躲开它的追踪，但总能在被刷到颜色之前醒来。</t>
  </si>
  <si>
    <t>你梦到在一张纸上漫步，纸上用各种语言写满了“蛋壳”，其中还包含一些你不认识的语言。</t>
  </si>
  <si>
    <t>你正在开一场职业生涯中最重要的发布会，而你用来制造各种华丽视觉特效的魔法却失控了，现在观众眼中的你除了一条围巾之外一丝不挂。</t>
  </si>
  <si>
    <t>一名特许经营机构中的员工收到了一笔巨额馈赠并申请离职，而一张你签名的纸条显示你前一天从公司账户上提取了同样多的一笔钱，但你对此没有任何印象。</t>
  </si>
  <si>
    <t>你感觉有羽毛在轻轻地咯吱你，抬头后却发现是一只蛇鸡兽在你胸口梳妆打扮。</t>
  </si>
  <si>
    <t>你的所有口袋都开裂了，但你无法让自己停止往里放进贵重物品，只能不停的重复掉出来、捡起来、再装进去的流程。</t>
  </si>
  <si>
    <t>菲里亚·福乔：半精灵防护师，她烤的小蛋糕能当药水吃。</t>
  </si>
  <si>
    <t>奥格加：沉默的半兽人预言师，她用石头把失败的学生都砸死了。</t>
  </si>
  <si>
    <t>兰普勒·里克斯：侏儒变化师，住在桥下并为甜菜糖和花生蜂蜜工作。</t>
  </si>
  <si>
    <t>梅尔娜·罗西伯恩顿伯里维尔夫人：238岁的槌球运动员兼塑能师，以及第一、二、三、五、六次巨魔战争的英雄（第四次她在休产假）</t>
  </si>
  <si>
    <t>弗恩斯坦·德洛克伯恩：地底侏儒口技演员兼咒法师，带着他的“笨蛋”文森罗伊——穿着木偶服装的亲密小傀儡。</t>
  </si>
  <si>
    <t>洛·哈特：提夫林幻术师兼鞋匠，他和魔鬼交易的传言提供了许多“靴子修好，灵魂坏掉”的笑话。</t>
  </si>
  <si>
    <t>“兔子”雷尼：为胡萝卜痴狂的半身人附魔师，你当他徒弟时吃了太多胡萝卜，从此看见就反胃。</t>
  </si>
  <si>
    <t>西尔维斯特·德拉古：人类死灵师，他最宝贝的东西是一副过去学生给他画的肖像画，据说完美的捕捉到了他眼睛的绿色，但其实肖像的眼睛是血红色的，没人告诉西尔维斯特他是个色盲。</t>
  </si>
  <si>
    <t>备选专长</t>
  </si>
  <si>
    <t>已选专长</t>
  </si>
  <si>
    <t>选择一项属性值提升2点，或是选择两项属性各提升1点。不过你不能通过此特性让属性值超过20</t>
  </si>
  <si>
    <t>警觉</t>
  </si>
  <si>
    <t>你的先攻获得+5加值
你在意识清醒时无法被突袭
你看不到的生物对你发动攻击检定时，无法因此获得优势</t>
  </si>
  <si>
    <t>运动员</t>
  </si>
  <si>
    <t>你的力量或敏捷增加1，上限为20
你陷入倒地状态时，起立所需要花费的移动力为5尺
攀爬无需额外消耗移动力
你在进行助跑调高或跳远时只需要移动5尺，而不是10尺</t>
  </si>
  <si>
    <t>你的魅力增加 1，上限为20
当你试图将自己扮演成另一个人时，你进行魅力（欺瞒）和魅力（表演）检定时具有优势
你可以模仿另一个生物的说话口吻和声音。前提是你必须听过被模仿者至少1分钟的说话或发声。对方聆听你的模仿时可以进行一次感知（洞悉）检定，并与你的魅力（欺瞒）检定进行对抗，若对方胜出便会意识到声音是模仿出来的</t>
  </si>
  <si>
    <t>冲锋手</t>
  </si>
  <si>
    <t>当你执行疾走动作时，你可以用附赠动作发动一次近战武器攻击，或推撞一个生物
若你在使用附赠动作前至少直线行走10尺，则该次攻击的伤害掷骰具有+5加值（若你选择近战攻击且命中），或目标被推出至多10尺（若你选择推撞且成功）</t>
  </si>
  <si>
    <t>强弩专家</t>
  </si>
  <si>
    <t>你使用拥有熟练项的弩时，忽略其装填属性
你在敌对生物5尺范围内发动远程攻击检定时，不会因此而具有劣势
你执行攻击动作以单手武器攻击后，可以用附赠动作使用一把正持握的手弩发动攻击</t>
  </si>
  <si>
    <t>双持客</t>
  </si>
  <si>
    <t>当你两手各持用一把武器时，你的AC获得+1加值
你进行双持武器战斗时所持用的单手近战武器可以不具备轻型武器属性
你可以在正常只能拔出或入鞘一把武器时，同时拔出或入鞘两把单手武器</t>
  </si>
  <si>
    <t>地城探索者</t>
  </si>
  <si>
    <t>你为搜寻密门进行的感知（察觉）和智力（调查）检定具有优势
你为躲避或抵抗陷阱而进行的豁免检定具有优势
你对陷阱所造成的任何伤害都具有抗性
你以快速步调旅行时无需承受通常情况下的被动感知（察觉）值的-5罚值</t>
  </si>
  <si>
    <t>耐性</t>
  </si>
  <si>
    <t>你的体质加1，上限为20
当你掷生命骰恢复生命值时，每粒生命骰可恢复的最小生命值等于你体质调整值的两倍（最小为2）</t>
  </si>
  <si>
    <t>学院专长</t>
  </si>
  <si>
    <t>巨武器大师</t>
  </si>
  <si>
    <t>你在自己回合内用近战武器造成重击，或将一个生物生命值降至0时，可以用附赠动作发动一次近战武器攻击
你在使用具有熟练项的重型武器发动近战攻击前，可以选择让本次攻击检定承受-5罚值。若本次攻击命中，则其伤害掷骰获得+10加值</t>
  </si>
  <si>
    <t>重复专长</t>
  </si>
  <si>
    <t>你使用医疗包为生物稳定伤势时，该生物可以恢复1点生命值
你可以用一个动作消耗医疗包的一次使用次数，并以此护理一个生物使其恢复1d6+4再加上角色生命骰粒数的生命值。该生物在进行短休或长休前无法再次从该专长获取生命值</t>
  </si>
  <si>
    <t>专长数量</t>
  </si>
  <si>
    <t>敏锐心灵</t>
  </si>
  <si>
    <t>你的智力加1，上限为20
你始终知道北边的方位
你始终知道距离下一次日出或日落还有多久
你可以完美复述出一个月内你所听到或看到的任何事</t>
  </si>
  <si>
    <t>轻甲运用</t>
  </si>
  <si>
    <t>你的力量或敏捷加1，上限为20
你获得轻甲的熟练项</t>
  </si>
  <si>
    <t>语言学家</t>
  </si>
  <si>
    <t>你的智力加1，上限为20
你习得三门自选语言
你可以自创密码。而未经你传授解密方法的人只有两种方法可以破译你的密码：其一是进行智力检定（DC等于你的智力值＋你的熟练加值），或是以魔法破译</t>
  </si>
  <si>
    <t>你获得3点幸运点。当你进行攻击检定、属性检定、豁免检定时，你可以花费1幸运点来骰一个额外的d20。你可以选择在掷骰完成后，但结果公布前花费你这1幸运点。此后，你来选择该次攻击检定、属性检定或豁免检定要使用哪粒d20的结果
你也可以在被攻击时选择花费1点幸运点骰一次d20。然后由你决定攻击者该使用哪粒d20
若不止一个生物决定花费幸运点影响同一个骰值，则幸运点互相抵消，即并不会有额外的d20掷骰行为
完成一次长休后你可以恢复所有的幸运点</t>
  </si>
  <si>
    <t>巫师杀手</t>
  </si>
  <si>
    <t>你周边5尺范围内的一个生物施展法术后，你可以用你的反应对该生物发动一次近战武器攻击
当你对一名正专注法术的生物造成伤害时，该生物进行维持本次专注的豁免检定时具有劣势
你为抵抗身边5尺范围内生物对你施展的法术而进行的豁免检定具有优势</t>
  </si>
  <si>
    <t>魔法学徒</t>
  </si>
  <si>
    <t>指定一个职业：吟游诗人、牧师、德鲁伊、术士、邪术师、法师。你从指定职业法术列表里习得两个戏法
此外，你从相同列表里选择习得一个1环法术。以该方式习得的法术只可以用其最低环法术位来施展，而以该方式施展后的该1环法术必须完成一次长休后，才能再次以该方式施展
这些法术的施法关键属性取决于你指定的职业：吟游诗人、术士、邪术师用魅力；牧师、德鲁伊用感知；法师用智力</t>
  </si>
  <si>
    <t>战技专家</t>
  </si>
  <si>
    <t>你选择习得战士战斗大师范型战技列表中的两个战技。如果所习得的战技需要目标进行豁免检定来抵抗战技效果，则其豁免DC等于8＋你的熟练加值+你的力量或敏捷调整值（自选）
你获得一枚d6的卓越骰（该骰可加到任何你以其他方式获得的卓越骰中）。此卓越骰可用于启动你的战技。此卓越骰一经使用即消耗，并在完成短休或长休后恢复</t>
  </si>
  <si>
    <t>灵活移动</t>
  </si>
  <si>
    <t>你的移动速度增加10尺
你执行疾走动作的相应回合内，在困难地形的移动不再消耗额外的移动力
你对一个生物发动近战攻击后，无论命中与否，本回合剩下时间里你都不会引发该生物的借机攻击</t>
  </si>
  <si>
    <t>骑乘战斗</t>
  </si>
  <si>
    <t>当正在骑乘且未处于失能状态时，你获得下列增益：
你对比你的坐骑体型更小的未骑乘生物发动近战攻击时，所进行的攻击检定具有优势
你可以强迫针对你坐骑的攻击转而针对你自己
当你的坐骑受某效应影响而需要进行敏捷豁免来减半伤害时，如果豁免成功则可以不承受伤害，豁免失败则伤害减半</t>
  </si>
  <si>
    <t>观察力</t>
  </si>
  <si>
    <t>你的智力或感知加1，上限为20
某生物在讲话时，若你可以看见目标的嘴且你可以理解其语言，则你就可以依靠读唇来解读目标正在讲什么
你的被动感知（察觉）值和被动智力（调查）值带+5加值</t>
  </si>
  <si>
    <t>长柄武器大师</t>
  </si>
  <si>
    <t>当你只使用长柄刀、戟、长棍或矛执行攻击动作时，可以用附赠动作以武器手柄的末端发动一次近战攻击。这次攻击与主攻击使用同样的调整值，其伤害骰为d4，伤害类型为钝击伤害
当你持握长柄刀、戟、长矛、长棍或矛时，进入你触及范围的生物会引发你的借机攻击</t>
  </si>
  <si>
    <t>力量属性加1，上限为20
你进行力量的豁免检定时可以加上你的熟练加值</t>
  </si>
  <si>
    <t>敏捷属性加1，上限为20
你进行敏捷的豁免检定时可以加上你的熟练加值</t>
  </si>
  <si>
    <t>体质属性加1，上限为20
你进行体质的豁免检定时可以加上你的熟练加值</t>
  </si>
  <si>
    <t>智力属性加1，上限为20
你进行智力的豁免检定时可以加上你的熟练加值</t>
  </si>
  <si>
    <t>感知属性加1，上限为20
你进行感知的豁免检定时可以加上你的熟练加值</t>
  </si>
  <si>
    <t>魅力属性加1，上限为20
你进行魅力的豁免检定时可以加上你的熟练加值</t>
  </si>
  <si>
    <t>凶蛮打手</t>
  </si>
  <si>
    <t>你每回合有一次机会，在掷近战武器攻击的伤害骰时，重掷武器的伤害骰并选用新旧骰值二者之一</t>
  </si>
  <si>
    <t>哨兵</t>
  </si>
  <si>
    <t>你的借机攻击命中目标时，目标在本回合剩下时间内的移动速度降至0
生物即使执行撤离动作离开你的触及范围也会引发你的借机攻击
处于你周边5尺范围内的生物对除你外的目标发动攻击后（且被攻击者没有这个专长），你可以用你的反应对该攻击者发动一次近战攻击</t>
  </si>
  <si>
    <t>神射手</t>
  </si>
  <si>
    <t>攻击最大射程内的敌人时，你的远程武器攻击检定不会具有劣势
你的远程武器攻击忽视半身掩护和四分之三掩护状态
你用拥有熟练项的远程武器发动攻击前，可以选择使该次攻击的攻击检定承受-5减值。若本次攻击中，则其伤害掷骰获得+10加值</t>
  </si>
  <si>
    <t>盾牌大师</t>
  </si>
  <si>
    <t>你在自己的回合内执行攻击动作时，可以用附赠动作以盾牌尝试推撞一个在你5尺范围内的生物
如果你不处于失能状态，则你为抵抗以你为唯一目标的法术或其他伤害性效应而进行敏捷豁免时，可以将你盾牌的AC添加到相应的敏捷豁免中
当某个效应使让你进行豁免成功可以伤害减半的敏捷豁免检定时，你可以用你的反应将盾牌挡在你与效应原点之间，此时豁免成功则不受任何伤害</t>
  </si>
  <si>
    <t>熟习</t>
  </si>
  <si>
    <t>选择任意组合的三项技能或工具加入你的熟练项</t>
  </si>
  <si>
    <t>斗殴高手</t>
  </si>
  <si>
    <t>你的力量或体质加1，上限为20
你获得临时武器的熟练项
你徒手打击的伤害骰变为1d4
你在自己的回合内用徒手打击或临时武器命中敌人时，可以用附赠动作尝试对该敌人进行一次擒抱</t>
  </si>
  <si>
    <t>健壮</t>
  </si>
  <si>
    <t>获得该专长时，你的生命值上限增加你当前等级两倍的数值。并且在你随后每次升级时，生命值上限都会额外加2</t>
  </si>
  <si>
    <t>武器大师</t>
  </si>
  <si>
    <t>你的力量或敏捷加1，上限为20
你从简易武器和军用武器列表中，共选择四种武器并获得其熟练项</t>
  </si>
  <si>
    <t>当你持用一把已具有熟练项的灵巧武器时，若另一生物对你发动的近战攻击命中你，则你可执行反应并将你的熟练加值添加到本次攻击的AC中，此举还有可能导致本次攻击变为未命中
先决条件：敏捷13或更高</t>
  </si>
  <si>
    <t>你对被你擒抱的生物所发动的攻击检定具有优势
你可以用动作尝试压制被你擒抱的一个生物。此时，你必须进行另外一次擒抱检定。检定成功，则你与被擒抱者同时陷入束缚状态，直至擒抱终止
先决条件：力量13或更高</t>
  </si>
  <si>
    <t>你可以花费10分钟来激励同伴，鼓舞他们战斗的信心。此时，你可以指定30尺内至多6名友方生物（可以包括你自己）作为目标。目标生物必须能够看见你或者能够听到你的声音的，且必须能够理解你。被指定的生物将因你获得临时生命值，其数值等于你的等级加上你的魅力调整值。此后直至其完成一次短休或长休前，目标生物都无法再从该专长获益
先决条件：魅力13或更高</t>
  </si>
  <si>
    <t>你习得一些可以用于仪式施法的法术。这些法术会记载在一本仪式书上，你进行仪式施法时必须手持这本仪式书
当你选择该专长时，你获得一本记载了两个自选一环法术的仪式书。从吟游诗人、牧师、德鲁伊、术士、邪术师、法师中选择一个职业。你所选法术必须在所选职业的法术列表里，且所选法术必须有仪式标签。你所选的职业同样决定了这些法术的施法关键属性：吟游诗人、术士、邪术师用魅力；牧师、德鲁伊用感知；法师用智力
当你获得了一份书写形式的法术时，你可以将其法术添加进你的仪式书里。被添加的法术必须在你所选职业的法术列表里，且该法术环阶不能高于你等级的一半（向上取整），而该法术还必须带有仪式标签。将该法术抄进你的仪式书必须消耗每环2小时时间和50gp的金钱。该消耗即是你研究掌握该法术所消耗的材料成分和抄写进仪式书所用的优质墨水等的开销
先决条件：智力或感知为13或更高</t>
  </si>
  <si>
    <t>你可以在轻度遮蔽的状态下尝试躲藏
当你对某生物处于躲藏状态时，你对其发动的远程武器攻击如果未命中便不会暴露你的位置
你在微光环境下进行依靠视觉的感知（察觉）检定时不会具有劣势
先决条件：敏捷13或更高</t>
  </si>
  <si>
    <t>获得该专长后，你所施展的法术将忽视强酸的抗性。此外，当你施展法术造成强酸伤害时，将每粒伤害骰所有1的骰值视为2
先决条件：至少可以施展一个法术</t>
  </si>
  <si>
    <t>获得该专长后，你所施展的法术将忽视冷冻的抗性。此外，当你施展法术造成冷冻伤害时，将每粒伤害骰所有1的骰值视为2
先决条件：至少可以施展一个法术</t>
  </si>
  <si>
    <t>获得该专长后，你所施展的法术将忽视火焰的抗性。此外，当你施展法术造成火焰伤害时，将每粒伤害骰所有1的骰值视为2
先决条件：至少可以施展一个法术</t>
  </si>
  <si>
    <t>获得该专长后，你所施展的法术将忽视闪电的抗性。此外，当你施展法术造成闪电伤害时，将每粒伤害骰所有1的骰值视为2
先决条件：至少可以施展一个法术</t>
  </si>
  <si>
    <t>获得该专长后，你所施展的法术将忽视雷鸣的抗性。此外，当你施展法术造成雷鸣伤害时，将每粒伤害骰所有1的骰值视为2
先决条件：至少可以施展一个法术</t>
  </si>
  <si>
    <t>当你施展需要进行攻击检定的法术时，则该法术的施法距离加倍
你的远程法术攻击忽视半身掩护和四分之三掩护状态
先决条件：至少可以施展一个法术
你习得一个需要进行攻击检定的戏法。从吟游诗人、牧师、德鲁伊、术士、邪术师、法师中选择其一，并从其相应的法术列表里选择该戏法。你施展该戏法的施法关键属性取决于你选择的职业：吟游诗人、术士、邪术师用魅力；牧师、德鲁伊用感知；法师用智力</t>
  </si>
  <si>
    <t>当你受到伤害时，你为维持法术专注而进行的体质豁免具有优势
你在持握武器和盾牌时依然可以满足施法所需的姿势成分
当敌方生物的移动引发你的借机攻击时，你可以用你的反应对该生物施展一个法术而非发动借机攻击。该法术的施法时间必须是1动作，且该生物必须为法术的唯一目标
先决条件：至少可以施展一个法术</t>
  </si>
  <si>
    <t>你的力量或敏捷加1，上限为20
你获得中甲和盾牌的熟练项
先决条件：轻甲熟练项</t>
  </si>
  <si>
    <t>着装中甲不再使你进行敏捷（隐匿）检定时具有劣势
着装中甲时，若你的敏捷在16或以上，你的AC可以增加3点而非2点
先决条件：中甲熟练项</t>
  </si>
  <si>
    <t>你的力量加1，上限为20
你获得重甲的熟练项
先决条件：中甲熟练项</t>
  </si>
  <si>
    <t>你的力量加1，上限为20
你着装重甲时，非魔法武器对你造成的钝击、穿刺、挥砍伤害每次减少3点
先决条件：重甲熟练项</t>
  </si>
  <si>
    <t>如果一个30尺内你可以看见的队友在攻击骰，技能检定或者豁免上扔了个1，你可以以一个反应让他重扔一次，队友必须接受新的结果
当你使用这个能力，直到下回合结束你都不能再次使用
先决条件：半身人</t>
  </si>
  <si>
    <t>力量、体质或魅力+1，不能超过20
你可以使用咆哮并消耗你的喷吐武器使三十尺内你选择的每个生物通过一个感知豁免检定（DC＝8+你的熟练加值+魅力调整值）取代喷射毁灭性能量。听不到或看不到你的目标单位自动通过此检定。如果豁免失败，目标恐慌一分钟。如果恐慌的目标受到任何伤害，他可以重投豁免检定，直到通过为止
先决条件：龙裔</t>
  </si>
  <si>
    <t>你的力量、体质或者魅力+1，不能超过20
你的皮肤硬化，如果你没穿盔甲则你的AC变为13+敏捷调整值。你可以在持握盾牌时仍获得此好处
你的指尖长出可伸缩的利爪，伸出或缩回爪子不消耗动作，爪子是可以用来徒手打击的天生武器，如果你用他们发动攻击，你造成1d4+你的力量调整值的挥砍伤害
先决条件：龙裔</t>
  </si>
  <si>
    <t>你学到了更多种类的黑暗精灵魔法。你学会侦测魔法并可以任意释放他，而不会消耗法术位。你学会解除魔法和浮空术，你可以释放每种一次不消耗法术位。直到你完成一次长休息你才可以再度释放他们。魅力是你施放这三个法术的施法主属性
先决条件：卓尔精灵</t>
  </si>
  <si>
    <t>你的体质+1，最大20
当你在战斗中使用回避动作时，你可以消耗一颗生命骰来治愈自己。扔一颗骰子，加上你的体质调整值，恢复那么多的血（最少为1）
先决条件：矮人</t>
  </si>
  <si>
    <t>你的敏捷、智力、感知或魅力+1，最大20
当你在依靠敏捷，智力，感知或者魅力进行的攻击骰上有优势的时候，你可以重扔其中一个骰子
先决条件：精灵或者半精灵</t>
  </si>
  <si>
    <t>你的智力+1，最大20
当你受到伤害，你可以用一个反应来用魔法把自己变成隐形，直到你攻击，造成伤害或使别人通过豁免检定或者下个回合。你只能使用一次这个能力，直到你进行一次短休息或者长休息
先决条件：侏儒</t>
  </si>
  <si>
    <t>你的智力或者魅力+1，最大20
你学会说读写木族语
你学会了迷踪步并且可以不消耗法术位释放他。直到你进行一次短休息或者长休息你才能再度使用此能力。智力是你的施法主属性
先决条件：高等精灵</t>
  </si>
  <si>
    <t>智力或者魅力+1，最大20
当你施展法术扔火焰伤害的伤害骰时，你可以重扔任何被扔到1的骰子，你必须接受新结果哪怕那也只是个1
当你施展造成火焰伤害的法术时，你可以让火焰环绕于你，直到你的下个回合结束。那些火焰不会对你或者你的物品造成伤害。他们提供30尺明亮照明和额外30尺昏暗照明，只要处于火焰现形之时，任何在你五尺内对你近战攻击的生物都会受到1d4火焰伤害
先决条件：提夫林</t>
  </si>
  <si>
    <t>体质+1，不能超过20
你获得寒冷与毒性抗力
你在对抗毒素时取优势
先决条件：提夫林</t>
  </si>
  <si>
    <t>你的力量或者体质+1，最高20
当你用简易或者军用武器进行一次攻击命中时，你可以再扔一个武器伤害骰并且用武器伤害同样的伤害类型将它加入额外伤害。你只能使用一次，直到你进行一次短休息或者长休息
在你进行坚韧不屈特性之后，你可以立即以反应进行一次武器攻击
先决条件：半兽人</t>
  </si>
  <si>
    <t>你获得一种自选技能的熟练，一种自选工具的熟练，且娴熟于一种自选的语言
选择一种你已经熟练于其的技能。你获得这种技能的专精，这意味着你在以其进行的任何技能检定上获得双倍熟练值。你选择的这个技能必须未在任何特性上获得双倍熟练的好处
先决条件：人类或半精灵或者半兽人</t>
  </si>
  <si>
    <t>你的敏捷、体质或者魅力+1，最大20
当一个你可以看到的生物对你进行攻击骰命中时，你可以用一个反应让那个生物重骰。一旦你使用此能力，直到你进行一次短休息或者长休息你才能再度使用此能力
先决条件：半身人</t>
  </si>
  <si>
    <t>你的力量或敏捷+1，最大20
你的速度提升5尺
你获得运动或者杂技之一的熟练（由你选择）
你在你进行的脱离擒抱的力量（运动）或者敏捷（杂技）的检定上获得优势
先决条件：矮人或者小体型</t>
  </si>
  <si>
    <t>你学会一种任选的德鲁伊戏法，你同时学会大步奔行和行动无踪法术。你可以释放他们各一次而不消耗法术位，直到一次长休息或者短休息，你才可以再次通过此能力施法。这三个法术的施法主属性是感知
先决条件：木精灵</t>
  </si>
  <si>
    <t>这项能力允许你随意对自己施放回避侦测，而不需要物质成分。你也可以每日一次施展下列每项法术：目盲/耳聋术、朦胧术和易容术。当你完成一次长休息后，你会重新获得施展这些法术的能力。你的施法关键属性为智力
先决条件：地底侏儒</t>
  </si>
  <si>
    <t>体质属性增加1，上限20
你从术士法术列表中习得一个戏法。然后，从术士法术列表中选择一个1环法术。你习得该法术，并能通过龙纹施展它。当你施展过一次此法术后，必须经过一次短休或长休才能再次施展。在施展这些法术时，体质是你的施法关键属性。
当你通过龙纹施展那个一环法术时，你能消耗一个生命骰并掷骰。如果掷骰结果是偶数，你将获得等同掷骰结果的临时生命值。如果掷骰结果是奇数，距离你30尺内的一个随机生物（不包括你）受到等同掷骰结果的力场伤害。如果范围内没有其他生物，则你会受到该伤害
先决条件：没有龙纹</t>
  </si>
  <si>
    <t>你从奇械师法术列表中选择并习得一个戏法。此外，你从该法术列表中选择并习得一个一环法术。智力是你施展这些法术的施法关键属性
你可以在不消耗法术位的情况下施展一次来自此专长的一环法术。你必须在完成一次长休后才能再次这样做。你也可以正常消耗法术位来施展该法术
你获得你所选的一项工匠工具熟练，并且你可以将该工具作为施展任何以智力为施法关键属性的法术的法器</t>
  </si>
  <si>
    <t>你的体质或感知增加1，上限为20
你获得厨师工具的熟练项，如果你还没有的话
作为短休的一部分，只要你手上有原料和厨师工具，你便可以烹饪特制料理。你可以为特定数量的生物准备这种食物，其数量等同于4+你的熟练加值。在本次短休结束时，任何食用了料理并且花费了一个或更多生命骰来恢复生命值的生物恢复额外1d8点生命值
在花费一小时精心制作后，或者在完成一次长休时，你可以制作等同于你熟练加值个数的餐点。这些餐点在制作完成后持续八小时。任何食用餐点的生物都能获得等同于你熟练加值的临时生命值</t>
  </si>
  <si>
    <t>你的力量或体质增加1，上限为20
每回合一次，当你用造成钝击伤害的攻击命中一个生物时，只要目标的体型并未比你大一级以上，你就可以将目标移动五尺至一个未被占据的空间
当你用造成钝击伤害的攻击命中一个生物并造成重击时，直至你的下一回合开始，所有针对该生物的攻击检定具有优势</t>
  </si>
  <si>
    <t>你从邪术师职业中选择并获得一项魔能祈唤。如果该祈唤具有任何先决条件，则仅当你是一位满足该条件的邪术师时才能选择该祈唤
当你升级时，你可以将该祈唤更换为邪术师职业中的另一个魔能祈唤
先决条件：施法或契约魔法特性</t>
  </si>
  <si>
    <t>你的智力、感知或魅力提升1，上限为20
你习得迷踪步以及一个由你选择的一环法术。该一环法术必须是预言系或者附魔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</si>
  <si>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</si>
  <si>
    <t>你的敏捷提升1，上限为20
你获得枪械的熟练项
你忽略枪械的装填属性
你在敌对生物５尺范围内发动远程攻击检定时，不会因此而具有劣势</t>
  </si>
  <si>
    <t>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你获得2点术法点，用于施展超魔法（这些术法点和任何其他来源的术法点叠加，但只能用于超魔法）。你在完成长休后重获所有已消耗的术法点
先决条件：施法或契约魔法特性</t>
  </si>
  <si>
    <t>你的力量或敏捷提升1，上限为20
每回合一次，当你用造成穿刺伤害的攻击命中一个生物时，你可以重投其中一个伤害骰。你必须使用重投的结果
当你用造成穿刺伤害的攻击命中一个生物并且造成重击时，你可以在计算重击伤害时投一个额外的伤害骰</t>
  </si>
  <si>
    <t>当你投造成毒素伤害的伤害骰时，无视目标的伤害抗性
你可以以一个附赠动作为一把武器或一枚弹药涂毒，而不是一个动作
你获得制毒工具的熟练项，如果你还没有的话。花费一小时使用制毒工具进行制作后，并且消耗价值50gp的材料后，你可以制造一定数量的猛毒，其数量等同于你的熟练加值。当被用于一把武器或一枚弹药后，猛毒的毒性持续一分钟或直至你用该武器或弹药攻击命中后。当一个生物受到来自涂毒武器或弹药的伤害后，该生物必须成功通过DC14的体质豁免，否则将受到2d8毒素伤害并陷入中毒状态，直至你的下回合结束</t>
  </si>
  <si>
    <t>你的智力、感知或魅力提升1，上限为20
你习得隐形术以及一个由你选择的一环法术。该一环法术必须是幻术系或死灵系法术。你可以在不消耗法术位的情况下施展这些法术各一次。当你以此法施展某个法术后，你不能再次以此法施展该法术，直至你完成一次长休。你也可以消耗合适的法术位来施展这些法术。这些法术的施法关键属性是你由此专长提升的属性</t>
  </si>
  <si>
    <t>你选择一项属性提升1，上限为20
你选择并获得一项技能的熟练项
选择一项你熟练的技能，你获得该技能的专精，可以将两倍的熟练加值加到使用该技能进行的属性检定上。你选择的技能必须未受益于其他使熟练加值翻倍的特性</t>
  </si>
  <si>
    <t>你的力量或敏捷提升1，上限为20
每回合一次，当你用造成挥砍伤害的攻击命中一个生物时，你可以使其速度降低10尺，直到你的下回合开始
当你用造成挥砍伤害的攻击命中一个生物并造成重击时，你将其重伤，使其所作的攻击检定具有劣势，直至你的下回合开始</t>
  </si>
  <si>
    <t>你的智力、感知或魅力提升1，上限为20
你习得法师之手戏法，你施展它无需语言构材或材料构材，并且你可以让该幽灵手隐形。如果你已经习得该戏法，你施展该戏法时其施法距离提升30尺。该戏法的施法关键属性是你由此专长提升的属性
以一个附赠动作，你可以尝试以念动力推撞30尺内的一个你可见的生物。当你这样做时，目标必须成功通过一次力量豁免（DC为8+你的熟练加值+你由此专长提升的属性的属性调整值）否则将被你拉近或推离五尺。目标生物可以自愿放弃豁免</t>
  </si>
  <si>
    <t>你的智力，感知或魅力提升1，上限为20
你可以和60尺内任何你可见的生物用心灵感应进行交流。你的心电沟通以一种你已知的语言的形式进行，该生物必须懂得该语言才能理解你。你的主动沟通并未给予该生物以心灵感应的形式回复你的能力
你可以施展侦测思想法术，无需法术位和构材。以此法施法后，你在完成一次长休前不能再这样做。该法术的施法关键属性是你由此专长提升的属性。如果你拥有二环或更高的法术位，你可以消耗这些法术位施展该法术</t>
  </si>
  <si>
    <t>以一个附赠动作，你可以触碰一把简易武器或军用武器，向它注入强酸、寒冷、火焰、闪电、毒素之一的能量。在之后一分钟内，该武器在命中时额外造成1d4你所选伤害类型的伤害。使用此特性后，你在完成一次长休前不能再次使用
当你受到强酸、寒冷、火焰、闪电、毒素伤害时，你可以使用你的反应，使自己在当此伤害中获得对应伤害类型的抗性。你可以使用该特性等同于你熟练加值的次数，你在完成一次长休后重获所有已使用的次数</t>
  </si>
  <si>
    <t>你的智力，感知或魅力提升1，最高20
当你受到来自距离你10尺内的生物的伤害时，你可以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</si>
  <si>
    <t>你习得疗伤术法术。你可以施展一次该法术而无需消耗法术位。当你以此法施展该法术后，你不能再这样做，直至你完成一次长休。你也可以使用你拥有的法术位来施展该法术。该法术的施法关键属性是智力，感知或魅力（你在获得此专长时进行选择）
在你或5尺内你可见的其他生物被一次攻击命中时，你可以使用你的反应来在你背后暂时显现出虚幻的翅膀。你使目标对抗该次攻击的AC获得加值，数值等同于你的熟练加值。你可以使用此反应等同于你熟练加值的次数，你在完成一次长休后重获所有已使用的次数</t>
  </si>
  <si>
    <t xml:space="preserve">根据你所选择的学院，你习得两个戏法和一个1环法术，如下表所示
你能够不使用法术位释放所选择的1环法术，当你这样做后，必须完成一次长休后才能再次用这种方式释放。你也能使用你拥有的任意法术位来释放该法术
你释放该专长的法术的施法关键属性为智力，感知或魅力（当你选择该专长的时候决定）
衡鉴学院：从光亮术，圣火和奇术中选择两项，并从牧师或法师法术中选择一个1环法术
粹丽学院：从火焰箭，魔法伎俩和冷冻射线中选择两项，并从吟游诗人或术士法术中选择一个1环法术
量析学院：从德鲁伊伎俩，神导术和法师之手中选择两项，并从德鲁伊或法师法术中选择一个1环法术
银毫学院：从圣火，奇术和恶言相加中选择两项，并从吟游诗人或牧师法术中选择一个1环法术
靡华学院：从冻寒之触，德鲁伊伎俩和维生术中选择两项，并从德鲁伊或法师法术中选择一个1环法术
</t>
  </si>
  <si>
    <t>你能通过仪式施法释放获得魔宠法术。你魔宠的形态能够选择与你斯翠海文学徒专长所关联的学院的苑像：魂灵塑偶苑像（衡鉴），艺元素苑像（粹丽），分灵苑像（量析），墨灵苑像（银毫），害虫苑像（靡华）
当你在你的回合里进行攻击动作时，你能放弃一次攻击来让你的苑像魔宠使用其反应来进行一次攻击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
先决条件：4级，斯翠海文学徒专长</t>
  </si>
  <si>
    <t>你可以将下半身变成漆黑的雾气，使你漂浮在空中。在变化之后，你拥有30尺的飞行速度。你最多可以维持此形态10分钟。使用此特质后，直到完成一次短休或长休后你都不能再次使用
先决条件：依夏兰吸血鬼</t>
  </si>
  <si>
    <t>你的力量或敏捷增加1点，上限为20
当你双手持握双刃弯刀时，你的AC得到+1加值
在使用双刃弯刀时视同具有灵巧属性
先决条件：精灵</t>
  </si>
  <si>
    <t>天使所拥有的对魔法先天抗性也延展到你的身上。你在对抗法术和其他魔法效果时，豁免检定具有优势
先决条件：阿斯莫</t>
  </si>
  <si>
    <t>你的力量或体质上升1点，上限20
你学会侦测魔法法术，并且可以随意施展它而无需消耗法术位
你得到了天生护甲。当你不穿护甲时，你以13+你的敏捷调整值来计算AC。你可以使用盾牌并继续保留这项增益
先决条件：土元素裔</t>
  </si>
  <si>
    <t>你的敏捷或体质上升1点，上限20
你学会侦测魔法法术，并且可以随意施展它而无需消耗法术位
你获得对闪电和雷鸣伤害的抗力
先决条件：气元素裔</t>
  </si>
  <si>
    <t>你的智力或体质上升1点，上限20
你学会侦测魔法法术，并且可以随意施展它而无需消耗法术位
你的黑暗视觉半径延展至120英尺
先决条件：火元素裔</t>
  </si>
  <si>
    <t>你的感知或体质上升1点，上限20
你学会侦测魔法法术，并且可以随意施展它而无需消耗法术位
你对寒冷伤害具有抗力
先决条件：水元素裔</t>
  </si>
  <si>
    <t>你的敏捷上升1点，上限20
在你必须移动0英尺以再次使用之前，你可以使用你的猫之迅捷特性两次，但每个回合你进行移动时仅可以使用这个能力一次
只要你未失能，坠落20英尺或更少距离时你不会受到伤害
先决条件：斑猫人</t>
  </si>
  <si>
    <t>你学会动物交谈并且可以随意施展它而无需法术位。你同时学会了化兽为友和野兽知觉法术，你可以施展它们各一次而无需消耗法术位。在你完成一次长休息之后，你恢复用这种方式施展这两个法术的能力。感知是你施展这三个法术时的施法主属性
先决条件：费尔伯格人</t>
  </si>
  <si>
    <t>你的敏捷上升1点，上限20
当有一个你能看见的生物以你为目标进行一次攻击，并且有另一个生物在你的5英尺内，你可以使用你的反应来使这次攻击检定劣势。一旦你使用这个特性，你将不能再次使用直到你完成了一次短休息或长休息
先决条件：地精</t>
  </si>
  <si>
    <t>你的敏捷或感知上升1点，上限20
每当你看见另一个生物使用一项技能或工具，你可以使用你的反应来得到那项技能或者工具的熟练。通过这种方式得到的熟练值将持续1个小时，并且同一时间你只能模仿一种熟练。一旦你使用这个特性，你将不能再次使用直到你完成了一次短休息或长休息
先决条件：天狗</t>
  </si>
  <si>
    <t>你的力量或体质上升1点，上限20
当你以反应使用你的石之坚韧来减少伤害时，你可以选择得到对触发攻击伤害类型的抗力直到你的下个回合开始，而非是减少1d12+你的体质调整值的伤害值。如果触发攻击造成一种以上的伤害类型，选择其中的一种。和正常使用石之坚韧一样，在使用这个特性以后，你将不能再次使用直到你完成了一次短休息或长休息
先决条件：歌利亚</t>
  </si>
  <si>
    <t>你的智力或魅力上升1点，上限20
你可以使用一个动作来变形成一条中体型的蛇，或变回你的真实形态。你在任何形态下的数据相同。你穿戴或携带的任何装备都不会一同变形。如果你死了，你会保持你现在的形态
当你处于蛇形，你得到啮咬作为一项天生武器，并可以用它来进行徒手攻击。如果你用它击中，你将造成1d4+你的力量调整值的穿刺伤害。当你用啮咬攻击击中时，你也可以选择对目标造成额外2d6点毒素伤害。一旦你用这个方式造成毒素伤害，你将不能再次使用直到你完成了一次长休息
先决条件：纯种蛇人</t>
  </si>
  <si>
    <t>你的敏捷或感知上升1点，上限20
你得到察觉技能的熟练。在依靠察觉进行的观察检定中，你可以加上两倍的熟练值
每个回合一次，如果你处于飞行中并且直线向目标俯冲至少30英尺，然后用一次近战武器击中了他，这次攻击将对目标造成额外1d6伤害
先决条件：阿兰寇拉</t>
  </si>
  <si>
    <t>你的力量或体质上升1点，上限20
你得到对火焰和毒素伤害的抗力
你得到啮咬作为一项天生武器。如果你用它击中，你造成1d6+你的力量调整值的伤害
先决条件：兽人</t>
  </si>
  <si>
    <t>你的力量或感知上升1点，上限20
你的天生护甲特性现在提供18点基础AC。如正常一般，你的敏捷调整值不会影响这个数字
当你被迫进行敏捷豁免检定时，你可以以一个反应选择在你5英尺内的任意数量生物。直到你的下个回合开始，每个被选择的生物在对抗任何有害攻击或效应时都将被认为是处于半掩护之下，只要他们处于你周围5英尺内。一旦你使用这个能力，你将不能再次使用直到你完成了一次短休息或长休息
先决条件：龟人</t>
  </si>
  <si>
    <t>你的体质或感知上升1点，上限20
你可以说，读，写深渊语
你免疫于恐惧状态
先决条件：蜥蜴人</t>
  </si>
  <si>
    <t>你学会造水/销水术并且可以随意施展它而无需法术位。你同时学会了守护之风和水下呼吸法术，你可以施展它们各一次而无需消耗法术位。在你完成一次长休息之后，你恢复用这种方式施展这两个法术的能力。魅力是你施展这三个法术时的施法主属性
先决条件：梭螺鱼人</t>
  </si>
  <si>
    <t>你的体质或智力上升1点，上限20
当你使用武器击中一个生物，并且那个生物周围5英尺内有你的盟友且未失能时，你的攻击可以造成额外2d6伤害。你在每场战斗中只能使用这个特性一次
以一个反应，如果一名盟友的攻击检定落空，或者在属性检定和豁免检定中失败，你可以使那次检定得到加值，数值等于在你周围30英尺内可以看见你的盟友数量（包括你自己，上限为+5）。和正常使用挽回颜面一样，在使用这个特性以后，你将不能再次使用直到你完成了一次短休息或长休息
先决条件：大地精</t>
  </si>
  <si>
    <t>你展现出坚韧的翅膀，转变成为一名鹗德，并获得以下增益：
你的敏捷上升1点，上限20
你得到30英尺的飞行速度。你必须不穿中甲或者重甲才能使用这个速度
先决条件：狗头人</t>
  </si>
  <si>
    <t>你的力量或敏捷上升1点，上限20
每次你在短休息中消耗一个或更多生命骰时，你可以恢复额外1d6的生命值
当你完成一次长休息时，你获得激励（如同玩家手册的第四章中所描述）
先决条件：熊地精</t>
  </si>
  <si>
    <t>中文名</t>
  </si>
  <si>
    <t>英文名</t>
  </si>
  <si>
    <t>学派</t>
  </si>
  <si>
    <t>材料</t>
  </si>
  <si>
    <t>耗材</t>
  </si>
  <si>
    <t>效果</t>
  </si>
  <si>
    <t>环阶</t>
  </si>
  <si>
    <t>出处</t>
  </si>
  <si>
    <t>法术查询</t>
  </si>
  <si>
    <t>查询列表</t>
  </si>
  <si>
    <t>职业控制</t>
  </si>
  <si>
    <t>法术准备</t>
  </si>
  <si>
    <t>V言语</t>
  </si>
  <si>
    <t>S姿势</t>
  </si>
  <si>
    <t>M材料</t>
  </si>
  <si>
    <t>特殊</t>
  </si>
  <si>
    <t>Acid Splash</t>
  </si>
  <si>
    <t>咒法</t>
  </si>
  <si>
    <t>1动作</t>
  </si>
  <si>
    <t>60尺</t>
  </si>
  <si>
    <t>立即</t>
  </si>
  <si>
    <t>你掷出一颗酸液球。在施法距离内指定一个你能看见的生物，或者在施法距离内指定你能看见的两个相距不超过5尺的生物。每个目标必须进行一次敏捷豁免，豁免失败则受到1d6点强酸伤害。
你到达5级时，该法术的伤害增加1d6（变为2d6）。11级时再加1d6（变为3d6），17级时再加1d6（变为4d6）。</t>
  </si>
  <si>
    <t>析米克科学家</t>
  </si>
  <si>
    <t>一环</t>
  </si>
  <si>
    <t>剑刃防护</t>
  </si>
  <si>
    <t>Blade Ward</t>
  </si>
  <si>
    <t>防护</t>
  </si>
  <si>
    <t>自身</t>
  </si>
  <si>
    <t>1轮</t>
  </si>
  <si>
    <t>你伸手在空中勾勒出一个防护印记，以令自己在下一回合结束前对武器攻击造成的钝击、穿刺和挥砍伤害具有抗性。</t>
  </si>
  <si>
    <t>二环</t>
  </si>
  <si>
    <t>冻寒之触</t>
  </si>
  <si>
    <t>Chill Touch</t>
  </si>
  <si>
    <t>死灵</t>
  </si>
  <si>
    <t>120尺</t>
  </si>
  <si>
    <t>你在施法距离内某生物所在位置召唤出幽魂般的骨手，夹带着墓穴的刺骨冻寒攻击目标。并对该生物进行一次远程法术攻击，命中时，手掌抓住目标并令其受1d8点黯蚀伤害，且直至你下一回合开始前都无法恢复生命值。
如果你的命中目标为一个不死生物，则其在你下回合结束之前对你发动的攻击检定都具有劣势。
你到达5级时，该法术的伤害增加1d8（变为2d8）。11级时再加1d8（变为3d8），17级时再加1d8（变为4d8）。</t>
  </si>
  <si>
    <t>孢子结社，靡华学院</t>
  </si>
  <si>
    <t>三环</t>
  </si>
  <si>
    <t>舞光术</t>
  </si>
  <si>
    <t>Dancing Lights</t>
  </si>
  <si>
    <t>塑能</t>
  </si>
  <si>
    <t>一点磷或光榆木，或者一只萤火虫</t>
  </si>
  <si>
    <t>至多1分钟</t>
  </si>
  <si>
    <t>你在施法距离内创造四个火把大小的光源。法术持续时间内，光源能够以火把，灯笼或光球的形态显现并在空中悬浮。你也可以将四个光源合为一个中型类人生物的模糊光影。无论选择哪种方式，每处光源都可以发出半径10尺的微光光照。
你在自己回合可以用一个附赠动作令这些光源在施法距离内移动至多60尺。每个光源必需在另一个光源周边20尺内，而离开施法距离的光源会随即熄灭。</t>
  </si>
  <si>
    <t>黑暗精灵，半卓尔精灵，葛加理成员</t>
  </si>
  <si>
    <t>四环</t>
  </si>
  <si>
    <t>德鲁伊伎俩</t>
  </si>
  <si>
    <t>Druidcraft</t>
  </si>
  <si>
    <t>变化</t>
  </si>
  <si>
    <t>30尺</t>
  </si>
  <si>
    <t>你向自然之魂低语，并创造以下效应之一：
你创造一个微小而无害的感官效应，并以之预报你所在地接下来24小时的天气状况。该效应可表现为一个代表晴空的金球，一朵代表雨天的云彩，代表雪日而飘飞的雪花等等。该效应将持续1轮。
你可以立即让一朵鲜花绽放，一颗种子破壳，一片叶蕾发芽。
你创造一个微小而无害的即时感官效应，如落叶，微风，小动物的动静或者臭鼬的微弱气味。该效应只能在5尺的立方空间内起效。
你可以立即点亮或熄灭一根蜡烛、一把火把或一处小篝火。</t>
  </si>
  <si>
    <t>莲源半身人，瑟雷尼亚祀徒，析米克科学家，魔射手，量析学院，靡华学院，仙灵</t>
  </si>
  <si>
    <t>五环</t>
  </si>
  <si>
    <t>魔能爆</t>
  </si>
  <si>
    <t>Eldritch Blast</t>
  </si>
  <si>
    <t>一束激烈的能量射向施法距离内一个生物。对该目标发动一次远程法术攻击，如果命中则该目标受1d10点力场伤害。
当你到达更高等级时，该法术还可以同时创造更多的射线：5级时两条，11级时三条，17级时四条。你可以决定这些射线攻击同一个目标或分别攻击不同的目标，且为每束射线分别进行攻击检定。</t>
  </si>
  <si>
    <t>六环</t>
  </si>
  <si>
    <t>火焰箭</t>
  </si>
  <si>
    <t>Fire Bolt</t>
  </si>
  <si>
    <t>你对施法距离内一个生物或物件掷出一把火焰，对目标进行一次远程法术攻击。若命中，则目标受到1d10点火焰伤害。未被着装或携带的可燃物件被该法术命中时将被点燃。
你到达5级时，该法术的伤害增加1d10（变为2d10）。11级时再加1d10（变为3d10），17级时再加1d10（变为4d10）。</t>
  </si>
  <si>
    <t>波洛斯军团兵，古鲁反抗者，拉铎斯邪教徒，粹丽学院</t>
  </si>
  <si>
    <t>七环</t>
  </si>
  <si>
    <t>交友术</t>
  </si>
  <si>
    <t>Friends</t>
  </si>
  <si>
    <t>附魔</t>
  </si>
  <si>
    <t>法术施展时作用于脸部的一些化妆用品</t>
  </si>
  <si>
    <t>指定一个对你非敌对的生物，你在法术持续时间内对其进行的所有魅力检定均具有优势。当该法术终止时，该生物将意识到你曾使用魔法操弄他的情绪，从而对你的态度转为敌对。此时如果该生物有暴力倾向则会直接对你发动攻击，而非暴力倾向的生物则会寻求其他的报复形式（由DM决定），具体情况视你与其交互时的具体内容而定。</t>
  </si>
  <si>
    <t>菲尔娜，塞连，俄佐立官员，欧佐夫议员，瑟雷尼亚祀徒</t>
  </si>
  <si>
    <t>八环</t>
  </si>
  <si>
    <t>神导术</t>
  </si>
  <si>
    <t>Guidance</t>
  </si>
  <si>
    <t>预言</t>
  </si>
  <si>
    <t>你触碰一个自愿的生物。在法术终止前，目标可以选择在一次属性检定时额外掷一粒d4，并将所得数值加入检定结果中。它可以在进行属性检定之前或之后掷骰。法术随后即终止。</t>
  </si>
  <si>
    <t>欧佐夫议员，星辰结社，精魂学院，量析学院</t>
  </si>
  <si>
    <t>是</t>
  </si>
  <si>
    <t>否</t>
  </si>
  <si>
    <t>九环</t>
  </si>
  <si>
    <t>光亮术</t>
  </si>
  <si>
    <t>Light</t>
  </si>
  <si>
    <t>一只萤火虫或一片磷光苔藓</t>
  </si>
  <si>
    <t>1小时</t>
  </si>
  <si>
    <t>你触碰一个尺寸在任意方向上都不超过10尺的物件。在法术终止前，物件将在其20尺半径范围内发出明亮光照，并在其外20尺范围发出微光光照。光的颜色由你决定，该物件被不透明的东西完全遮盖时，其光照被遮挡。如果你再次施展该法术，或者使用一个动作解散该法术，则该法术终止。
如果你指定敌对生物所持握或着装的一个物件作为目标，则该生物必须进行一次敏捷豁免以尝试摆脱该法术的效应。</t>
  </si>
  <si>
    <t>苍白精灵，阿斯莫，光明领域，天界宗主，衡鉴学院</t>
  </si>
  <si>
    <t>录入备选</t>
  </si>
  <si>
    <t>Mage Hand</t>
  </si>
  <si>
    <t>1分钟</t>
  </si>
  <si>
    <t>一只漂浮的幽灵手出现在施法距离内你指定的一点。幽灵手持续存在至法术终止，或直至你以一个动作解散该法术。如果幽灵手距你的距离超过30尺，或者当你再次施展了该法术时，则现存的幽灵手消失不见。
你可以用动作控制幽灵手，并通过幽灵手实现一个行为：你可以操控一个物件，或者打开一扇未上锁的门或容器，或者将一件物品放入容器或从容器中取出，或者将小瓶中的内容物倾倒出来。你每次你使用幽灵手时可以令其移动至多30尺。
该幽灵手不能攻击，也不能激活魔法物品或承载超过10磅重的物质。</t>
  </si>
  <si>
    <t>马曼，墨菲斯托菲利斯，吉斯洋基人，吉斯泽莱人，底密尔特务，念动力，集群守卫，诡术师，量析学院</t>
  </si>
  <si>
    <t>1附赠动作</t>
  </si>
  <si>
    <t>修复术</t>
  </si>
  <si>
    <t>Mending</t>
  </si>
  <si>
    <t>两块天然磁石</t>
  </si>
  <si>
    <t>法术修复你所触碰一个物件上的一处破损或裂缝，例如修复一条断裂的链条，或者一把碎成两半的钥匙、一件撕裂的斗篷、一个漏了的酒袋等。只要破损或断裂处在任意方向上都不超过1尺，你就可以不留痕迹地修复它。
该法术可以从物理上修复一件魔法物品或一个构装体，但不会恢复这类物件上的魔法。</t>
  </si>
  <si>
    <t>1反应</t>
  </si>
  <si>
    <t>传讯术</t>
  </si>
  <si>
    <t>Message</t>
  </si>
  <si>
    <t>一小段铜线</t>
  </si>
  <si>
    <t>你用手指指向施法距离内的一个生物并低声说出一段信息。该目标（且只有该目标）会听到这段信息并可以用只有你能听见的低语回复你。
你可以隔着固态物件施展该法术，但你必须熟悉法术目标并知晓其就在屏障后方。魔法的沉默，1尺厚的石头，1寸厚的普通金属，一片薄铅片，或者3尺厚的木料都可以阻挡该法术。该法术不需要直线传递信息，它可以自由地转过拐角或穿过孔洞。</t>
  </si>
  <si>
    <t>抄录龙纹，俄佐立官员</t>
  </si>
  <si>
    <t>5尺</t>
  </si>
  <si>
    <t>次级幻影</t>
  </si>
  <si>
    <t>Minor Illusion</t>
  </si>
  <si>
    <t>幻术</t>
  </si>
  <si>
    <t>一小块羊毛</t>
  </si>
  <si>
    <t>你在施法距离内创造一段声响或一个物件的影像，并使之维持至法术持续时间结束。你也可以用一个动作解除幻象，或者再次施展该法术来终止幻象。
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如果你创造一个物件的影像（比如一把椅子、泥泞的脚印、一个小箱子等），则该物件大小不得大于一个边长5尺的立方体。该影像不具有声音、光亮、味道或任何其他的感官效应。由于影像可以被任何物件所穿透，因此与之进行物理互动时都会揭露其幻象的本质。
生物用其动作调查该声响或影像时，必须进行一次对抗该法术豁免DC的智力（调查）检定，检定成功则判断出眼前即是幻象。幻象在看穿它的生物面前会显得模糊不清。</t>
  </si>
  <si>
    <t>阴影龙纹，森林侏儒，格莱西雅，暗影宗，幻术学派</t>
  </si>
  <si>
    <t>10尺</t>
  </si>
  <si>
    <t>10分钟</t>
  </si>
  <si>
    <t>毒气喷溅</t>
  </si>
  <si>
    <t>Poison Spray</t>
  </si>
  <si>
    <t>你伸手向施法距离内一个你能看见的生物喷一阵毒气。目标必须进行一次体质豁免，豁免失败则受1d12毒素伤害。
你到达5级时，该法术的伤害增加1d12（变为2d12）。11级时再加1d12（变为3d12），17级时再加1d12（变为4d12）。</t>
  </si>
  <si>
    <t>纯种蛇人</t>
  </si>
  <si>
    <t>15尺</t>
  </si>
  <si>
    <t>魔法伎俩</t>
  </si>
  <si>
    <t>Prestidigitation</t>
  </si>
  <si>
    <t>至多1小时</t>
  </si>
  <si>
    <t>该法术是一个初级施法者用来练习的魔法小伎俩。你在施法距离内创造下列魔法效果中的一种：
你创造一个立即生效的，无害的感观效应，比如一束火花，一阵风，微弱音乐或古怪的臭味。
你立即点燃或熄灭一支蜡烛，一支火把或一小型营火。
你立即使一个不大于1立方尺的物件变得清洁或肮脏。
你立即使一个不大于1立方尺的非活体物质变得冰冷、温暖或对其调味，其效应持续1小时。
你在一个物件或一个表面上创造一块色斑，或者一个记号，又或者一个标志，其效应持续1小时。
你创造一个巴掌大小的非魔法小玩意或一个虚幻图像，其效应持续到你下回合结束。
如果你多次施展该法术，则可以同时维持至多三个不同的非即时效应，并且可以用一个动作解散其中一种效应。</t>
  </si>
  <si>
    <t>招待龙纹，魔射手，粹丽学院</t>
  </si>
  <si>
    <t>20尺</t>
  </si>
  <si>
    <t>2小时</t>
  </si>
  <si>
    <t>燃火术</t>
  </si>
  <si>
    <t>Produce Flame</t>
  </si>
  <si>
    <t>一朵摇曳的火焰出现在你手中。火焰在法术持续时间存在，并且不会伤害你和你的装备。火焰为其周边半径10尺范围内提供明亮光照，以及该范围外10尺的微光光照。法术将在再次施展该法术，或者以一个动作解除法术时终止。
此外，你还可以使用火焰发动攻击，并以此终止该法术。施展该法术时，你可以将火焰投向距你30尺内的一个生物，并对其发动一次远程法术攻击，命中时目标将受到1d8点火焰伤害。你也可以在施展法术后的随后回合里以一个动作实现该行为。
你到达5级时，该法术的伤害增加1d8（变为2d8）。11级时再加1d8（变为3d8），17级时再加1d8（变为4d8）。</t>
  </si>
  <si>
    <t>招待龙纹，古鲁反抗者，伊捷工程师</t>
  </si>
  <si>
    <t>8小时</t>
  </si>
  <si>
    <t>6小时</t>
  </si>
  <si>
    <t>冷冻射线</t>
  </si>
  <si>
    <t>Ray Of Frost</t>
  </si>
  <si>
    <t>一道冰冷的蓝白色光线朝施法距离内的一个生物射去。你对目标进行一次远程法术攻击。若命中，则目标受到1d8点冷冻伤害，并且在你的下一回合开始前速度减少10尺。
你到达5级时，该法术的伤害增加1d8（变为2d8）。11级时再加1d8（变为3d8），17级时再加1d8（变为4d8）。</t>
  </si>
  <si>
    <t>莱维斯图斯，粹丽学院</t>
  </si>
  <si>
    <t>12小时</t>
  </si>
  <si>
    <t>提升抗性</t>
  </si>
  <si>
    <t>Resistance</t>
  </si>
  <si>
    <t>一件微型斗篷</t>
  </si>
  <si>
    <t>你触碰一个自愿的生物。在法术终止前，目标可以选择在一次豁免检定时额外掷一粒d4，并将所得数值加入检定结果中。他可以在进行豁免检定之前或之后掷骰。法术随后即终止。</t>
  </si>
  <si>
    <t>24小时</t>
  </si>
  <si>
    <t>90尺</t>
  </si>
  <si>
    <t>圣火术</t>
  </si>
  <si>
    <t>Sacred Flame</t>
  </si>
  <si>
    <t>如同火焰般的辉光向施法距离内你能看见的一个生物倾泻而下。目标必须要进行一次敏捷豁免，豁免失败则受到1d8点光耀伤害。目标在这次豁免检定中无法获得掩护的增益。
你到达5级时，该法术的伤害增加1d8（变为2d8）。11级时再加1d8（变为3d8），17级时再加1d8（变为4d8）。</t>
  </si>
  <si>
    <t>波洛斯军团兵，天界宗主，衡鉴学院，银毫学院</t>
  </si>
  <si>
    <t>1反应，当你被攻击命中或作为魔法飞弹的目标时执行</t>
  </si>
  <si>
    <t>100尺</t>
  </si>
  <si>
    <t>1日</t>
  </si>
  <si>
    <t>橡棍术</t>
  </si>
  <si>
    <t>Shillelagh</t>
  </si>
  <si>
    <t>一些槲寄生，一片三叶草叶子，以及一根短棒或长棍</t>
  </si>
  <si>
    <t>你将自然之力灌入手中持握的一根短棒或长棍中。你在法术持续时间内使用该武器进行近战攻击时，可以用你的施法关键属性值代替力量值来进行攻击检定和伤害掷骰，且该武器的伤害骰变为d8。此外，若该武器原来不是魔法武器，则它将变成魔法武器。你再次施展该法术或丢掉该武器时，该法术也随之终止。</t>
  </si>
  <si>
    <t>1反应，你60尺内有生物坠落时可用</t>
  </si>
  <si>
    <t>7日</t>
  </si>
  <si>
    <t>电爪</t>
  </si>
  <si>
    <t>Shocking Grasp</t>
  </si>
  <si>
    <t>你的手上发出闪电，并对你触碰的一个生物发动电击。对目标发动一次近战法术攻击。如果目标穿着金属护甲，则你进行该检定时具有优势。若命中，则目标受到1d8点闪电伤害，并且在其下一回合开始前不能执行任何反应。
你到达5级时，该法术的伤害增加1d8（变为2d8）。11级时再加1d8（变为3d8），17级时再加1d8（变为4d8）。</t>
  </si>
  <si>
    <t>伊捷工程师，气元素裔</t>
  </si>
  <si>
    <t>1反应，当60尺内一个你能看见的生物对你造成伤害时执行</t>
  </si>
  <si>
    <t>150尺</t>
  </si>
  <si>
    <t>10日</t>
  </si>
  <si>
    <t>维生术</t>
  </si>
  <si>
    <t>Spare The Dying</t>
  </si>
  <si>
    <t>你触碰一个生命值为0的活体生物，使该生物的伤势立刻稳定下来。该法术对不死生物和构装生物无效。</t>
  </si>
  <si>
    <t>葛加理成员，坟墓领域，不朽者，靡华学院</t>
  </si>
  <si>
    <t>1反应，当你看见身边60尺内一个生物施展法术时执行</t>
  </si>
  <si>
    <t>300尺</t>
  </si>
  <si>
    <t>30日</t>
  </si>
  <si>
    <t>奇术</t>
  </si>
  <si>
    <t>Thaumaturgy</t>
  </si>
  <si>
    <t>你在施法距离内展示出一个低级奇观，以表现你的超自然力。你在施法距离内创造出下列魔法效应之一：
你的声音在1分钟内变得比常人响两倍。
你在1分钟内使一团火焰闪烁，变亮，变暗或变色。
你使地面震动1分钟（完全无害）。
你使某种声音自施法距离内一点瞬间发出，例如雷鸣声，鸦叫声或不祥的低语声。
你使一扇没有锁上的门或窗瞬间打开或关上。
你在1分钟内改变自己眼睛的颜色。
多次施展该法术时，你可以同时维持最多三个持续1分钟的效应。你也可以用一个动作驱散其中一种效应。</t>
  </si>
  <si>
    <t>提夫林，提夫林变体，巴尔泽布，迪斯帕特，扎瑞尔，衡鉴学院，银毫学院</t>
  </si>
  <si>
    <t>1反应，当你受到强酸，寒冷，火焰，电击或雷鸣伤害时执行</t>
  </si>
  <si>
    <t>500尺</t>
  </si>
  <si>
    <t>直至解除</t>
  </si>
  <si>
    <t>荆棘之鞭</t>
  </si>
  <si>
    <t>Thorn Whip</t>
  </si>
  <si>
    <t>一根来自带刺植物的茎干</t>
  </si>
  <si>
    <t>你创造出一条藤蔓般的带刺长鞭，并猛抽向施法距离内一个你指定的生物。对目标进行一次近战法术攻击，如果命中，则目标受到1d6点穿刺伤害，如果目标生物为大型或更小体型，则其将朝你所在位置拉近至多10尺。
你到达5级时，该法术的伤害增加1d6（变为2d6）。11级时再加1d6（变为3d6），17级时再加1d6（变为4d6）。</t>
  </si>
  <si>
    <t>1反应，当你看见 60 尺内类人生物死去时执行</t>
  </si>
  <si>
    <t>1里</t>
  </si>
  <si>
    <t>直至解除或触发</t>
  </si>
  <si>
    <t>克敌机先</t>
  </si>
  <si>
    <t>True Strike</t>
  </si>
  <si>
    <t>至多1轮</t>
  </si>
  <si>
    <t xml:space="preserve">你伸出手并以手指指向施法距离内的一个生物，并以魔力刹那间看穿目标的防御。如果该法术还未终止，则你在自己的下一回合里，对该目标发动的第一次攻击检定具有优势。
</t>
  </si>
  <si>
    <t>1反应，当你看到一个生物进行一次攻击掷骰或开始施展一个法术时执行</t>
  </si>
  <si>
    <t>500里</t>
  </si>
  <si>
    <t>恶言相加</t>
  </si>
  <si>
    <t>Vicious Mockery</t>
  </si>
  <si>
    <t>你对施法距离内一个你能看见的生物连珠炮式的说出一串蕴涵魔力的咒骂。如果目标能听见你说话（不一定要听懂），它就必须要进行一次感知豁免，豁免失败者将受到1d4点心灵伤害，其下一回合结束前进行第一次攻击检定具有劣势。
你到达5级时，该法术的伤害增加1d4（变为2d4）。11级时再加1d4（变为3d4），17级时再加1d4（变为4d4）。</t>
  </si>
  <si>
    <t>提夫林变体，拉铎斯邪教徒，银毫学院</t>
  </si>
  <si>
    <t>1反应，当你与另一个生物说话时执行</t>
  </si>
  <si>
    <t>1000尺</t>
  </si>
  <si>
    <t>轰雷剑</t>
  </si>
  <si>
    <t>Booming Blade</t>
  </si>
  <si>
    <t>自身（5尺半径）</t>
  </si>
  <si>
    <t>一把至少价值1sp的近战武器</t>
  </si>
  <si>
    <t>作为施展这个法术的一部分，你必须用你的武器对施法距离内的一个生物进行一次近战攻击，否则法术失败。如果攻击命中，目标受到这次攻击的正常影响，并且被包覆在爆发性的能量之中直到你的下回合开始。如果目标在这之前自愿进行了一次移动，他将立即受到1d8的雷鸣伤害，并且法术结束。
戏法的伤害随着你的等级提升而增加。在你5级的时候，这次近战攻击将造成额外1d8雷鸣伤害，并且目标进行移动时受到的伤害提升为2d8。所有伤害骰都会在11级和17级的时候各增长1d8。</t>
  </si>
  <si>
    <t>1动作或8小时</t>
  </si>
  <si>
    <t>视野内</t>
  </si>
  <si>
    <t>至多6轮</t>
  </si>
  <si>
    <t>翠炎剑</t>
  </si>
  <si>
    <t>Green-Flame Blade</t>
  </si>
  <si>
    <t>作为施展这个法术的一部分，你必须用你的武器对施法距离内的一个生物进行一次近战攻击，否则法术失败。如果攻击命中，目标受到这次攻击的正常影响，并且翠绿色的火焰将从目标身上跳转至另一个生物。这个生物必须在第一个目标周围5尺之内，并且你可以看见；它将受到等于你施法主属性的调整值的火焰伤害。
戏法的伤害随着你的等级提升而增加。在你5级的时候，这次近战攻击将造成额外1d8火焰伤害，且第二个目标将受到的伤害提升至1d8+你的施法主属性的调整值。所有伤害骰都会在11级和17级的时候各增长1d8。</t>
  </si>
  <si>
    <t>1反应，当一个于你60尺内且可见的生物成功进行一次攻击检定，属性检定，或是豁免检定时</t>
  </si>
  <si>
    <t>无限</t>
  </si>
  <si>
    <t>闪电牵引</t>
  </si>
  <si>
    <t>Lightning Lure</t>
  </si>
  <si>
    <t>自身（15尺半径）</t>
  </si>
  <si>
    <t>你创造出鞭状的闪电能量袭击射程内你可以看见的一个生物。目标必须进行一次力量豁免；若失败，目标将以直线被你拉近10尺。如果拉近以后目标在你周围5尺内，那么他将受到1d8闪电伤害。
戏法的伤害在你5级时提升至2d8，11级3d8，17级4d8。</t>
  </si>
  <si>
    <t>至多10分钟</t>
  </si>
  <si>
    <t>剑刃爆发</t>
  </si>
  <si>
    <t>Sword Burst</t>
  </si>
  <si>
    <t>你在瞬间制造出一圈半透明的利刃清扫你的周围。法术范围内除你以外的每一个生物都必须成功进行一次敏捷豁免，否则将受到1d6力场伤害。
戏法的伤害在你5级时提升至2d6，11级3d6，17级4d6。</t>
  </si>
  <si>
    <t>控火术</t>
  </si>
  <si>
    <t>Control Flames</t>
  </si>
  <si>
    <t>立即或1小时</t>
  </si>
  <si>
    <t>你选择范围内你能看见的，占据5立方尺的非魔法火焰。你以下述方式之一影响此火焰：
你立刻令火焰在一个方向上蔓延5尺，如同在新位置处有着木头或其他燃料
你立刻熄灭该空间内的火焰。
你令火焰产生的明亮和微亮区域的范围加倍或减半，和/或改变其颜色。此种变化持续1小时。
你令火焰产生简单的形象——例如一个生物的模糊影像，一个固定的物体，或一个地点——这样的影像出现在火焰中，如你所愿变化着。这样的形象持续1小时。
若你多次施放此法术，你可以令至多3个非立刻的效应同时生效，而你可以以一个动作解除上述的效果之一。</t>
  </si>
  <si>
    <t>自身（10尺半径）</t>
  </si>
  <si>
    <t>至多2小时</t>
  </si>
  <si>
    <t>创造篝火</t>
  </si>
  <si>
    <t>Create Bonfire</t>
  </si>
  <si>
    <t>你在距离之内你能看到的地面上燃起一堆篝火。直到此法术终结，该魔法篝火会占满5立方尺的空间。当你施放此法术时，所有在篝火所在空间的生物必须通过一次敏捷豁免检定，否则受到1d8点伤害。当生物在一个回合中第一次进入篝火所在的空间，或在篝火所在的空间结束其回合时，其同样必须进行该豁免检定。
篝火可以点燃区域内未被穿戴或者携带的可燃物体。
你到达5级时，该法术的伤害增加1d8（变为2d8）。11级时再加1d8（变为3d8），17级时再加1d8（变为4d8）。</t>
  </si>
  <si>
    <t>自身（10尺半径半球状）</t>
  </si>
  <si>
    <t>至多8小时</t>
  </si>
  <si>
    <t>霜噬术</t>
  </si>
  <si>
    <t>Frostbite</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</si>
  <si>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</si>
  <si>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自身（10尺半径球状）</t>
  </si>
  <si>
    <t>至多24小时</t>
  </si>
  <si>
    <t>舞风术</t>
  </si>
  <si>
    <t>Gust</t>
  </si>
  <si>
    <t>在距离内的，你能看到的一点上，空气被你掌握，被迫产生了下述效应之一：
由你选择的一个中型或更小的生物必须通过一次力量豁免检定，否则会被你推离5尺。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</si>
  <si>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自身（15尺锥状）</t>
  </si>
  <si>
    <t>至多1日</t>
  </si>
  <si>
    <t>虫群孳生</t>
  </si>
  <si>
    <t>Infestation</t>
  </si>
  <si>
    <t>一只活跳蚤</t>
  </si>
  <si>
    <t>你令一个处于距离内、你能看见的生物身上暂时性的出现螨虫、跳蚤、和其他寄生虫。目标必须通过一次体质豁免检定，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</si>
  <si>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自身（15尺立方）</t>
  </si>
  <si>
    <t>魔石术</t>
  </si>
  <si>
    <t>Magic Stone</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</si>
  <si>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收到1d6+你的施法属性调整值点数的钝击伤害。无论击中与否，在那块石块上的魔法都会终结。
若你再次释放此法术，此法术先前释放时，在受到影响的石块上的效果会提前终结。</t>
  </si>
  <si>
    <t>塑土术</t>
  </si>
  <si>
    <t>Mold Earth</t>
  </si>
  <si>
    <t>你选择距离之内，你能看见的，占满5尺立方体的一堆泥土或一块岩石。你可以用以下方式之一对其进行改变：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</si>
  <si>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自身（30尺半径）</t>
  </si>
  <si>
    <t>原初蛮击</t>
  </si>
  <si>
    <t>Primal Savagery</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</si>
  <si>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</si>
  <si>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自身（30尺线状）</t>
  </si>
  <si>
    <t>操水术</t>
  </si>
  <si>
    <t>Shape Water</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</si>
  <si>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</si>
  <si>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自身（30尺锥状）</t>
  </si>
  <si>
    <t>鸣雷破</t>
  </si>
  <si>
    <t>Thunderclap</t>
  </si>
  <si>
    <t>你制造出雷鸣巨响，可以在100尺范围内被听到。除你之外，在你周围5尺范围内的生物必须进行一次体质豁免检定。若检定失败，该生物受到1d6点雷鸣伤害。
你到达5级时，该法术的伤害增加1d6（变为2d6）。11级时再加1d6（变为3d6），17级时再加1d6（变为4d6）。</t>
  </si>
  <si>
    <t>自身（60尺锥状）</t>
  </si>
  <si>
    <t>亡者丧钟</t>
  </si>
  <si>
    <t>Toll The Dead</t>
  </si>
  <si>
    <t>你指向一个处于距离内、你能看见的生物，一阵哀痛的铃声在空中鸣响。目标必须通过一次感知豁免检定，否则受到1d8点黯蚀伤害。若目标失去了任何量的生命值，它改为受到1d12点黯蚀伤害。
此法术的伤害在你达到5级（2d8或2d12），11级（3d8或3d12），和17级（4d8或4d12）时提高一个伤害骰。</t>
  </si>
  <si>
    <t>自身（60尺线状）</t>
  </si>
  <si>
    <t>光耀祷词</t>
  </si>
  <si>
    <t>Word Of Radiance</t>
  </si>
  <si>
    <t>一块圣徽</t>
  </si>
  <si>
    <t>你念出神圣的词语，灼热的光辉随之喷薄而出。每个你选择的、处于你周围5尺内、你能看见的生物必须通过一次体质豁免检定，否则受到1d6点光耀伤害。
此法术的伤害在你达到5级（2d6），11级（3d6），和17级（4d6）时提高1d6点。</t>
  </si>
  <si>
    <t>自身（100尺线状）</t>
  </si>
  <si>
    <t>思想编码</t>
  </si>
  <si>
    <t>Encode Thoughts</t>
  </si>
  <si>
    <t>将一根手指放在你的头上，然后将一段记忆、想法或信息从你的心灵中拖出来转变为一段有形的由耀眼能量组成的链。这名为“思想链”的东西将一直存在直到持续时间结束或者到你再次施展这个法术为止。思想链在距离你5英尺范围的无人占据的空间内将表现为一个可以像丝带一样被你持握或携带的，微小的、极轻的、半固态的物体。除此之外，思想链都是静止的。如果你在施展这个法术时正在专注于一个允许你读取或操纵他人思想的法术或能力时（例如侦测思想或修改记忆）。你可以将你读取到的思想和记忆转化为思想链，而不是转化你自己的。
在你持握着一个思维链的时候施放这个法术将使你立刻接收到思维链里所包含的任何记忆、想法或信息。（对思想链施放侦测思想也具有同样效果）。</t>
  </si>
  <si>
    <t>底密尔特务</t>
  </si>
  <si>
    <t>自身（半径5里）</t>
  </si>
  <si>
    <t>削弱芒刺</t>
  </si>
  <si>
    <t>Sapping Sting</t>
  </si>
  <si>
    <t>你削弱施法距离内一个你看得见的生物的生命活力。目标必须通过一个体质豁免，否则就会受到1d4点黯蚀伤害并且倒地。
该法术的伤害会在你到达5级（2d4），11级（3d4）与17级（4d4）时增加1d4。</t>
  </si>
  <si>
    <t>时间魔法、重力魔法</t>
  </si>
  <si>
    <t>重复</t>
  </si>
  <si>
    <t>心灵之楔</t>
  </si>
  <si>
    <t>Mind Sliver</t>
  </si>
  <si>
    <t>你将由灵能塑成的迷惘尖刺注入施法距离内一个你可见的生物的心灵。目标必须成功通过一次智力豁免，否则受到1d6精神伤害并在你的下回合结束前其下一次豁免检定中减去1d4。
当你到达第5/11/17级时，该法术伤害增加1d6以分别至2d6/3d6/4d6。</t>
  </si>
  <si>
    <t>警报术</t>
  </si>
  <si>
    <t>Alarm</t>
  </si>
  <si>
    <t>一个小铃铛和一小段银线</t>
  </si>
  <si>
    <t>你针对不速之客设置一个警报。在施法距离内指定一扇门窗或选择一个边长不大于20尺的立方区域。在法术持续时间内，任何触碰或进入目标区域的微型或更大体型生物都会触发警报。施法时，你可以决定哪些生物不会触发警报，还可以选择警报方式为声音警报或是精神警报。
如果你选择精神警报，且警报触发时你距离目标区域不超过1里，则你的意念里会传来“乒”的警报声。如果你在睡觉，则警报将使你惊醒。
如果你选择声音警报，则警报触发时其60尺范围内将响起持续10秒摇铃声。</t>
  </si>
  <si>
    <t>警戒龙纹，守望圣誓，时械之魂</t>
  </si>
  <si>
    <t>化兽为友</t>
  </si>
  <si>
    <t>Animal Friendship</t>
  </si>
  <si>
    <t>一点食物</t>
  </si>
  <si>
    <t>该法术帮你让一只野兽相信你并无恶意。在施法距离内指定一只你能看见的野兽，而它也必须能看见你且能听到你的声音。该野兽必须进行一次感知豁免，豁免失败则将在法术持续时间内被你魅惑。如果它的智力为4或更高则法术直接失败。如果你或你的同伴对目标造成伤害，则法术终止。
升环施法效应：使用二环或更高法术位施展该法术时，你使用的法术位每比一环高一环，就可以多选择一个野兽作为目标。</t>
  </si>
  <si>
    <t>畜牧龙纹，纯种蛇人，瑟雷尼亚祀徒，费尔伯格野兽魔法，自然领域</t>
  </si>
  <si>
    <t>艾嘉西斯之铠</t>
  </si>
  <si>
    <t>Armor Of Agathys</t>
  </si>
  <si>
    <t>一杯水</t>
  </si>
  <si>
    <t>防护性的魔法力量环绕着你，凝聚成覆盖着你和你的装备表面上一层魅影般的凝霜。
你在法术持续时间内获得5点临时生命值。如果有生物在你拥有这些临时生命值时以近战攻击命中你，则该生物将受到5点冷冻伤害。
升环施法效应：使用二环或更高法术位施展该法术时，你使用的法术位每比一环高一环，临时生命和冷冻伤害就各增加5点。</t>
  </si>
  <si>
    <t>警戒龙纹，莱维斯图斯，征服圣誓</t>
  </si>
  <si>
    <t>哈达之臂</t>
  </si>
  <si>
    <t>Arms Of Hadar</t>
  </si>
  <si>
    <t>你祈求“乌黯之饥渴”，哈达的力量。黑暗能量构成的触须从你身上蔓延而出并痛击10尺内的所有生物。范围内的所有生物都必须进行一次力量豁免，豁免失败者将受到2d6点黯蚀伤害，并其下一回合前都无法执行反应。豁免成功的生物伤害减半，且不受其他效应的影响。
升环施法效应：使用二环或更高法术位施展该法术时，你使用的法术位每比一环高一环，法术的伤害就增加1d6。</t>
  </si>
  <si>
    <t>灾祸术</t>
  </si>
  <si>
    <t>Bane</t>
  </si>
  <si>
    <t>一滴血</t>
  </si>
  <si>
    <t>指定施法距离内至多三个你能看见的生物，并迫使其进行一次魅力豁免。豁免失败者直至法术终止前，在每当进行攻击检定或豁免检定时，必须从投骰结果中减去一个d4。
升环施法效应：使用二环或更高法术位施展该法术时，你使用的法术位每比一环高一环，就能多指定一个目标。</t>
  </si>
  <si>
    <t>坟墓领域，野心领域，复仇圣誓，神性之魂，命运窃贼，死灵宗主</t>
  </si>
  <si>
    <t>祝福术</t>
  </si>
  <si>
    <t>Bless</t>
  </si>
  <si>
    <t>一滴圣水</t>
  </si>
  <si>
    <t>你用言语祝福施法距离内至多三个生物。在法术终止前，每当受术目标进行攻击检定或豁免检定时，可以额外掷一次d4并加在其结果上。
升环施法效应：使用二环或更高法术位施展该法术时，你使用的法术位每比一环高一环，就可以多指定一个目标。</t>
  </si>
  <si>
    <t>生命领域，神性之魂</t>
  </si>
  <si>
    <t>燃烧之手</t>
  </si>
  <si>
    <t>Burning Hands</t>
  </si>
  <si>
    <t>你双手拇指相对，其他手指张开，一道火焰随即从手指间喷出。处于15尺锥状区域内的生物必须进行一次敏捷豁免。豁免失败者受到3d6点火焰伤害，豁免成功则伤害减半。
该法术的火焰会点燃范围内未被着装或携带的可燃物。
升环施法效应：使用二环或更高法术位施展该法术时，你使用的法术位每比一环高一环，法术的伤害就增加1d6。</t>
  </si>
  <si>
    <t>提夫林变体，墨菲斯托菲利斯，火元素裔，拉铎斯邪教徒，光明领域，野火结社，四象宗，邪魔宗主，巨灵宗主火巨灵</t>
  </si>
  <si>
    <t>魅惑人类</t>
  </si>
  <si>
    <t>Charm Person</t>
  </si>
  <si>
    <t>你尝试魅惑施法距离内的某个你能看见的类人生物。该生物必须进行一次感知豁免。如果你或你的同伴正在和该生物战斗，则该生物进行该豁免时具有优势。如果豁免失败，则该生物被你魅惑至法术终止，或者直到你或你的同伴对他做出伤害行为为止。此间，被魅惑的生物将视你为友方且熟悉的人。法术终止后，该生物将会发觉曾被你魅惑过。
升环施法效应：使用二环或更高法术位施展该法术时，你使用的法术位每比一环高一环，法术就能多影响一个目标。而各目标之间距离不能超过30尺。</t>
  </si>
  <si>
    <t>提夫林变体，菲尔娜，瑟雷尼亚祀徒，诡术领域，妖精漫游者</t>
  </si>
  <si>
    <t>繁彩球</t>
  </si>
  <si>
    <t>Chromatic Orb</t>
  </si>
  <si>
    <t>一枚至少价值50gp的钻石</t>
  </si>
  <si>
    <t>你向施法距离内某个你能看见的生物掷出一颗直径4寸的能量球，并从强酸、冷冻、火焰、闪电、毒素、雷鸣中选择一种类型以对该生物发动一次远程法术攻击。攻击命中时，该生物将受到3d8点你所选类型的伤害。
升环施法效应：使用二环或更高法术位施展该法术时，你使用的法术位每比一环高一环，法术的伤害就增加1d8。</t>
  </si>
  <si>
    <t>粹丽学生</t>
  </si>
  <si>
    <t>七彩喷射</t>
  </si>
  <si>
    <t>Color Spray</t>
  </si>
  <si>
    <t>一撮粉末或沙子，其颜色必须包含红、黄、蓝三色</t>
  </si>
  <si>
    <t>炫目的彩光从你指间散射而出。掷一次6d10；其结果为受该法术影响生物的生命值总数。在以你为源点的15尺锥状区域内的生物以剩余生命值由小至大的顺序受法术影响（生效时忽略昏迷生物和不能视物的生物）。
计算受法术影响生物时，从剩余生命值最低的生物开始逐个计算。每个受术生物均陷入目盲，直至你的下一回合结束。法术掷骰的生命值总数减去一个受术生物的生命值后，余数再用以计算生命值稍高者是否受法术影响。生物剩余生命值，必须小于等于该余数法术才能成功影响该生物。
升环施法效应：使用二环或更高法术位施展该法术时，你使用的法术位每比一环高一环，法术的掷骰时就增加2d10。</t>
  </si>
  <si>
    <t>命令术</t>
  </si>
  <si>
    <t>Command</t>
  </si>
  <si>
    <t>你对施法距离内一个你能看见的生物说出一个单词的命令。目标生物必须成功通过一次感知豁免，否则必须在其自己的下一回合服从该命令行事。如果目标为不死生物或目标无法听懂你的语言，又或者你的命令对其直接构成损害，则该法术无效。
以下列出一些通常可用的命令单词及其效果。你也可以说出此处没有列明的单词命令，并由DM决定目标将如何行动。如果目标无法完成你的命令，则法术终止：
过来：目标以最短最直接的路线向你移动，并在到达距你5尺时结束其回合。
放下：目标放下手中持握物并结束其回合。
走开：目标在其回合内以最快最有效的方式远离你。
趴下：目标趴下倒地并结束其回合。
立定：目标不移动且不作任何动作。飞行生物在原地悬浮（如果它可以这么做）。如果它必须移动才能保持在空中，则其移动最小的距离以保持飞行。
升环施法效应：使用二环或更高法术位施展该法术时，你使用的法术位每比一环高一环，法术就能多影响一个目标。而各目标之间距离不能超过30尺。</t>
  </si>
  <si>
    <t>俄佐立官员，欧佐夫议员，迷惑学院，知识领域，秩序领域，王冠圣誓，征服圣誓，邪魔宗主</t>
  </si>
  <si>
    <t>强令对决</t>
  </si>
  <si>
    <t>Compelled Duel</t>
  </si>
  <si>
    <t>你尝试强令一个生物与你决斗。指定施法距离内一个你能看见的生物作为法术的目标。该生物必须进行一次感知豁免，豁免失败则该生物将被你的神圣要求所吸引。在法术持续时间内，该生物对除你之外任何生物发动攻击检定时都具有劣势，并且每当其试图移动至与你相距超过30尺的距离时，都必须进行一次感知豁免。豁免成功则该目标的移动本回合内暂时不受该魔法限制。
当你攻击另一个生物时，或者当你对另一个敌对生物施展法术时，又或者当一个你的友方生物对该目标造成伤害或者对其施展伤害性法术时，又或者你在距离该目标超过30尺的位置结束你的回合时，该法术终止。</t>
  </si>
  <si>
    <t>守护龙纹，古鲁反抗者，王冠圣誓</t>
  </si>
  <si>
    <t>通晓语言</t>
  </si>
  <si>
    <t>Comprehend Languages</t>
  </si>
  <si>
    <t>一撮煤灰和一撮盐</t>
  </si>
  <si>
    <t>你在法术持续时间内知晓你所听到所有语言的字面意义。你也可以通过触碰书写的文字来读懂其字面意义。以这种方式阅读每页文字需要花费1分钟的时间。
某些文字或图形的密语（比如一个奥秘符文）由于不属于书写语言一类所以无法用此法术破译。</t>
  </si>
  <si>
    <t>抄录龙纹，衡鉴学生</t>
  </si>
  <si>
    <t>造水/枯水术</t>
  </si>
  <si>
    <t>Create Or Destroy Water</t>
  </si>
  <si>
    <t>造水为一滴水，枯水为一点谷物或沙子</t>
  </si>
  <si>
    <t>你施法创造水或者使水枯竭：
造水：你在施法距离内一个打开的容器里创造10加仑干净的水。或以降雨的方式在施法距离内一处30尺的立方区域降下等量水分并浇灭区域内不受遮盖的火苗。
枯水：你使施法距离内一个打开的容器里的10加仑水分枯竭不见。或者使施法距离内一片30尺立方区域的浓雾消失不见。
升环施法效应：使用二环或更高法术位施展该法术时，你使用的法术位每比一环高一环，法术就多创造或枯竭10加仑额外的水分，或者影响的立方区域边长增加5尺。</t>
  </si>
  <si>
    <t>水元素裔，伊捷工程师，梭螺鱼人深海魔法，深海意志</t>
  </si>
  <si>
    <t>疗伤术</t>
  </si>
  <si>
    <t>Cure Wounds</t>
  </si>
  <si>
    <t>一个你触碰的生物恢复特定数值的生命值，其恢复量等于1d8+你的施法关键属性调整值。该法术对不死生物和构装生物无效。
升环施法效应：使用二环或更高法术位施展该法术时，你使用的法术位每比一环高一环，恢复量就增加1d8。</t>
  </si>
  <si>
    <t>医疗龙纹，生命领域，野火结社，神性之魂，天界宗主，靡华学生</t>
  </si>
  <si>
    <t>侦测善恶</t>
  </si>
  <si>
    <t>Detect Evil And Good</t>
  </si>
  <si>
    <t>你在法术持续时间内能感觉到身边30尺内出现的任一异怪、天界生物、元素生物、精类生物、邪魔或不死生物的存在，并掌握其具体位置。另外，你也可以知晓30尺内的物件或地点是否被祝福或亵渎。
该法术可以穿透大多障碍，但仍会被1尺厚石质或1寸厚金属质，或一层薄铅质，或3尺厚木质或泥质材料阻隔。</t>
  </si>
  <si>
    <t>侦测龙纹，巨灵宗主</t>
  </si>
  <si>
    <t>侦测魔法</t>
  </si>
  <si>
    <t>Detect Magic</t>
  </si>
  <si>
    <t>你在法术持续时间内能感测到30尺内存在的魔法。感测到魔法的存在后，你可以使用动作，并实现观察任何你能看见的生物或物件周围微弱的灵光，并分辨出其所属的魔法学派。
该法术可以穿透大部分障碍，但仍会被1尺厚石质，或1寸厚金属质，或一层薄铅质，或3尺厚木质或泥质材料阻隔。</t>
  </si>
  <si>
    <t>侦测龙纹，费尔伯格人，高等卓尔魔法，土巨灵之遗，风巨灵之遗，火巨灵之遗，水巨灵之遗，奥秘领域，守望圣誓，魔能视界</t>
  </si>
  <si>
    <t>侦测毒性和疾病</t>
  </si>
  <si>
    <t>Detect Poison And Disease</t>
  </si>
  <si>
    <t>一片红豆杉叶</t>
  </si>
  <si>
    <t>你在法术持续时间内可以感测并定位30尺内的毒素、有毒生物以及疾病。你还可以判断所感测毒素、毒物或疾病的具体类别。
该法术可以穿透大部分障碍，但仍会被1尺厚石质，或1寸厚金属质，或一层薄铅质，或3尺厚木质或泥质材料阻隔。</t>
  </si>
  <si>
    <t>侦测龙纹，析米克科学家</t>
  </si>
  <si>
    <t>易容术</t>
  </si>
  <si>
    <t>Disguise Self</t>
  </si>
  <si>
    <t>你改变自身以及随身的衣物、护甲、武器等所有物。该效应在法术终止或你使用动作主动解除时结束。肉眼看来你的身高可以有1尺的增减，体态可胖可瘦可匀称。但是你不能改变身体的形状，所以你变形的样子必须有四肢或类似的生理结构。此外，幻术的影响范围由你决定。
此法术产生的变化无法应对物理检查。比如，你用此法术添了一顶帽子，那么现实物件会从帽子穿过去，且任何触碰帽子的人将摸不到任何东西或者摸到的是你的头和头发。如果你用该法术让自己变得消瘦，而某个人用手摸到你时，他的手看起来就像摸着空气。
如果一个生物想要分辨你是否易容，则必须使用一个动作揭露你的伪装，并进行一次智力（调查）检定以对抗你的法术豁免DC。</t>
  </si>
  <si>
    <t>阴影龙纹，迪斯帕特，格莱西雅，费尔伯格人，底密尔特务，斯涅布力魔法，诡术领域，幽域追踪者，千面之脸，地底侏儒</t>
  </si>
  <si>
    <t>不谐低语</t>
  </si>
  <si>
    <t>Dissonant Whispers</t>
  </si>
  <si>
    <t>你指定一个施法距离内能够听到你声音的生物，并对其说出只有他能听到的不谐低语，使其受强烈的痛苦折磨。目标必须进行一次感知豁免。豁免失败则受到3d6点心灵伤害，并立即执行反应往远离你的方向移动其速度所允许的距离。该生物不会进入明显危险的地域，如火堆或陷坑。豁免成功则伤害减半，且不会执行远离的反应。陷入耳聋状态的目标，进行该豁免时直接判定为成功。
升环施法效应：使用二环或更高法术位施展该法术，你使用的法术位每比一环高一环，伤害就提高1d6。</t>
  </si>
  <si>
    <t>拉铎斯邪教徒，畸变心智，旧日支配者，银毫学生</t>
  </si>
  <si>
    <t>神恩</t>
  </si>
  <si>
    <t>Divine Favor</t>
  </si>
  <si>
    <t xml:space="preserve">你的祈祷赋予你神圣的光芒。在法术持续时间结束前，你的武器攻击命中时将造成额外1d4点光耀伤害。
</t>
  </si>
  <si>
    <t>战争领域，力量领域</t>
  </si>
  <si>
    <t>诱捕打击</t>
  </si>
  <si>
    <t>Ensnaring Strike</t>
  </si>
  <si>
    <t>你在法术终止前的下一次武器攻击命中一个生物时，将在攻击处出现一团扭曲的多刺藤蔓，并迫使目标进行一次力量豁免，豁免失败者将受魔法藤蔓影响而陷入束缚状态，直至法术终止。大型或更大体型的生物进行该豁免时具有优势，如果豁免成功，则藤蔓立即枯萎。
受该法术束缚的目标每回合开始时受到1d6的穿刺伤害。该受束缚生物或其他能触及该目标的生物可用一个动作进行一次对抗法术豁免DC的力量检定。检定成功则目标解除束缚。
升环施法效应：使用二环或更高法术位施展该法术时，你使用的法术位每比一环高一环，伤害就提高1d6。</t>
  </si>
  <si>
    <t>俄佐立官员，古贤圣誓</t>
  </si>
  <si>
    <t>纠缠术</t>
  </si>
  <si>
    <t>Entangle</t>
  </si>
  <si>
    <t>在施法距离内指定一点，并以其为源点蔓延出20尺方形区域的杂草和藤蔓。在法术持续时间内，这片被植物覆盖的区域变为困难地形。在你施展法术时，该区域内的生物必须成功通过一次力量豁免，否则将因为这些缠绕的植物陷入束缚状态，直到法术终止。一个因此被束缚的生物可以使用其动作进行一次力量检定以对抗该法术的豁免DC，检定成功则摆脱束缚。
法术终止时，所召唤的植物随即枯萎。</t>
  </si>
  <si>
    <t>莲源半身人，葛加理成员，量析学生</t>
  </si>
  <si>
    <t>脚底抹油</t>
  </si>
  <si>
    <t>Expeditious Retreat</t>
  </si>
  <si>
    <t>此法术让你以惊人的步速移动。你在施展该法术时可以执行一次“疾走”动作。其后直至法术终止前的每个自己回合，你能以一个附赠动作执行“疾走”动作。</t>
  </si>
  <si>
    <t>通行龙纹，析米克科学家</t>
  </si>
  <si>
    <t>妖火</t>
  </si>
  <si>
    <t>Faerie Fire</t>
  </si>
  <si>
    <t>指定施法距离内一处20尺立方区域，其内每个物件都将被蓝色，绿色或紫色的光所包围（颜色由你指定）。区域内敏捷豁免失败的生物也会被光包围。受术物件和生物在法术持续时间内发出10尺半径的微光。
受术生物或物件无法受益于隐形，且任何能看见他们的攻击者对其发动攻击检定时具有优势。</t>
  </si>
  <si>
    <t>黑暗精灵，半卓尔精灵，探索龙纹，光明领域，暮光领域，集群守卫，至高妖精</t>
  </si>
  <si>
    <t>虚假生命</t>
  </si>
  <si>
    <t>False Life</t>
  </si>
  <si>
    <t>一小瓶酒或蒸馏酒精</t>
  </si>
  <si>
    <t>你从死灵法术中获得了额外的生命力。在法术持续时间内，你获得1d4+4的临时生命值。
升环施法效应：使用二环或更高法术位施展该法术时，你使用的法术位每比一环高一环，其给予的临时生命值就增加5。</t>
  </si>
  <si>
    <t>死亡领域，坟墓领域，邪魔活力，不朽者，死灵宗主</t>
  </si>
  <si>
    <t>羽落术</t>
  </si>
  <si>
    <t>Feather Fall</t>
  </si>
  <si>
    <t>一小片羽毛或绒毛</t>
  </si>
  <si>
    <t>在施法距离内指定至多五个正坠落的生物。受术生物的坠落速度在法术持续时间内降低至每轮60尺。如果该生物在法术终止前落地，则其不会受到任何坠落伤害，且可以安全的用脚着地。着地后法术对该生物的效应随即终止。</t>
  </si>
  <si>
    <t>暴风龙纹，气元素裔</t>
  </si>
  <si>
    <t>获得魔宠</t>
  </si>
  <si>
    <t>Find Familiar</t>
  </si>
  <si>
    <t>将价值10gp的木炭、焚香以及香草，放在黄铜盆中烧尽，作为该法术的耗材</t>
  </si>
  <si>
    <t>你获得一只为你服务的魔宠。以下列动物为原型选择魔宠的动物精魄外貌：蝙蝠、猫、螃蟹、青蛙（蟾蜍）、鹰、蜥蜴、章鱼、猫头鹰、毒蛇、鱼（食人鱼）、老鼠、渡鸦、海马、蜘蛛、鼬鼠。魔宠出现在施法距离内一处未被占据的空间，虽然有着所选的生物属性数据，但其种类为天界生物，精类生物或邪魔（由你选择）而不是野兽。
你的魔宠可脱离你独立行动，不过它会一直遵循你的命令行事。战斗时，它为自己骰先攻，并在自己回合里行动。魔宠无法攻击，但是它能如常执行其他动作。
魔宠的HP降为0时自行消失，且不会留下任何物理残余，而当你重新施展该法术后它会重新出现。
你的魔宠在你身边100尺范围内时，你可以与其进行心灵交流。此外，你还可以用一个动作将自己的视觉和听觉切换到魔宠的感官，并一持续至你下一回合。在此期间，你同时享有该魔宠自身的特殊感官，而你本体的感官则等同于陷入耳聋以及目盲状态。
你可以用一个动作暂时的解散你的魔宠。此时它将进入一个小位面等待你的重新召唤。或者，你也可以选择永久解散它。暂时解散时，你可以用一个动作召唤它出现在30尺内任意未占据的空间中。
你不能同时拥有一只以上的魔宠，如果你在已有魔宠的状况下施展该法术，则你可以为现有的魔宠选择的新的形态（从以上列表选择）。
此外，当你施展施法距离为触及的法术时，你的魔宠可以帮你传递法术，其效果就如同该法术由魔宠施展一样。此时你的魔宠必须在你身边100尺范围内，且其必须可以执行反应来传递法术。如果传递的法术需要进行攻击检定，则该检定将使用你自己的攻击调整值。</t>
  </si>
  <si>
    <t>荒野伙伴，链之魔契，斯翠海文苑像</t>
  </si>
  <si>
    <t>云雾术</t>
  </si>
  <si>
    <t>Fog Cloud</t>
  </si>
  <si>
    <t>你以施法距离内一点为中心创造一片半径20尺的球状浓雾。浓雾再球形内充斥所有角落，并造成重度遮蔽。浓雾持续至法术持续时间结束，但仍可被和风或更强风势（至少每小时10里）所吹散。
升环施法效应：使用二环或更高法术位施展该法术时，你使用的法术位每比一环高一环，浓雾的半径就增加20尺。</t>
  </si>
  <si>
    <t>暴风龙纹，梭螺鱼人，风暴领域，狂野魔法浪涌，巨灵宗主水巨灵</t>
  </si>
  <si>
    <t>神莓术</t>
  </si>
  <si>
    <t>Goodberry</t>
  </si>
  <si>
    <t>一枝槲寄生</t>
  </si>
  <si>
    <t>至多10个浆果出现在你手里。果子在法术持续时间内充满魔法，持有浆果的生物可用其动作吃下其中之一并以此恢复1点生命值，且一枚浆果就可以满足该生物一整天的营养需求。
创造的浆果如果在法术施展后的24小时内没有被吃掉就会失去其效力。</t>
  </si>
  <si>
    <t>油腻术</t>
  </si>
  <si>
    <t>Grease</t>
  </si>
  <si>
    <t>一小块猪皮或黄油</t>
  </si>
  <si>
    <t>你在施法距离内指定一点，光滑的油脂以该点为中心覆盖一处10尺的方状区域。在法术持续时间内。该区域变为困难地形。
油脂出现时，站在其范围内的每个生物必须进行一次敏捷豁免，豁免失败则失足倒地。进入该区域或在区域内结束其回合的生物也必须进行该敏捷豁免，豁免失败则失足倒地。</t>
  </si>
  <si>
    <t>曳光弹</t>
  </si>
  <si>
    <t>Guiding Bolt</t>
  </si>
  <si>
    <t>一道闪光快速飞向施法距离内你指定的一个生物，并对该目标进行一次远程法术攻击检定。命中时，目标受4d6的光耀伤害。由于目标身上闪耀着秘法的微光，在施法者下个回合结束前，对该目标发动的下一次攻击检定具有优势。
升环施法效应：使用二环或更高法术位施展该法术时，你使用的法术位每比一环高一环，伤害就增加1d6。</t>
  </si>
  <si>
    <t>波洛斯军团兵，团结领域，星辰结社，荣耀圣誓，天界宗主，量析学生</t>
  </si>
  <si>
    <t>棘雹术</t>
  </si>
  <si>
    <t>Hail Of Thorns</t>
  </si>
  <si>
    <t>你在法术终止前进行的下一次远程武器攻击命中时会从你的远程武器或弹药中创造出棘刺，并形成一片棘刺之雨。除了攻击产生的正常效果外，受攻击的目标及目标身边5尺范围内的所有生物还必须进行一次敏捷豁免，豁免失败者将受到1d10点穿刺伤害，豁免成功则伤害减半。
升环施法效应：使用二环或更高法术位施展该法术时，你使用的法术位每比一环高一环，伤害就增加1d10（最大伤害6d10）。</t>
  </si>
  <si>
    <t>治愈真言</t>
  </si>
  <si>
    <t>Healing Word</t>
  </si>
  <si>
    <t>你指定施法距离内一个你能看见的生物并恢复其生命值，恢复量等于1d4+你的施法关键属性调整值。该法术对构装体和不死生物无效。
升环施法效应：使用二环或更高法术位施展该法术时，你使用的法术位每比一环高一环，治疗量就增加1d4点。</t>
  </si>
  <si>
    <t>医疗龙纹，炼金师</t>
  </si>
  <si>
    <t>炼狱叱喝</t>
  </si>
  <si>
    <t>Hellish Rebuke</t>
  </si>
  <si>
    <t>你伸指一点，伤害你的生物立刻被炼狱的烈焰包围。该生物必须进行一次敏捷豁免，豁免失败则受到2d10点火焰伤害，豁免成功则伤害减半。
升环施法效应：使用二环或更高法术位施展该法术时，你使用的法术位每比一环高一环，伤害就增加1d10。</t>
  </si>
  <si>
    <t>提夫林，拉铎斯邪教徒，破誓者</t>
  </si>
  <si>
    <t>英雄气概</t>
  </si>
  <si>
    <t>Heroism</t>
  </si>
  <si>
    <t>你触碰一个自愿生物使其充满勇气。该生物直至法术终止前免疫恐慌，且它将在其每回合开始时获得临时生命值，其数值等于你的施法关键属性调整值。法术终止时，目标失去所有来自该法术的临时生命值。
升环施法效应：使用二环或更高法术位施展该法术时，你使用的法术位每比一环高一环，就可以额外指定一个目标。</t>
  </si>
  <si>
    <t>波洛斯军团兵，秩序领域，和平领域，荣耀圣誓，战地匠师</t>
  </si>
  <si>
    <t>脆弱诅咒</t>
  </si>
  <si>
    <t>Hex</t>
  </si>
  <si>
    <t>一只被石化的蝾螈眼睛</t>
  </si>
  <si>
    <t>你对施法距离内一个你能看见的一个生物施加诅咒。直到法术终止前，你对命中该目标的任意攻击都将额外造成1d6点黯蚀伤害。此外，你在施展该法术的同时选择一项属性，使该目标进行所选属性的属性检定时具有劣势。
如果目标在法术终止前HP降至0，则你可以在法术终止前后续的某一回合中使用一个附赠动作诅咒另一个生物。
对受术目标施展法术移除诅咒后可以提前终止该法术。
升环施法效应：使用三环或四环法术位施展该法术时，其专注可以维持至多8小时。使用五环或更高法术位施展该法术时，其专注可以维持至多24小时。</t>
  </si>
  <si>
    <t>猎人印记</t>
  </si>
  <si>
    <t>Hunter's Mark</t>
  </si>
  <si>
    <t>你指定施法距离内一个你能看见的生物并以魔法标记其作为你的猎物。直至法术终止前，你每次以武器攻击命中该目标时都会额外造成1d6点伤害，且每当你为寻找目标生物而进行感知（察觉）或感知（生存）检定时都具有优势。如果在法术结束前目标HP降至0，则你可以在法术结束前的后续某一个回合中用一个附赠动作标记另一个生物。
升环施法效应：你使用三环或四环法术位施展该法术时，该法术的专注可以至多维持8小时。你使用五环或更高法术位施展该法术时，该法术的专注可以至多维持24小时。</t>
  </si>
  <si>
    <t>探索龙纹，野心领域，复仇圣誓</t>
  </si>
  <si>
    <t>鉴定术</t>
  </si>
  <si>
    <t>Identify</t>
  </si>
  <si>
    <t>一颗价值至少100gp的珍珠和一根猫头鹰羽毛</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</si>
  <si>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如果你施法过程中一直接触的是一生物，则你将知晓其是否受法术影响，及产生影响的法术效应具体来自哪项法术。</t>
  </si>
  <si>
    <t>创造龙纹，知识领域，锻造领域，衡鉴学生</t>
  </si>
  <si>
    <t>迷幻手稿</t>
  </si>
  <si>
    <t>Illusory Script</t>
  </si>
  <si>
    <t>价值至少10gp的铅料墨水，作为该法术的耗材</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</si>
  <si>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</si>
  <si>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抄录龙纹，欧佐夫议员</t>
  </si>
  <si>
    <t>致伤术</t>
  </si>
  <si>
    <t>Inflict Wounds</t>
  </si>
  <si>
    <t>你对触及范围内一个生物发动一次近战法术攻击。命中时，目标受到3d10点黯蚀伤害。
升环施法效应：使用二环或更高法术位施展该法术时，你使用的法术位每比一环高一环，伤害就增加1d10。</t>
  </si>
  <si>
    <t>破誓者，神性之魂，靡华学生</t>
  </si>
  <si>
    <t>跳跃术</t>
  </si>
  <si>
    <t>Jump</t>
  </si>
  <si>
    <t>一只蚱蜢的后腿</t>
  </si>
  <si>
    <t>你触碰一个生物，并使该生物的跳跃距离在法术持续时间内增至三倍。</t>
  </si>
  <si>
    <t>通行龙纹，吉斯洋基人，析米克科学家，超凡跳跃</t>
  </si>
  <si>
    <t>大步奔行</t>
  </si>
  <si>
    <t>Longstrider</t>
  </si>
  <si>
    <t>一撮泥土</t>
  </si>
  <si>
    <t>你触碰一个生物，该目标速度在法术持续时间内增加10尺。
升环施法效应：使用二环或更高法术位施展该法术时，你使用的法术位每比一环高一环，你就可以额外指定一个目标。</t>
  </si>
  <si>
    <t>探索龙纹，木精灵魔法</t>
  </si>
  <si>
    <t>Mage Armor</t>
  </si>
  <si>
    <t>一块鞣制过的皮革</t>
  </si>
  <si>
    <t>你触碰一个未着装护甲的自愿生物，使其受一个保护性魔法力场环绕直至法术终止。目标的基础AC变为13+它的敏捷调整值。目标着装护甲或你以一个动作解散该法术后法术随之终止。</t>
  </si>
  <si>
    <t>警戒龙纹，幽影护甲</t>
  </si>
  <si>
    <t>魔法飞弹</t>
  </si>
  <si>
    <t>Magic Missile</t>
  </si>
  <si>
    <t>你创造三枚由魔法力场形成的闪光飞镖，并让每发飞镖命中施法距离内你能看见的指定生物。每发飞镖对目标造成1d4+1的力场伤害。所有飞镖同将时命中目标，而你还可以指定它们击中同一个目标或是分别击中几个目标。
升环施法效应：使用二环或更高法术位施展该法术时，你使用的法术位每比一环高一环，该法术就会多制造出一支飞镖。</t>
  </si>
  <si>
    <t>奥秘领域，狂野魔法浪涌，装甲师</t>
  </si>
  <si>
    <t>防护善恶</t>
  </si>
  <si>
    <t>Protection From Evil And Good</t>
  </si>
  <si>
    <t>圣水或者银和铁的粉末，作为该法术的耗材</t>
  </si>
  <si>
    <t>在法术终止前，你触碰的一个自愿生物获得针对以下这些类型生物的防护：异怪、天界生物、元素生物、精类生物、邪魔和不死生物。
该防护提供以下增益：该类生物对目标生物进行的攻击检定具有劣势；目标不会被该类生物魅惑，恐慌或附身；如果目标已被该类生物影响而陷入魅惑、恐慌，或被附身，则目标之后进行对抗相关效应的豁免检定时具有优势。</t>
  </si>
  <si>
    <t>力量领域，奉献圣誓，边界行者，怪物杀手，神性之魂，时械之魂，反逆者</t>
  </si>
  <si>
    <t>净化食粮</t>
  </si>
  <si>
    <t>Purify Food And Drink</t>
  </si>
  <si>
    <t>你指定施法距离内一点，净化指定点周围半径5尺球状区域内的非魔法饮食品，并驱除其浸染的所有毒素和疾病。</t>
  </si>
  <si>
    <t>致病射线</t>
  </si>
  <si>
    <t>Ray Of Sickness</t>
  </si>
  <si>
    <t>一道恶心的浅绿射线朝施法距离内一个生物射去。你对目标进行一次远程法术攻击。若命中，则目标受到2d8的毒素伤害且必须进行一次体质豁免，豁免失败则目标陷入中毒，该中毒效应持续至你的下一回合结束。
升环施法效应：使用二环或更高法术位施展该法术时，你使用的法术位每比一环高一环，伤害就增加1d8。</t>
  </si>
  <si>
    <t>巴尔泽布，葛加理成员，死亡领域，不朽者，炼金师</t>
  </si>
  <si>
    <t>庇护术</t>
  </si>
  <si>
    <t>Sanctuary</t>
  </si>
  <si>
    <t>一小块银镜</t>
  </si>
  <si>
    <t xml:space="preserve">你的法术保护一个施法距离内的生物不受攻击。在法术终止前，任何试图对受保护者进行攻击或对受保护者施放伤害性法术的生物都必须进行一次感知豁免。豁免失败则该生物必须选定一个新目标，否则将失去本次的攻击或法术。该法术不能保护受术者免受范围效应（如爆炸或火球）的影响。
若受保护生物发动一次攻击，施展一道影响敌人的法术，或是对任何其他生物造成伤害，则该法术随之终止。
</t>
  </si>
  <si>
    <t>和平领域，团结领域，奉献圣誓，救赎圣誓，巨灵宗主土巨灵</t>
  </si>
  <si>
    <t>炽焰斩</t>
  </si>
  <si>
    <t>Searing Smite</t>
  </si>
  <si>
    <t>你在法术持续时间内下一次用近战武器攻击命中某个生物时将在武器上闪现出白热的光芒。该攻击对目标造成额外的1d6点火焰伤害，并点燃目标。直至法术终止前，目标在自己每一回合开始时都要进行一次体质豁免。豁免失败则受到1d6点火焰伤害。豁免成功则法术终止。如果目标或其身边5尺内的另一个生物用一个动作来扑灭其身上的火焰，或有其他某种效果熄灭了火焰（例如目标跳入水中），则法术终止。
升环施法效应：使用二环或更高法术位施展该法术时，你使用的法术位每比一环高一环，最初一次攻击造成的额外伤害就增加1d6。</t>
  </si>
  <si>
    <t>扎瑞尔，锻造领域，热忱领域</t>
  </si>
  <si>
    <t>护盾术</t>
  </si>
  <si>
    <t>Shield</t>
  </si>
  <si>
    <t>一道看不见的法力护盾浮现在你身边，保护着你。在你的下一回合开始前，你的AC具有+5加值（在触发该法术的攻击之前生效），并且不会受到魔法飞弹的伤害。</t>
  </si>
  <si>
    <t>守护龙纹，吉斯泽莱人，咒剑士，魔炮师，战地匠师</t>
  </si>
  <si>
    <t>虔诚护盾</t>
  </si>
  <si>
    <t>Shield Of Faith</t>
  </si>
  <si>
    <t>一小块写有神圣文字的羊皮纸</t>
  </si>
  <si>
    <t>围绕着施法距离内你指定的一个生物出现一片闪着微光的魔法力场。使目标在法术持续时间内AC获得+2加值。</t>
  </si>
  <si>
    <t>守护龙纹，战争领域，力量领域</t>
  </si>
  <si>
    <t>无声幻影</t>
  </si>
  <si>
    <t>Silent Image</t>
  </si>
  <si>
    <t>少量羊毛</t>
  </si>
  <si>
    <t>你创造一个影像，其形象来自一个大小不超过边长15尺立方体的物件，生物或其他的可视现象。影像出现在施法距离内你能看见的一处位置并在法术持续时间内持续存在。该影像是纯粹的视觉影像；它不会被听觉，嗅觉或其他感官感受到。
你可以用动作将影像移动到施法距离内的另一个位置。影像改变位置时，你可以改变影像的外观使其移动得更自然。例如，如果你创造了一个生物的影像并移动它，则你可以改变影像，使它看起来就像是在走路。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用其动作调查影像时，它可以进行一次对抗法术豁免DC的智力（调查）检定，以判定是否看穿幻象。辨出幻象的生物可以看破该影像，在该生物看来会透过影像看到其背后的事物。</t>
  </si>
  <si>
    <t>阴影龙纹，迷雾幻影</t>
  </si>
  <si>
    <t>睡眠术</t>
  </si>
  <si>
    <t>Sleep</t>
  </si>
  <si>
    <t>一把细沙，玫瑰花瓣，或一只蟋蟀</t>
  </si>
  <si>
    <t>该法术使一些生物陷入魔法造成的沉睡中。掷一次5d8；其结果为受该法术影响生物的生命值总数。你指定施法距离一点，该点周围20尺区域内的生物以剩余生命值由小至大的顺序受法术影响（生效时忽略昏迷生物）。
计算受法术影响生物时，从剩余生命值最低的生物开始逐个计算。每个受术生物均陷入昏迷，直至法术终止。睡眠者受到伤害也会惊醒，又或者由其他人以一个动作将其摇醒或打醒。法术掷骰的生命值总数减去一个受术生物的生命值后，余数再用以计算生命值稍高者是否受法术影响。生物剩余生命值，必须小于等于该余数法术才能成功影响该生物。
不死生物以及免疫魅惑效果的生物不受该法术影响。
升环施法效应：使用二环或更高法术位施展该法术时，使用的法术位每比一环高一环，法术的掷骰就增加2d8。</t>
  </si>
  <si>
    <t>苍白精灵，招待龙纹，底密尔特务，暮光领域，救赎圣誓，至高妖精</t>
  </si>
  <si>
    <t>动物交谈</t>
  </si>
  <si>
    <t>Speak With Animals</t>
  </si>
  <si>
    <t>你在法术持续时间内获得理解野兽并与其沟通的能力。许多野兽智力不高，因此它们的认知水平相当有限，但它们至少能向你提供关于周围地域和怪物的情报，包括任何它们现在以及在前一日内察觉到的东西。你也许可以说服野兽帮你一些小忙，是否成功则由DM来判断。</t>
  </si>
  <si>
    <t>畜牧龙纹，古鲁反抗者，费尔伯格野兽魔法，图腾武者道途，自然领域，古贤圣誓，原始意识，野兽之语</t>
  </si>
  <si>
    <t>塔莎狂笑术</t>
  </si>
  <si>
    <t>Tasha's Hideous Laughter</t>
  </si>
  <si>
    <t>一些小甜饼以及一片空中飘荡的羽毛</t>
  </si>
  <si>
    <t>指定施法距离内一个你能看见的生物，如果该生物可受法术影响，则一切事物在该生物眼中都变得滑稽可笑，使它开始狂笑起来。目标必须进行一次感知豁免，豁免失败则俯身倒地，并在法术持续时间内陷入失能状态且无法起立。该效应对智力为4或更低的生物无效。
目标在其每回合结束或受到伤害时，可以再进行一次感知豁免。豁免成功则法术终止。再进行豁免时，如果是因受到伤害所致则该次豁免具有优势。</t>
  </si>
  <si>
    <t>谭森浮碟术</t>
  </si>
  <si>
    <t>Tenser's Floating Disk</t>
  </si>
  <si>
    <t>一滴水银</t>
  </si>
  <si>
    <t>指定施法距离内一处你能看见的未被占据空间，并在该处创造一个圆盘状的碟型水平力场。浮碟直径3尺，厚1寸，悬浮在离地3尺的半空。其可以在法术持续时间内持续存在，并至多可负载500磅重量。如果放在浮碟上的物件重量超过500磅，则该法术立即终止，浮碟上的所有东西也将掉落地面。
浮碟在你20尺内时静止不动。只要你与其距离超过20尺，浮碟就会跟随你移动，并保持在你的20尺范围内。浮碟可以自由通过崎岖地形，上落的阶梯，斜坡面或者诸如此类的地面，但它不能越过高差超过10尺的地面。例如，浮碟不能越过一个10尺深的坑；如果浮碟造在坑里，则它也无法离开这个深坑。
如果你和浮碟间的距离超过100尺（通常是因为它受障碍所阻无法跟上你），则法术随即终止。</t>
  </si>
  <si>
    <t>创造龙纹，马曼</t>
  </si>
  <si>
    <t>雷鸣斩</t>
  </si>
  <si>
    <t>Thunderous Smite</t>
  </si>
  <si>
    <t>你在法术持续时间内下一次用近战武器攻击命中某个生物时将发出雷霆巨响，并使你周围300尺都能听见该响声。该攻击对目标造成额外2d6点雷鸣伤害，如果目标是一个生物，则它必须要进行一次力量豁免，豁免失败则目标往远离你的方向推动10尺并应击倒地。</t>
  </si>
  <si>
    <t>雷鸣波</t>
  </si>
  <si>
    <t>Thunderwave</t>
  </si>
  <si>
    <t>一道雷鸣波从你的身体向外扫去。在以你为源点15尺立方区域内的每个生物必须进行一次体质豁免。豁免失败者将受到2d8点雷鸣伤害，并被推离10尺。豁免成功则伤害减半，且不会被推离。
此外，所有完全位于该区域内且没被固定住的物件都将被自动推离10尺。而该法术还会发出方圆300尺内都能听见的雷霆巨响。
升环施法效应：使用二环或更高法术位施展该法术时，你使用的法术位每比一环高一环，法术的伤害就增加1d8。</t>
  </si>
  <si>
    <t>古鲁反抗者，风暴领域，四象宗，巨灵宗主气巨灵，深海意志，魔炮师，装甲师，粹丽学生</t>
  </si>
  <si>
    <t>隐形仆役</t>
  </si>
  <si>
    <t>Unseen Servant</t>
  </si>
  <si>
    <t>一根线和一块木头</t>
  </si>
  <si>
    <t>该法术创造出一个隐形、无心智、无实体的中体型力场生物。你可以在法术终止前命令它进行简单的工作。该仆从被创造出来后出现在施法距离内一处未被占据空间的地面上。其AC为10，生命值为1，力量为2，且不能攻击。若仆从的生命值降至0，则法术终止。
你可以自己每个回合内以一个附赠动作对仆役下达精神命令，使它移动最多15尺并与一个物件进行互动。仆从可以做人类仆从能做到的简单工作，例如拿取东西、打扫卫生、修补东西、叠衣服、点火、上菜、倒酒等。一旦你下达了命令，仆从就会尽全力去做你命令它做的工作直至完成，并在完成任务后静待你的下一个命令。
如果你命令仆从做一件需要它离开你身边60尺的工作，则法术随之终止。</t>
  </si>
  <si>
    <t>巫术箭</t>
  </si>
  <si>
    <t>Witch Bolt</t>
  </si>
  <si>
    <t>从一棵被闪电击中的树上取来的树枝</t>
  </si>
  <si>
    <t>一支缠绕着碎裂魔力的蓝色能量长矛射向施法距离内的一个生物，并在你与目标之间生成一道持久的闪电弧。对目标生物进行一次远程法术攻击。若命中，则目标受到1d12点闪电伤害。在法术持续时间内，你在每个自己的回合中可以用一个动作直接对目标造成1d12点闪电伤害。如果你执行动作做其他任何事情，法术将随即终止。此外，如果目标离开法术的施法距离或相对你处于全身掩护状态，法术也将随即终止。
升环施法效应：使用二环或更高法术位施展该法术时，你使用的法术位每比一环高一环，法术的初始伤害就增加1d12。</t>
  </si>
  <si>
    <t>激愤斩</t>
  </si>
  <si>
    <t>Wrathful Smite</t>
  </si>
  <si>
    <t>你在法术持续时间内，下一次近战武器攻击命中时，对目标造成额外1d6点心灵伤害。此外，如果目标是一个生物，则其必须进行一次感知豁免。豁免失败则目标生物将在法术终止前持续陷入对你恐慌的状态。该生物可以用一个动作来尝试重拾斗志，并进行一次对抗该法术DC的感知检定，检定成功则法术即刻终止。</t>
  </si>
  <si>
    <t>吸收元素</t>
  </si>
  <si>
    <t>Absorb Elements</t>
  </si>
  <si>
    <t>此法术捕获了部分袭来的能量，减轻它对你的效果，并将之储存起来以用在你的下一次近战攻击中。在你的下个回合的开始之前，你对于触发法术的伤害类型具有抗力。此外，在你的下个回合，第一次以近战攻击命中时，目标额外受到1d6点触发法术的伤害类型的伤害，同时此法术终结。
升环施法效应：当你使用二环或更高的法术位施放该法术时，使用的法术位每高一环，额外伤害便增加1d6。</t>
  </si>
  <si>
    <t>兽之联结</t>
  </si>
  <si>
    <t>Beast Bond</t>
  </si>
  <si>
    <t>一小块被布包裹的毛皮</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</si>
  <si>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活动状态，该野兽在对你周围5尺，你能看见的任何生物所进行的攻击检定中获得优势。</t>
  </si>
  <si>
    <t>弹射</t>
  </si>
  <si>
    <t>Catapult</t>
  </si>
  <si>
    <t>选择施法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若检定失败，该物体击中目标并不再移动。无论如何，物体和被击中的生物或固体表面各受到3d8点钝击伤害。
升环施法效应：当你使用二环或更高的法术位施放该法术时，使用的法术位每高一环，你可以指定的物体的重量上限便增加5磅，而造成的伤害便提高1d8。</t>
  </si>
  <si>
    <t>造成恐惧</t>
  </si>
  <si>
    <t>Cause Fear</t>
  </si>
  <si>
    <t>你唤醒了一个处于施法距离内、你能看见的生物内心的凡性。此法术对于构装生物或不死生物无效。目标必须通过一次感知豁免检定，否则在持续时间内陷入恐惧。被恐惧的生物可以在它的每个回合结束时重复进行这个豁免检定，若成功将结束法术对自身的效果。
升环施法效应：当你使用二环或更高的法术位施放该法术时，使用的法术位每高一环，你就可以多指定一个额外生物作为目标。每个被你指定的生物相互之间的施法距离必须在30尺内。</t>
  </si>
  <si>
    <t>典礼术</t>
  </si>
  <si>
    <t>Ceremony</t>
  </si>
  <si>
    <t>价值25gp的银粉，作为该法术的耗材</t>
  </si>
  <si>
    <t>你进行几种宗教典礼之一。当你施展此法术时，选择下述典礼之一，其目标必须在施法过程中处于你周围10尺内：
赎罪：你接触一个阵营发生了改变的自愿生物，而你进行一次DC20的感知（洞悉）检定。成功则你令目标恢复其原始阵营。
祝福圣水：你接触一瓶水并将它转变为圣水。
成人礼：你接触一个年龄足够成年的类人生物。在接下来的24小时内，当目标进行一次属性检定时，它可以投d4并将投出的结果加到属性检定上。一个生物只能从此仪式中获得此好处一次。
献身：你接触一个自愿转变为你的宗教的信仰或想要为你信奉的神明服务的类人生物。在接下来的24小时内，当目标进行一次豁免检定时，它可以投d4并将投出的结果加到检定上。一个生物只能从此仪式中获得此好处一次
葬礼：你祝福一具处于你周围5尺内的尸体。在接下来的7天内，目标不能被任何弱于祈愿术的方式变为不死生物。
婚礼：你接触自愿接受婚姻的束缚的成年类人生物。在接下来的7天内，每个目标若处于彼此30尺范围内，则在AC上获得+2加值。一个生物只有在丧偶时才能再次从这个仪式中受益。</t>
  </si>
  <si>
    <t>混乱箭</t>
  </si>
  <si>
    <t>Chaos Bolt</t>
  </si>
  <si>
    <t>你向着施法距离内的一个生物掷出一团变化不定、高声尖鸣的混乱能量。对目标进行一次远程法术攻击。击中时，目标受到2d8+1d6点伤害。选择一颗d8投出的数字来决定它的伤害类型，投出的数字与对应的类别见下表：
伤害类别
1，强酸
2，寒冷
3，火焰
4，力场
5，闪电
6，毒素
7，精神
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升环施法效应：当你使用二环或更高的法术位施展此法术时，每个生物受到额外伤害，类型与投出的一致。额外伤害等于高于一环的每个等级1d6点。</t>
  </si>
  <si>
    <t>伊捷工程师</t>
  </si>
  <si>
    <t>地动</t>
  </si>
  <si>
    <t>Earth Tremor</t>
  </si>
  <si>
    <t>你在施法施法距离内引发地面颤动。处于该区域，除你之外的其他生物必须进行一次敏捷豁免检定。若检定失败，该生物受到1d6点钝击伤害并倒地。若区域的地表为松软的土壤或石头，其在被清理之前成为困难地形。每5尺直径的部分都需要至少1分钟来手动清理。
升环施法效应：当你使用二环或更高的法术位施放该法术时，使用的法术位每高一环，伤害便增加1d6。</t>
  </si>
  <si>
    <t>冰刃</t>
  </si>
  <si>
    <t>Ice Knife</t>
  </si>
  <si>
    <t>一滴水或一块冰</t>
  </si>
  <si>
    <t>你制造出一块冰晶裂片，并将它射向施法距离内的一个生物。你对目标进行一次远程法术攻击。若击中，目标受到1d10点穿刺伤害。无论击中与否，裂片都会在之后爆裂。目标和周围5尺范围内的每个生物必须通过一次敏捷豁免检定，否则受到2d6点冷冻伤害。
升环施法效应：当你使用二环或更高的法术位施放该法术时，使用的法术位每高一环，寒冷伤害便增加1d6点。</t>
  </si>
  <si>
    <t>魔法圈套</t>
  </si>
  <si>
    <t>Snare</t>
  </si>
  <si>
    <t>25尺的线绳，作为该法术的耗材</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</si>
  <si>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变成俯卧，并被魔法性地上下颠倒的举到半空中，直到它施法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</si>
  <si>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西风打击</t>
  </si>
  <si>
    <t>Zephyr Strike</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</si>
  <si>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此外，在此法术结束前仅一次，你可以在自己的回合让自己的一次武器攻击检定获得优势。这次攻击若击中会造成额外1d8力场伤害。无论你是否击中，你的步行速度都会增加30尺，直到这个回合的结束。</t>
  </si>
  <si>
    <t>灵敏之赐</t>
  </si>
  <si>
    <t>Gift Of Alacrity</t>
  </si>
  <si>
    <t>你触碰一个自愿生物，在法术持续时间内，他的先攻掷骰中可以加入一个额外的D8。</t>
  </si>
  <si>
    <t>扩大重力</t>
  </si>
  <si>
    <t>Magnify Gravity</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</si>
  <si>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升环法术效应：每当你使用二环或更高的法术位施展该法术时，每比一环多一的法术位能使该法术的伤害增加1d8。</t>
  </si>
  <si>
    <t>扭曲价值</t>
  </si>
  <si>
    <t>Distort Value</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</si>
  <si>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升环施法效应：当你使用二环或更高的法术位施放该法术时，使用的法术位每高一环，目标物件的最大尺寸就可以增加1尺。</t>
  </si>
  <si>
    <t>吉姆的魔法飞弹</t>
  </si>
  <si>
    <t>Jim's Magic Missile</t>
  </si>
  <si>
    <t>1G，如通过DC15的智力（奥秘）检定可由10码内随机生物支付</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</si>
  <si>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法术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升环施法效应：当你使用二环或更高的法术位施放该法术时，使用的法术位每高一环，法术就可以多创造一枚飞镖，但是版权成分也会增加1gp</t>
  </si>
  <si>
    <t>塔莎酸蚀酿</t>
  </si>
  <si>
    <t>Tasha's Caustic Brew</t>
  </si>
  <si>
    <t>一点腐烂的食物</t>
  </si>
  <si>
    <t>一股30尺长，5尺宽的线状强酸从你的位置向你指定的任意方向喷射而出。在线状区域内的每个生物必须进行一次敏捷豁免，豁免失败者将在法术持续时间内被强酸复盖，或直到自己或其他生物用一个动作从其身上刮下或洗下。被强酸复盖的生物在每个自己回合开始时受到2d4强酸伤害。
升环法术效应：使用二环或更高法术位施展该法术时，你使用的法术位每比一环高1环，法术的伤害就增加2d4。</t>
  </si>
  <si>
    <t>银光锐语</t>
  </si>
  <si>
    <t>Silvery Barbs</t>
  </si>
  <si>
    <t>你魔法地让触发生物分心，将其短暂的迟疑转变为另一个生物的鼓励。触发生物必须重新投掷d20并选用较低的结果。
之后你能选择范围内的一个不同生物（可以是你自己）。选择的生物在接下来的一分钟里的第一次攻击检定，属性检定，或豁免检定中具有优势。一个生物在同一时间里只会拥有一次来自该法术的增益。</t>
  </si>
  <si>
    <t>银毫学生</t>
  </si>
  <si>
    <t>援助术</t>
  </si>
  <si>
    <t>Aid</t>
  </si>
  <si>
    <t>一小片白布</t>
  </si>
  <si>
    <t>你的法术增强了盟友的韧性和毅力。在施法距离内指定至多三个生物。每个目标的生命值上限和当前生命值在法术持续时间内提高5点。
升环施法效应：使用三环或更高法术位施展该法术时，你使用的法术位每比二环高一环，每个目标的生命值上限和当前生命值就额外提高5点。</t>
  </si>
  <si>
    <t>招待龙纹，波洛斯军团兵，瑟雷尼亚祀徒，和平领域，团结领域，时械之魂</t>
  </si>
  <si>
    <t>变身术</t>
  </si>
  <si>
    <t>Alter Self</t>
  </si>
  <si>
    <t>你变换了自身形态。施法时，从以下选项中选择其一生效，并维持至其持续时间结束。你还可以在持续时间内以一个动作在选项间切换：
水生适应：你长出鳃和蹼以适应水中行动。你可以在水下呼吸，并且获得等同于步行速度的游泳速度。
改变外貌：你改变了自己的外貌。你可以自行设定自己的外观：包括身高、体重、面部细节、声线、头发长短、肤色以及（可能具有的）独特外貌特征。你可以让自己看起来像是其他种族，但你的角色数值不会改变。你无法改变体型或是基础身体轮廓。例如，如果你两足行动，就不能变为四足生物。你可以在持续时间内以一个动作改变这些外貌细节。
天生武器：你长出尖牙锐爪、棘刺长角，或是其他类型的一种自选的天生武器。所选的天生武器可以使你的徒手打击造成1d6的钝击、挥砍或穿刺伤害，且你视为具有徒手打击的熟练项。另外，该天生武器视为魔法武器，且你在使用它进行的攻击检定和伤害掷骰均具有+1加值。</t>
  </si>
  <si>
    <t>析米克科学家，万形之主</t>
  </si>
  <si>
    <t>动物信使</t>
  </si>
  <si>
    <t>Animal Messenger</t>
  </si>
  <si>
    <t>该法术令你可以利用动物传递信息。在施法距离内指定一只你能看见的微型野兽（比如松鼠，蓝松鸦，或是蝙蝠）。再选择一个你曾造访过的地点，然后描述收信人的基本信息，如“一个穿着城镇守卫制服的男人或女人”或“一个戴着尖顶帽子的红发矮人”。最后再说出一段不超过二十五个单词的信息。目标野兽将会在法术持续时间内前往你选定的地点。会飞的信使24小时内可移动50里，不会飞的信使只能移动25里。
信使抵达目的地后，会模仿你的声音把信息传递给你描述的人。信使只会把信息传递给符合你描述的人。如果法术持续时间内信使未能抵达目的地则信息将遗失，而曾作为信使的野兽将自行寻路返回你施法的地点。
升环施法效应：使用三环或更高法术位施展该法术时，你使用的法术位每比二环高一环，其法术持续时间就增加48小时。</t>
  </si>
  <si>
    <t>抄录龙纹，瑟雷尼亚祀徒</t>
  </si>
  <si>
    <t>秘法锁</t>
  </si>
  <si>
    <t>Arcane Lock</t>
  </si>
  <si>
    <t>至少价值25gp的金粉，作为该法术的耗材</t>
  </si>
  <si>
    <t>你触碰关上的一扇门，一扇窗，一个箱子或其他出入口，并使目标在法术持续时间内保持锁闭状态。施法时，你还可以设定允许你和其他若干生物正常打开该物件。你还可以设置一条密语，在该锁闭物件5尺内念出密语时，秘法锁将被压制1分钟。该物件只有在法术被压制、被解除，或物件本身遭破坏时才能打开。对物件施放敲击术将使其秘法锁法术在10分钟内受压制。
受该法术影响的物件更难被撬开或破坏。对其进行破坏或撬锁时，其相应DC增加10。</t>
  </si>
  <si>
    <t>警戒龙纹，马曼，俄佐立官员</t>
  </si>
  <si>
    <t>卜筮术</t>
  </si>
  <si>
    <t>Augury</t>
  </si>
  <si>
    <t>一套绘有标记的短棒，骨头，或类似的象征物，价值至少25gp</t>
  </si>
  <si>
    <t>借由镶嵌宝石的小短棒，龙骨，卡牌或是其他占卜器具，你从异界存在处获得对某件你计划在接下来的30分钟内做的事的预示。DM从下列预示中选取一个：
吉：预示着好的结果。
凶：预示着坏的结果。
吉且凶：预示着结果既有好的方面，也有坏的方面。
无：预示着结果并无明显的好坏分别。
此法术不会将任何可能影响结果的偶然事件考虑在内。例如，额外施放某个法术，或是得到/失去某个同伴。
若你在两次长休之间使用两次或更多次的卜筮术，则法术有概率会给出随机的结果。此概率从第二次施展起每次累计25％。具体结果由DM暗骰决定。</t>
  </si>
  <si>
    <t>先祖守卫道途，知识领域，先知</t>
  </si>
  <si>
    <t>树肤术</t>
  </si>
  <si>
    <t>Barkskin</t>
  </si>
  <si>
    <t>一把橡树皮</t>
  </si>
  <si>
    <t>你触碰一个自愿生物，并使目标的皮肤在法术终止前呈现粗糙的树皮状外观。期间目标无论着装何种护甲，其AC将不会降至16以下。</t>
  </si>
  <si>
    <t>自然领域，大地结社森林</t>
  </si>
  <si>
    <t>野兽知觉</t>
  </si>
  <si>
    <t>Beast Sense</t>
  </si>
  <si>
    <t>你触碰一只自愿的野兽。在法术持续时间内，你可以使用动作来将自己的视觉和听觉切换至受术野兽的感官，随后直至你再使用动作来恢复正常的知觉。
通过野兽的感官感知四周时，你还会获得该生物本身具有的特殊感官，不过你对本体周围的状况视为等同于同时陷入目盲和耳聋状态。</t>
  </si>
  <si>
    <t>畜牧龙纹，古鲁反抗者，费尔伯格野兽魔法，图腾武者道途，原始意识</t>
  </si>
  <si>
    <t>目盲/耳聋术</t>
  </si>
  <si>
    <t>Blindness/Deafness</t>
  </si>
  <si>
    <t>你尝试令敌人目盲或耳聋。在施法距离内指定一个你能看见的生物，并迫使其进行一次体质豁免。豁免失败者将在法术持续时间内陷入目盲或耳聋（由你选择）。目标可以在每次自己回合结束时再进行一次体质豁免，豁免成功则法术终止。
升环施法效应：使用三环或更高法术位施展该法术时，你使用的法术位每比二环高一环，就可以多指定一个目标。</t>
  </si>
  <si>
    <t>斯涅布力魔法，死亡领域，孢子结社，邪魔宗主，不朽者，死灵宗主</t>
  </si>
  <si>
    <t>朦胧术</t>
  </si>
  <si>
    <t>Blur</t>
  </si>
  <si>
    <t>你的身影变得模糊，并在别人眼里闪烁不定。在法术持续时间内，任何生物对你发动的攻击检定具有劣势。不依赖视觉（例如盲视）或可以看穿幻象（例如真实视觉）的攻击者免疫此效应。</t>
  </si>
  <si>
    <t>斯涅布力魔法，大地结社荒漠，咒剑士，巨灵宗主水巨灵</t>
  </si>
  <si>
    <t>印记斩</t>
  </si>
  <si>
    <t>Branding Smite</t>
  </si>
  <si>
    <t>你在法术终止前的下一次武器攻击命中某生物时武器闪烁如明星，并对目标额外造成2d6点光耀伤害。如果目标处于隐形状态，则该斩击将使其可见，且因其身上散发出5尺半径的微光而无法隐形，直至该法术终止。
升环施法效应：使用三环或更高法术位施展该法术时，你使用的法术位每比二环高一环，法术的伤害就增加1d6。</t>
  </si>
  <si>
    <t>扎瑞尔，咒剑士，战地匠师</t>
  </si>
  <si>
    <t>安定心神</t>
  </si>
  <si>
    <t>Calm Emotions</t>
  </si>
  <si>
    <t>你试图抑制一群人的强烈情感。指定施法距离内一点，并迫使该点周边半径20尺球状区域内的每个类人生物进行一次魅力豁免。受术生物可以自愿放弃豁免。豁免失败者将由你选择以下两项效应之一对其生效。
你可以选择压制任何使目标受魅惑或恐慌的效应。法术终止时，若被压制效应持续时间仍未完结，则该效应继续生效。
或者，你也可以选择使目标改变对某个你所指定生物的态度，由敌对变为冷漠。如果目标被攻击，或者被有害法术影响，又或者发现其盟友受到损害，则此效应终止。法术终止时，除非DM另行裁决，否则目标的态度恢复敌对。</t>
  </si>
  <si>
    <t>招待龙纹，畜牧龙纹，俄佐立官员，瑟雷尼亚祀徒，救赎圣誓，畸变心智，至高妖精，银毫学生</t>
  </si>
  <si>
    <t>匕首之云</t>
  </si>
  <si>
    <t>Cloud Of Daggers</t>
  </si>
  <si>
    <t>一小片玻璃</t>
  </si>
  <si>
    <t>你在施法距离内指定一点，以该点为中心将一处边长5尺的立方区域充满旋转的匕首。生物在区域内开始其回合，或者在一个回合内第一次进入该区域时将受到4d4的挥砍伤害。
升环施法效应：使用三环或更高法术位施展该法术时，你使用的法术位每比二环高一环，法术的伤害就增加2d4。</t>
  </si>
  <si>
    <t>不灭明焰</t>
  </si>
  <si>
    <t>Continual Flame</t>
  </si>
  <si>
    <t>价值50gp的红宝石粉末，作为该法术的耗材</t>
  </si>
  <si>
    <t>你在所触碰物件上制造如火把一样亮的火焰，使其看上去与一般火焰无异，不过其并不会发热，也不需要燃烧氧气。你可以掩盖或隐藏它，但无法将之闷熄或扑灭。</t>
  </si>
  <si>
    <t>警戒之箭</t>
  </si>
  <si>
    <t>Cordon Of Arrows</t>
  </si>
  <si>
    <t>四支或更多的箭或矢</t>
  </si>
  <si>
    <t>你将四发非魔法的弹药（箭或者弩矢）插在施法距离内的地面并在其上附加魔法让其防御这片区域。直至法术终止前，箭矢将警戒其周围30尺的区域，任何生物在一回合内第一次进入该区域或者在该区域结束其回合时，其中一发箭矢将飞起并射向该生物。该生物必须进行一次敏捷豁免，豁免失败者将受到1d6点穿刺伤害，而射向目标的一发箭矢也将随之被摧毁。当所有箭矢都以该方式摧毁后，法术将随之终止。
施展该法术时，你可以指定任意的生物使法术的警戒效应将其排除在外。
升环施法效应：使用三环或更高法术位施展该法术时，你的法术位每比二环高一环，可生效的弹药数量就增加两发。</t>
  </si>
  <si>
    <t>疯狂冠冕</t>
  </si>
  <si>
    <t>Crown Of Madness</t>
  </si>
  <si>
    <t>你指定施法距离内一名你能看见的类人生物，并迫使该生物进行一次感知豁免，豁免失败则该生物将在法术持续时间内受你魅惑。以该方式被魅惑的生物其头顶上将出现铁质锯齿的扭曲头冠，而其眼神则闪烁着疯狂。
受魅惑目标在其每个回合里，必须在移动前对身边一个你在心中指定的生物发动一次近战攻击。如果你并没有为其指定目标，或者其触及范围内并没有目标，则该生物在本回合里可以按正常状态行动。
施法后你在每个自己回合里必须用你的动作维持对目标的控制，否则法术将提前终止。另外，受术目标还可以在每个自己回合结束时再进行一次感知豁免，豁免成功则法术终止。</t>
  </si>
  <si>
    <t>巴尔泽布，拉铎斯邪教徒，破誓者</t>
  </si>
  <si>
    <t>黑暗术</t>
  </si>
  <si>
    <t>Darkness</t>
  </si>
  <si>
    <t>蝙蝠毛发，以及一滴沥青或一小块煤</t>
  </si>
  <si>
    <t>你在施法距离内指定一点，并在法术持续时间内使魔法的黑暗充斥该点半径15尺的球状区域。该黑暗会绕过拐角扩散，连拥有黑暗视觉的生物也无法看穿这这种黑暗，而非魔法的光照也无法在区域内提供照明。
如果你将法术目标设置于你正持握或未被穿着携带的物件，则黑暗将从物件周围漫出并跟随物件移动。将该物件完全掩盖时（比如用碗或头盔盖住），也会将其漫出的黑暗隔绝。
如果法术区域内有任何二环或更低环阶法术创造的光源，则这些造光的法术将被解除。</t>
  </si>
  <si>
    <t>黑暗精灵，半卓尔精灵，阴影龙纹，提夫林，提夫林变体，莱维斯图斯，大地结社幽暗地域，暗影宗，破誓者，幽影魔法，银毫学生</t>
  </si>
  <si>
    <t>Darkvision</t>
  </si>
  <si>
    <t>一点胡萝卜干或一个玛瑙</t>
  </si>
  <si>
    <t>你触碰一个自愿的生物，并给予其在黑暗中视物的能力。在法术持续时间内，该生物将拥有60尺的黑暗视觉。</t>
  </si>
  <si>
    <t>侦测思想</t>
  </si>
  <si>
    <t>Detect Thoughts</t>
  </si>
  <si>
    <t>一块铜片</t>
  </si>
  <si>
    <t>你在法术持续时间内能读取特定生物的思想。你可以在施展法术时，或者在法术持续时间内以一个动作实现该效应。此时，受术生物必须身处你30尺内并且能被你看见，而你必须对其集中注意力。如果该生物智力为3或更低，或者不懂任何语言，则该生物不受影响。
你最初了解的是该生物的表面想法，一般就是其此刻正想着的东西。你可以使用动作继续深入一个生物的思想，也可以用动作转移读心的目标。如果你继续深入，则目标必须进行一次感知豁免。豁免失败时，你了解到他的逻辑推理（如果有的话）、情绪状态以及他头脑中的一些大事（比如忧虑、挚爱和仇恨的事物）。豁免成功时，本法术终止。无论哪种情况，目标都会知道你正在窥探他的思想。除非你转移注意力到其他生物，否则他可以在其回合内使用动作进行一次智力检定，并与你的智力检定作对抗；生物胜出对抗时，法术终止。
向目标提问可以引导目标的思想历程，因此此法术在审讯中特别有效。
你还能用此法术侦测看不见的有思维生物。你可以在施展法术时，或者在法术持续时间内以一个动作实现该效应。此时，你可以搜寻30尺内的思想。该法术可以穿透大部分障碍，但仍会被2尺厚的石质，或2寸厚的金属质，或一层薄铅质材料所阻隔。你无法侦测到智力为3或更低的生物，也无法侦测不懂任何语言的生物。
以该方式侦测到一个生物后，你可以在法术持续时间内如上文所述的读取其思想。你甚至不需要看见该生物，但其必须在其30尺内。</t>
  </si>
  <si>
    <t>侦测龙纹，迪斯帕特，吉斯泽莱人，底密尔特务，心电感应，畸变心智，旧日支配者</t>
  </si>
  <si>
    <t>强化属性</t>
  </si>
  <si>
    <t>Enhance Ability</t>
  </si>
  <si>
    <t>野兽的毛皮或羽毛</t>
  </si>
  <si>
    <t>你触碰一个生物，并为其附上魔力强化。选择下列效应之一生效，而目标将在法术终止前维持该法术效应：
熊之坚韧：目标进行体质检定时具有优势。目标同时获得2d6的临时生命值，并维持至法术终止。
公牛之力：目标进行力量检定时具有优势，且其负重翻倍。
猫之优雅：目标进行敏捷检定时具有优势。另外，目标在非失能状态下不会因20尺以内的坠落而伤害。
鹰之威仪：目标进行魅力检定时具优势。
狐之狡黠：目标进行智力检定时具有优势。
枭之睿智：目标进行感知检定时具有优势。
升环施法效应：使用三环或更高法术位施展该法术时，你使用的法术位每比二环高一环，就可以多指定一个目标。</t>
  </si>
  <si>
    <t>析米克科学家，力量领域，荣耀圣誓</t>
  </si>
  <si>
    <t>变巨/缩小术</t>
  </si>
  <si>
    <t>Enlarge/Reduce</t>
  </si>
  <si>
    <t>一撮铁粉</t>
  </si>
  <si>
    <t>你使施法距离内一个你能看见的生物或物件的大小发生改变，并在法术持续时间内维持其效应。指定一个生物或一件没有被着装携带的物品，如果目标并非自愿，则其可以进行一次体质豁免，豁免成功则法术无效。
如果目标是生物，则其着装物和携带物的尺寸也随之变化。随后任何从该生物身上脱离的物品都会恢复其正常大小：
变巨：目标身形尺寸变为两倍，重量变为八倍。其体型也因此提高一级，比如中型变为大型。如果目标所处空间不够容纳其变巨后的身形，则该生物或物品在有限空间下会尽可能地达到最大尺寸。在法术终止前，目标进行力量检定和力量豁免时具有优势。目标的武器也会随之变大，而使用这变大的武器发动攻击时，将造成额外1d4的伤害。
缩小：目标身形尺寸变为一半，重量变为八分之一。其体型也因此降低一级，比如中型变为小型。在法术终止前，目标进行力量检定和力量豁免时具有劣势。目标的武器也会随之变小，而使用这变小的武器攻击时，将减少1d4的伤害（不会使伤害值低于1）。</t>
  </si>
  <si>
    <t>灰矮人，析米克科学家，量析学生</t>
  </si>
  <si>
    <t>注目术</t>
  </si>
  <si>
    <t>Enthrall</t>
  </si>
  <si>
    <t>你编排了一段使人分心的话语，并指定施法距离内一个你能看见且可以听到你声音的生物作为法术目标。目标生物必须进行一次感知豁免并成功通过。任何不能被魅惑的生物进行该豁免时直接判定为豁免成功。如果你或你的同伴正在和该生物战斗，则其进行该豁免时具有优势。豁免失败时，目标对除你以外其他生物进行的感知（察觉）检定具有劣势，直到法术终止或目标听不到你为止。如果你陷入失能状态或不能再说话，则该法术终止。</t>
  </si>
  <si>
    <t>提夫林变体，欧佐夫议员，拉铎斯邪教徒</t>
  </si>
  <si>
    <t>召唤坐骑</t>
  </si>
  <si>
    <t>Find Steed</t>
  </si>
  <si>
    <t>你召唤一只拥有超凡智力、力量和忠诚的灵体作为坐骑，同时与其立长期的契约。坐骑显现在施法距离内未被占据的空间，其外形由你从以下形态中选择：战马、矮种马、骆驼、驼鹿、獒犬（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坐骑在你身边1里内时，你可以与其以心灵感应的方式互相交流。
你不能用该法术同时拥有一匹以上的坐骑，你可以随时用一个动作将坐骑从契约中解放，并使其消失不见。</t>
  </si>
  <si>
    <t>寻找陷阱</t>
  </si>
  <si>
    <t>Find Traps</t>
  </si>
  <si>
    <t>你感测到施法距离范围内，且在你视线范围内的任何陷阱。该法术的目标“陷阱”包括任何可能引发的，对你有害或对你构成妨碍的突发性意外效应，而其性质也正是其创作者的意图。因此该法术可以感测警报术和守卫刻文的效应区域，也可以发现某个陷坑型机械陷阱。不过它不能揭示地板的某处脆弱点，或天花板的某处不稳定位置，又或是某个隐藏的阴沟。
该法术只单纯揭示陷阱的存在。你并不能以此一一定位每个存在的陷阱，不过你可以知晓所感测到陷阱其能够构成危害的大致形式。</t>
  </si>
  <si>
    <t>火焰刀</t>
  </si>
  <si>
    <t>Flame Blade</t>
  </si>
  <si>
    <t>漆树的叶子</t>
  </si>
  <si>
    <t>你在一只空闲的手上召唤出一把炽热的刀刃。该到刀刃的尺寸和形状近似于一把弯刀并在法术持续时间内维持存在。当你放下刀刃时其将消失不见，但你可以用一个附赠动作重新将其唤出。
你可以用你的动作以该热刃发动一次近战法术攻击。若命中，则目标受到3d6点火焰伤害。
烈焰刀向周围提供半径10尺的明亮光照，以及该范围外10尺的微光光照。
升环施法效应：使用三环或更高法术位施展该法术时，你使用的法术位每比二环高两环，其伤害就增加1d6。</t>
  </si>
  <si>
    <t>墨菲斯托菲利斯，火元素裔</t>
  </si>
  <si>
    <t>炽焰法球</t>
  </si>
  <si>
    <t>Flaming Sphere</t>
  </si>
  <si>
    <t>一小块兽脂、一小撮硫磺石和少量铁粉</t>
  </si>
  <si>
    <t>一个直径5尺的球状火焰显现在施法距离内你指定的一处未被占据空间，并在法术持续时间内维持存在。任何生物在火球周围5尺内结束其回合时必须进行一次敏捷豁免。豁免失败者将受到2d6点火焰伤害，豁免成功则伤害减半。
你可以用一个附赠动作将火球移动30尺。如果你将火球推向某生物，则该生物必须进行抵抗火球伤害的豁免，而火球在该回合内停止移动。
移动火球时，你可以指引它越过不高于5尺的障碍，或者越过不宽过10尺的陷坑。火球将点燃任何未被着装或携带的可燃物件，并向其周围散发出半径20尺的明亮光照，以及该范围外20尺的微光光照。
升环施法效应：使用三环或更高法术位施展该法术时，你使用的法术位每比二环高一环，其伤害就增加1d6。</t>
  </si>
  <si>
    <t>拉铎斯邪教徒，光明领域，野火结社，天界宗主，炼金师，粹丽学生</t>
  </si>
  <si>
    <t>遗体防腐</t>
  </si>
  <si>
    <t>Gentle Repose</t>
  </si>
  <si>
    <t>一撮盐，以及尸体每只眼睛上必须放置的铜币，铜币必须在法术持续时间内一直保留在眼睛上</t>
  </si>
  <si>
    <t>你触碰一具尸体或其他遗骸。目标将在法术持续时间内受保护并免于腐烂且无法转变为不死生物。
该法术同样可以有效的延长复活目标的时间限制，因为受该法术影响下度过的时间不计入法术如死者复活的时间限制内。</t>
  </si>
  <si>
    <t>坟墓领域，孢子结社</t>
  </si>
  <si>
    <t>造风术</t>
  </si>
  <si>
    <t>Gust Of Wind</t>
  </si>
  <si>
    <t>一粒豆科植物的种子</t>
  </si>
  <si>
    <t>在法术持续时间内，一道长60尺，宽10尺的线状强风从你吹向你指定的方向。每个在线状区域内开始其回合的生物必须进行一次力量豁免，豁免失败则沿着风向被推开15尺。
任何生物在线状区域内向你移动时，其每移动1尺必须花费2尺的移动力。
强风吹散区域内的毒气或雾气，并吹熄蜡烛、火把及不受保护的其他类似火焰。而有保护的火焰（比如提灯）则会剧烈摇晃并有50%的机率被吹熄。
在法术终止前，你可以在自己回合内以一个附赠动作改变线状风道的方向。</t>
  </si>
  <si>
    <t>暴风龙纹，梭螺鱼人，风暴领域，四象宗，巨灵宗主气巨灵，深海意志，阿兰寇拉鹰人</t>
  </si>
  <si>
    <t>灼热金属</t>
  </si>
  <si>
    <t>Heat Metal</t>
  </si>
  <si>
    <t>一片铁片和一团火焰</t>
  </si>
  <si>
    <t>指定施法距离内一件你能看见的人造金属物件（例如一把金属武器，或者一套金属质的重甲或中甲），并使该物件变得炽热。施展该法术时，任何与该物件有物理接触的生物均受到2d8的火焰伤害。直到法术终止前，施法在随后的每个回合中，你都可以使用一个附赠动作再次造成该伤害。
如果握持或着装该物件的生物因此受到伤害，则该生物必须进行一次体质豁免。豁免失败者在无其他条件影响时将丢下该物件。如果该物件没有被丢下，则直至你的下一回合开始为止，该生物进行攻击检定和属性检定时具有劣势。
升环施法效应：使用三环或更高法术位施展该法术时，你使用的法术位每比二环高一环，伤害就增加1d8。</t>
  </si>
  <si>
    <t>伊捷工程师，锻造领域</t>
  </si>
  <si>
    <t>人类定身术</t>
  </si>
  <si>
    <t>Hold Person</t>
  </si>
  <si>
    <t>一片直的小铁片</t>
  </si>
  <si>
    <t>指定施法距离内一个你能看见的类人生物。该目标必须进行一次感知豁免，豁免失败则其在法术持续时间内陷入麻痹。目标在其每回合结束时可以再进行一次感知豁免，豁免成功则终止其身上该法术的效应。
升环施法效应：使用三环或更高法术位施展该法术时，你使用的法术位每比二环高一环，你就可以额外指定一个类人生物。指定目标时，每个目标生物必须身处其他目标30尺范围内。</t>
  </si>
  <si>
    <t>俄佐立官员，秩序领域，大地结社极地，四象宗，复仇圣誓，征服圣誓，救赎圣誓</t>
  </si>
  <si>
    <t>隐形术</t>
  </si>
  <si>
    <t>Invisibility</t>
  </si>
  <si>
    <t>一根包裹在阿拉伯胶中的睫毛</t>
  </si>
  <si>
    <t>你触碰的一个生物变为隐形并维持至法术终止。目标的穿着物和携带物只要保持在其身上也随之保持隐形状态。如果目标发动攻击或施展法术，则该法术终止。
升环施法效应：使用三环或更高的法术位施展该法术时，你使用的法术位每比二环高一环就可以额外指定一个目标。</t>
  </si>
  <si>
    <t>灰矮人，阴影龙纹，苍白精灵，格莱西雅，影界触碰，大地结社草原，暗影寿衣</t>
  </si>
  <si>
    <t>敲击术</t>
  </si>
  <si>
    <t>Knock</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</si>
  <si>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若你指定的目标被法术秘法锁锁住，则该秘法锁被压制10分钟，这段时间内目标可被正常开启和关闭。
施展该法术时，受术目标会发出一声响亮的敲击声，其声响最远300尺内都能听见。</t>
  </si>
  <si>
    <t>次级复原术</t>
  </si>
  <si>
    <t>Lesser Restoration</t>
  </si>
  <si>
    <t>你触碰一个生物，并终止正影响它的一项疾病或一种状态。该状态可以是目盲，耳聋，麻痹或中毒其一。</t>
  </si>
  <si>
    <t>医疗龙纹，生命领域，奉献圣誓，时械之魂，天界宗主，炼金师，靡华学生</t>
  </si>
  <si>
    <t>浮空术</t>
  </si>
  <si>
    <t>Levitate</t>
  </si>
  <si>
    <t>一个小皮圈，或者一段弯成长柄杯状的金线</t>
  </si>
  <si>
    <t>指定施法距离内你能看见的一个生物或松散放置的物件，使其垂直上升至多20尺，并在该处维持悬浮直至持续时间结束。该法术可悬浮一个重量至多500磅的目标。一个非自愿的生物可以对法术进行一次体质豁免以避免受其影响。
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动作来移动目标，但目标必须始终处于你的施法距离内。
法术终止时，仍处于空中的目标会缓缓飘落到地面。</t>
  </si>
  <si>
    <t>暴风龙纹，气元素裔，高等卓尔魔法，狂野魔法浪涌，星移步法</t>
  </si>
  <si>
    <t>动植物定位术</t>
  </si>
  <si>
    <t>Locate Animals Or Plants</t>
  </si>
  <si>
    <t>一块寻血猎犬的皮毛</t>
  </si>
  <si>
    <t>你点名或描述一种兽类或植物，并专注于附近的自然之音。如果5里内存在该类生物，你将知晓其中最接近个体与你的相对方位和距离。</t>
  </si>
  <si>
    <t>物件定位术</t>
  </si>
  <si>
    <t>Locate Object</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</si>
  <si>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</si>
  <si>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该法术可定位一个你认识的特定物件，不过你需要在30尺内近距离看到过该物件至少一次；或者它也可定位特定的一类物件（如某种服装、珠宝、家具、工具或武器）中距你最近个体。
如果有任意厚度的铅，即使只是薄薄一片铅片阻挡了你与被定位物件间的通路，则该物件也无法被该法术所定位。</t>
  </si>
  <si>
    <t>探索龙纹，衡鉴学生</t>
  </si>
  <si>
    <t>魔嘴术</t>
  </si>
  <si>
    <t>Magic Mouth</t>
  </si>
  <si>
    <t>一小块蜂窝和至少价值10gp的翡翠粉，作为该法术的耗材</t>
  </si>
  <si>
    <t>你将一段信息植入施法距离内的一个物件中，其信息会在满足预设条件时说出。指定一个你能看见且未被另一生物穿着或携带的物件。然后，你可以使用至多10分钟来传达这段不超过25个单词的信息。最后再来设定触发法术传达信息的事件。
预设的事件发生时，目标物件上的魔法将形成一张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
你所决定的触发条件可以很概括也可以很具体，不过你只能根据目标物件30尺内的视觉或听觉状况来设定条件。例如，你可以命令魔嘴在任何生物移动至物件30尺内时说出信息，或者当其30尺内有银铃响起时说出信息。</t>
  </si>
  <si>
    <t>魔化武器</t>
  </si>
  <si>
    <t>Magic Weapon</t>
  </si>
  <si>
    <t>你触碰一件非魔法武器，并使其在法术持续时间内成为魔法武器。该武器进行攻击检定和伤害掷骰时具有+1加值。
升环施法效应：使用四环或更高法术位施展该法术时，加值增加至+2。使用六环或更高法术位施展该法术时，加值增加至+3。</t>
  </si>
  <si>
    <t>创造龙纹，战争领域，奥秘领域，锻造领域，热忱领域，荣耀圣誓</t>
  </si>
  <si>
    <t>马友夫强酸箭</t>
  </si>
  <si>
    <t>Melf's Acid Arrow</t>
  </si>
  <si>
    <t>磨碎的大黄叶和一只蝰蛇的胃囊</t>
  </si>
  <si>
    <t>一支闪烁的绿色箭矢疾速的飞向一个施法距离内的目标，并爆散成强酸水雾。法术对目标发动一次远程法术攻击。若命中，则目标立即受到4d4点强酸伤害，并在其下一回合结束时再受到2d4点强酸伤害。若未命中，则酸液箭矢溅射到了目标，造成初始伤害一半的伤害，并且不会在下一回合结束时造成伤害。
升环施法效应：使用三环或更高法术位施展该法术时，你使用的法术位每比二环高一环，其初始伤害和后续伤害就各增加1d4。</t>
  </si>
  <si>
    <t>大地结社幽暗地域，炼金师</t>
  </si>
  <si>
    <t>镜影术</t>
  </si>
  <si>
    <t>Mirror Image</t>
  </si>
  <si>
    <t>三个你自身的幻象分身出现在你的位置上。直至法术终止前，分身都会随你移动，并模仿你的动作和位置变换，使人无法追踪判断哪一个是你的真身。分身存在时，你可以用动作来解散这些幻象分身。
在法术持续时间内，每当一个生物以你为攻击目标时，掷一次d20决定该次攻击击中的是否其中一个分身。
如果你有三个分身，则你必须掷出6或更高数值才能使目标的攻击命中分身。如果你有两个分身，则你必须掷出8或更高数值。如果你有一个分身，则你必须掷出11或更高数值。
分身的AC等于10+你的敏捷调整值。单次攻击命中分身时相应分身立即被摧毁。分身会被一发命中它的攻击摧毁，且无视所有其他的伤害和效应。三个分身全部被毁后该法术终止。
如果一个生物无法视物，或者它可以依靠视觉之外的其它感官（例如盲视），又或者它可以如同真实视觉一样洞察幻象，则该法术无法影响该生物。</t>
  </si>
  <si>
    <t>诡术领域，野心领域，大地结社海岸，狂野魔法浪涌，装甲师</t>
  </si>
  <si>
    <t>迷踪步</t>
  </si>
  <si>
    <t>Misty Step</t>
  </si>
  <si>
    <t>你短暂地被银白的雾气所笼罩，传送到至多30尺内一个你能看见且未被占据的位置。</t>
  </si>
  <si>
    <t>通行龙纹，吉斯洋基人，精类位移，精类触碰，大地结社海岸，古贤圣誓，复仇圣誓，边界行者，妖精漫游者</t>
  </si>
  <si>
    <t>月华之光</t>
  </si>
  <si>
    <t>Moonbeam</t>
  </si>
  <si>
    <t>几粒月籽藤种子和一块乳白色的长石</t>
  </si>
  <si>
    <t>指定施法距离内一点，以该点为中心半径5尺、高40尺的柱状区域内沐浴在一束淡淡的银光中。直至法术终止前，柱状区域内充满微光光照。
生物在一个回合内第一次进入该区域，或在该区域内开始其回合时，将被幽灵般的火焰吞噬并引起剧烈的灼痛。该生物必须进行一次体质豁免，豁免失败则受到2d10的光耀伤害，豁免成功则伤害减半。
变形生物进行该豁免时具有劣势，而如果它豁免失败，则将立即恢复其原始形态，而它离开该法术的光照前都无法变形成其他形态。
你在施展该法术后的每个自己回合内可以用一个动作将华光向任意方向移动至多60尺。
升环施法效应：使用三环或更高法术位施展该法术时，你使用的法术位每比二环高一环，其伤害就增加1d10。</t>
  </si>
  <si>
    <t>暮光领域，古贤圣誓，守望圣誓</t>
  </si>
  <si>
    <t>涅斯图魔法灵光</t>
  </si>
  <si>
    <t>Nystul's Magic Aura</t>
  </si>
  <si>
    <t>一小块方形丝绸</t>
  </si>
  <si>
    <t>你在触及的一个生物或一个物件身上设置一个幻术，使得预言法术会揭示出关于该目标的错误信息。目标可以是一个自愿的生物，或者是一个未被其他生物着装或携带的物件。
施展此法术时，你选择下列效应中的一个或两个。效应在持续时间内一直存在。如果你每天都对同一个生物或物件施展此法术且每次都选择相同的效应，持续30天，幻术就会一直存在直到被解除：
虚假灵光：针对目标的灵光侦测法术和魔法效应（例如法术侦测魔法）将显示不同的信息。你可以使一个非魔法物件显示出魔法，一个魔法物件显示出非魔法；或者改变物件的魔法灵光，使其显示出由你选择的特定魔法学派的灵光。当你对物件设置该效应时，你可以使这种虚假的魔法向任何使用此物品的生物显示出来。
伪装：针对目标生物类别的侦测法术和魔法效应（例如圣武士的“神圣感知”，或法术徽记术的触发条件）将显示不同的信息。你选择一种生物类别，其他法术和魔法效应将会认为目标生物属于该类别或者属于该类别所属阵营。</t>
  </si>
  <si>
    <t>行动无踪</t>
  </si>
  <si>
    <t>Pass Without Trace</t>
  </si>
  <si>
    <t>一片槲寄生叶子烧成的灰和一小枝云杉</t>
  </si>
  <si>
    <t>阴影和沉默的幕障从你身上辐射而出，并隔绝任何对你和你的同伴进行的探测。你指定自身30尺内的若干生物（包括你自己）。在法术持续时间内，目标生物进行敏捷（隐匿）检定时具有+10加值，且不能被魔法手段以外的方式追踪。拥有该加值的生物走过某处时不会留下足印或其他踪迹。</t>
  </si>
  <si>
    <t>阴影龙纹，通行龙纹，土元素裔，底密尔特务，木精灵魔法，诡术领域，大地结社草原，暗影宗</t>
  </si>
  <si>
    <t>魅影之力</t>
  </si>
  <si>
    <t>Phantasmal Force</t>
  </si>
  <si>
    <t>一点羊毛</t>
  </si>
  <si>
    <t>你指定施法距离内一个你能够看见的生物，并创造一个根植于其意识的幻象。该目标必须进行一次智力豁免。豁免失败时，你创造出一个不大于10尺立方且只能被目标感知到的幻影物件，生物或其他你指定的可见现象。该创造将持续存在直至法术终止。且该法术对不死生物和构装生物无效。
该幻象包括声音、温度和其他反应因素，同样只对目标显现。
目标可以用其动作进行一次对抗该法术豁免DC的智力（调查）检定来检查这个幻象。检定成功则目标意识到该幻象是一个幻术，法术随即终止。
目标受法术影响时会认定幻象是真实的，并且会合理化任何与幻象产生的不合逻辑的互动结果。例如，某个受术生物试图走过一座跨越峡谷的幻影桥时踏出第一步就从桥上坠落。如果目标在坠落中幸存，它会仍然相信该桥是真实存在的，并且会提出自己坠落的一些其他解释——比如被推了一把，自己滑倒了，或者可能有一阵强风把他吹了下来。
受法术影响的目标对幻象的真实性深信不疑，甚至还会受到幻象的直接伤害。一个生物模样的幻象可以攻击目标。比如，显现为火焰，酸池或岩浆的幻象能够烧伤目标。在你的每一回合，如果目标在幻象的伤害区域内或在其显现的生物周边5尺攻击范围内，则幻象可以对目标造成1d6点心灵伤害。而此时目标则会感觉该伤害与幻象所显现的类型相符。</t>
  </si>
  <si>
    <t>至高妖精，旧日支配者，巨灵宗主，死灵宗主</t>
  </si>
  <si>
    <t>治疗祷言</t>
  </si>
  <si>
    <t>Prayer Of Healing</t>
  </si>
  <si>
    <t>你指定施法距离内至多六个你能看见的生物，并使其每人恢复2d8+你施法关键属性调整值的生命值。该法术对不死生物和构装体不产生任何效应。
升环施法效应：当你使用三环或更高法术位施展该法术时，你使用的法术位每比二环高一环，治疗量就增加1d8。</t>
  </si>
  <si>
    <t>防护毒素</t>
  </si>
  <si>
    <t>Protection From Poison</t>
  </si>
  <si>
    <t>你触碰一个生物。如果处于中毒状态，则中和其所受毒素。如果目标身上具有超过一种毒素，则选择你所了解一种或随机选择其一进行中和。
在法术持续时间内，目标对抗中毒所豁免具有优势，并且对毒素伤害具有抗性。</t>
  </si>
  <si>
    <t>葛加理成员</t>
  </si>
  <si>
    <t>衰弱射线</t>
  </si>
  <si>
    <t>Ray Of Enfeeblement</t>
  </si>
  <si>
    <t>你从指尖射出一道让人衰弱的黑色能量射线并射向施法距离内的一个生物。你对目标进行一次远程法术攻击。若命中，则目标在法术终止前，其使用基于力量的武器进行攻击时只造成一半伤害。
目标在其每回合结束时可以进行一次对抗该法术的体质豁免。豁免成功则法术终止。</t>
  </si>
  <si>
    <t>葛加理成员，欧佐夫议员，死亡领域，坟墓领域，野心领域</t>
  </si>
  <si>
    <t>魔绳术</t>
  </si>
  <si>
    <t>Rope Trick</t>
  </si>
  <si>
    <t>玉米粉和一卷羊皮纸绞成得纸圈</t>
  </si>
  <si>
    <t>你触碰一段长度不超过60尺的绳子。绳的一端会向上升起，直到整条绳索都垂直于地面挂在空中。绳子的上端存在一个隐形的入口，其通往一个法术持续时间内一直存在的异次元空间。
该异次元空间可以从绳子的顶端进入，其内至多可容纳八个中型或更小的生物。魔绳可以被拉回到此空间里，此时从异次元空间外面就再看不到这条绳索。
攻击和法术都无法从异次元空间的入口进出，但空间内的生物可以通过入口看到外面的景象，就如同在绳索的位置有一个3尺×5尺大小的窗口一样。
法术终止时，异次元空间内的一切东西都会掉出来。</t>
  </si>
  <si>
    <t>伊捷工程师，幽域追踪者</t>
  </si>
  <si>
    <t>灼热射线</t>
  </si>
  <si>
    <t>Scorching Ray</t>
  </si>
  <si>
    <t>你创造出三道火焰的射线，随即将其射向施法距离内的目标。你可以把全部射线对准同一个目标，也可以瞄准不同目标。每道射线需要你分别进行一次远程法术攻击。若命中，则目标受到2d6点火焰伤害。
升环施法效应：使用三环或更高法术位施展该法术时，使用的法术位每比二环高一环，你就能多创造出一道射线。</t>
  </si>
  <si>
    <t>波洛斯军团兵，光明领域，野火结社，邪魔宗主，巨灵宗主火巨灵，魔炮师</t>
  </si>
  <si>
    <t>识破隐形</t>
  </si>
  <si>
    <t>See Invisibility</t>
  </si>
  <si>
    <t>一撮滑石粉和少量银粉</t>
  </si>
  <si>
    <t>你能在法术持续时间内能看见任何隐形的生物和物件，如同其处于正常可见状态一样。你还能够看见以太位面，以太位面的生物和物件在你眼中会以幽灵般的半透明形状显现。</t>
  </si>
  <si>
    <t>侦测龙纹，暮光领域，守望圣誓</t>
  </si>
  <si>
    <t>粉碎音波</t>
  </si>
  <si>
    <t>Shatter</t>
  </si>
  <si>
    <t>一片云母</t>
  </si>
  <si>
    <t>你指定施法距离内一点，并在其上忽然爆发一阵震耳欲聋的噪音。以该点为中心半径10尺球状区域内的所有生物必须要进行一次体质豁免。豁免失败者将受到3d8点雷鸣伤害；豁免成功则伤害减半。以无机物质（如石头，水晶或金属）构成的生物进行该豁免时具有劣势。
如果法术的范围内有一个不被任何生物着装携带的非魔法物件，则它也要受到该伤害。
升环施法效应：使用三环或更高法术位施展该法术时，使用的法术位每比二环高一环，法术伤害就增加1d8。</t>
  </si>
  <si>
    <t>古鲁反抗者，风暴领域，热忱领域，四象宗，魔炮师，装甲师</t>
  </si>
  <si>
    <t>沉默术</t>
  </si>
  <si>
    <t>Silence</t>
  </si>
  <si>
    <t>你指定施法距离内一点，以该点为中心半径20尺的球状区域在法术持续时间内将无法产生任何声音，且外界的声音也无法进入该区域内。任何完全位于该区域内的生物和物件都将免疫雷鸣伤害，而任何生物在完全位于该区域内时都将陷入耳聋。此外，该区域内无法施展需要言语成分的法术。</t>
  </si>
  <si>
    <t>抄录龙纹，大地结社荒漠，暗影宗，不朽者，深海意志</t>
  </si>
  <si>
    <t>蛛行术</t>
  </si>
  <si>
    <t>Spider Climb</t>
  </si>
  <si>
    <t>一滴沥青和一只蜘蛛</t>
  </si>
  <si>
    <t>你触碰一个自愿的生物，并使其在法术终止前能够在垂直表面上下或横向移动，其甚至可以在天花板上倒挂着移动而不需要用到双手。另外，目标获得与步行速度相等的攀爬速度。</t>
  </si>
  <si>
    <t>葛加理成员，大地结社森林，大地结社山地，大地结社沼泽</t>
  </si>
  <si>
    <t>荆棘丛生</t>
  </si>
  <si>
    <t>Spike Growth</t>
  </si>
  <si>
    <t>七根棘刺或七根嫩枝，每根都要削尖</t>
  </si>
  <si>
    <t>以施法距离内一点为中心周围20尺的地面扭曲变形，大片坚硬的棘刺破土而出。该区域在法术持续时间内视为困难地形。而生物进入该区域或在其中移动时，其每移动5尺就要受到2d4点穿刺伤害。
法术导致的地面变形经过刻意的掩饰，使其看起来并无异样。如果生物在你施展该法术时不能看见该区域，则它必须进行一次感知（察觉）检定，检定成功则能发现该区域隐藏的危险。</t>
  </si>
  <si>
    <t>莲源半身人，自然领域，大地结社极地，大地结社山地，巨灵宗主土巨灵</t>
  </si>
  <si>
    <t>灵体武器</t>
  </si>
  <si>
    <t>Spiritual Weapon</t>
  </si>
  <si>
    <t>你在施法距离内的一点创造出一把浮空的虚幻武器，并使其持续到法术持续时间结束或你再次施展该法术为止。施展该法术时，你可以对该武器周围5尺内的一个生物发动一次近战法术攻击。若命中，则目标受到1d8+你的施法关键属性调整值的力场伤害。
你可以在自己回合内以一个附赠动作让该武器移动至多20尺，并再对它周围5尺内的一个生物发动一次同样的攻击。
该武器的外形由你决定。而如果施法的牧师侍奉的是一位和特定武器有关的神祇（例如圣库斯伯特的钉头锤、托尔的锤子），则该法术创造出武器的外形与该武器类似。
升环施法效应：使用三环或更高法术位施展该法术时，你使用的法术位每比二环高两环，法术的伤害就增加1d8。</t>
  </si>
  <si>
    <t>生命领域，战争领域，征服圣誓</t>
  </si>
  <si>
    <t>暗示术</t>
  </si>
  <si>
    <t>Suggestion</t>
  </si>
  <si>
    <t>一条蛇舌，加上一小块蜂巢或一滴甜油</t>
  </si>
  <si>
    <t>你以魔法影响施法距离内一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该目标必须进行一次感知豁免，豁免失败者将尽其所能地从事你所描述的行为。你所暗示的行为可能会在法术持续时间内始终一直进行。而如果你所暗示的活动可以用更短的时间完成，则此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若你或你同伴中任何人伤害了受术者，则该法术随即终止。</t>
  </si>
  <si>
    <t>菲尔娜，纯种蛇人，知识领域</t>
  </si>
  <si>
    <t>守护之链</t>
  </si>
  <si>
    <t>Warding Bond</t>
  </si>
  <si>
    <t>一对单个价值至少50gp的铂金戒指，并由你和目标在法术持续时间内一直佩戴</t>
  </si>
  <si>
    <t>你触碰一个自愿的生物，并让该法术的魔力保护它。该法术在你和目标之间建立一种神秘的连接，并一直持续至法术终止。目标位于你身边60尺内时，其AC和豁免检定具有+1加值，且对所有伤害具有抗性。此外，每当目标受到伤害时，你也会受到同样的伤害。
如果你的生命值降至0，或你与目标距离超过60尺，则该法术终止。如果该法术被再次施放于两个已被连接生物中的任意一方，则原法术即时终止。你还可以用一个动作主动解除该法术。</t>
  </si>
  <si>
    <t>守护龙纹，瑟雷尼亚祀徒，和平领域，团结领域，王冠圣誓，战地匠师</t>
  </si>
  <si>
    <t>蛛网术</t>
  </si>
  <si>
    <t>Web</t>
  </si>
  <si>
    <t>少量蜘蛛网</t>
  </si>
  <si>
    <t>你在施法距离内指定一点，并召唤出一大片粘厚的网状物。蛛网覆盖以该点为源点的20尺立方区域，并在法术持续时间内维持存在。蛛网使该区成为困难地形并造成轻度遮蔽。
如果蛛网没有被固定在两个固体中间（例如墙和树）或跨在一片地板、墙壁、天花板中间，则你召唤出的蛛网会自动坍塌，而导致法术在你的下一回合开始时终止。摊在平面上的蛛网深度为5尺。
任何在蛛网中开始其回合或在其回合中进入蛛网的生物必须进行一次敏捷豁免。豁免失败者将被束缚在网中，直至其离开蛛网或挣脱束缚。
被蛛网束缚的生物可以用一个动作尝试挣脱。该生物必须进行一次对抗法术豁免DC的力量检定，检定成功则不再被束缚。
这些蛛网都是可燃物。每5尺立方的蛛网触及明火时将在1轮内被烧尽。而任何在燃烧区域内开始其回合的生物将因此受2d4点火焰伤害。</t>
  </si>
  <si>
    <t>大地结社沼泽，集群守卫</t>
  </si>
  <si>
    <t>诚实之域</t>
  </si>
  <si>
    <t>Zone Of Truth</t>
  </si>
  <si>
    <t>你创造一个抵御谎言的魔法区域，该区域以施法距离内一点为中心，覆盖该点周边15尺半径的球状区域。在法术终止前，生物在其回合内第一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受影响的生物可以意识到该效果的存在，因此它可以主动回避回答那些通常会以谎言答复的问题。该生物在回答问题时可以闪烁其词、避重就轻，但只要不超出实话的范围就没有问题。</t>
  </si>
  <si>
    <t>守护龙纹，欧佐夫议员，秩序领域，奉献圣誓，王冠圣誓，怪物杀手</t>
  </si>
  <si>
    <t>阿迦纳萨喷火术</t>
  </si>
  <si>
    <t>Aganazzar's Scorcher</t>
  </si>
  <si>
    <t>一片红龙的鳞片</t>
  </si>
  <si>
    <t>一道长30尺，宽5尺的翻涌火线从你向一个你选定的方向蔓延。在该线中的生物必须进行一次敏捷豁免检定。豁免失败的生物受到3d8点火焰伤害，而豁免成功则只受到上述伤害的一半。
升环施法效应：当你使用三环或更高的法术位施放该法术时，使用的法术位每高一环，伤害便增加1d8。</t>
  </si>
  <si>
    <t>龙息术</t>
  </si>
  <si>
    <t>Dragon'S Breath</t>
  </si>
  <si>
    <t>一枚辣椒</t>
  </si>
  <si>
    <t>你触碰一个自愿生物，使它能喷吐出魔法能量，只要它拥有一张嘴。选择强酸、寒冷、火焰、闪电或毒素中的一种。直到法术结束前，生物可以使用一个动作放射出15尺锥形的对应能量。区域内的每个生物必须进行敏捷豁免检定，若失败将受到3d6对应能量类型的伤害，成功则只承受一半。
升环施法效应：当你使用三环或更高的法术位施放该法术时，使用的法术位每高一环，伤害就增加1d6。</t>
  </si>
  <si>
    <t>尘土恶魔</t>
  </si>
  <si>
    <t>Dust Devil</t>
  </si>
  <si>
    <t>一捧尘土</t>
  </si>
  <si>
    <t>选择距离之内，你能看见的一个5尺立方的，未被占据的空气。一股元素，外观如同尘卷风，出现在那里，并在法术的持续时间内持续存在。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重度遮蔽了所在区域。
升环施法效应：当你使用三环或更高的法术位施放该法术时，使用的法术位每高一环，伤害便增加1d8。</t>
  </si>
  <si>
    <t>地缚</t>
  </si>
  <si>
    <t>Earthbind</t>
  </si>
  <si>
    <t>选择距离内你能够看到的一个生物。黄色的魔法能量线缠绕着该生物。该目标必须通过一次力量豁免检定，否则其飞行速度（若有的话）在法术的持续时间内降为0尺。受到此法术影响的飞行中的生物以每回合60尺的速度安全降落，直到其撞到地面或法术终结。</t>
  </si>
  <si>
    <t>治愈之魂</t>
  </si>
  <si>
    <t>Healing Spirit</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</si>
  <si>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
精魂总共能治愈（1+你的施法关键属性调整值）的次数，最低2次。当治愈完这个次数后，精魂就会消失。
在你的回合中以一个附赠动作，你可以移动精魂30尺至你可以看见的另一个空间。
升环施法效应：当你使用三环或更高的法术位施放该法术时，使用的法术位每高一环，治疗值就增加1d6点。</t>
  </si>
  <si>
    <t>麦克斯米利安的地之攫</t>
  </si>
  <si>
    <t>Maximilian's Earthen Grasp</t>
  </si>
  <si>
    <t>一个由陶土雕塑成的手的模型</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</si>
  <si>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</si>
  <si>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心灵尖刺</t>
  </si>
  <si>
    <t>Mind Spike</t>
  </si>
  <si>
    <t>你接触施法距离内一个你可见生物的内心。目标必须进行感知豁免检定，若失败会受到3d8精神伤害，成功则只承受一半。在目标豁免失败时，你在法术结束之前能时刻得知目标所在的位置，只要你们还处于同一位面上。当你拥有这个信息时，目标将不能对你躲藏，并且如果它隐形了，在对抗你时它不能从这个状态中受益。
升环施法效应：当你使用三环或更高的法术位施放该法术时，使用的法术位每高一环，伤害就增加1d8。</t>
  </si>
  <si>
    <t>烟火</t>
  </si>
  <si>
    <t>Pyrotechnics</t>
  </si>
  <si>
    <t>选择距离之内，你能看见的一处占满5立方尺区域的非魔法火焰。你可以熄灭区域内的火焰，或者你可以制造出焰火或浓烟：
焰火：目标伴随着炫目的彩色光芒爆炸。在目标周围10尺范围内的生物必须通过一次体质豁免检定，否则在直到你的下个回合结束前的时间里处于目盲状态。
浓烟：目标散发出浓重的黑烟，蔓延在20尺半径的区域内，可绕过角落。烟雾所在的区域处于重度遮蔽状态。浓烟将持续1分钟或直到被强风吹散。</t>
  </si>
  <si>
    <t>幽影刃</t>
  </si>
  <si>
    <t>Shadow Blade</t>
  </si>
  <si>
    <t>你将幽影交织成手中实化的剑。该魔法剑持续到法术结束。它被视为你具有熟练项的简易近战武器，命中时造成2d8精神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升环施法效应：当你用三四环施放该法术时，其伤害增加到3d8。五六环时增加到4d8。七环或以上则增加到5d8。</t>
  </si>
  <si>
    <t>写入空中</t>
  </si>
  <si>
    <t>Skywrite</t>
  </si>
  <si>
    <t>你令你能看见的天空中的一个部分出现至多10个字。文字看起来是由云彩构成的，并在法术的持续时间内留在原位。文字将会在法术终结时消失。强风可以吹散云彩，令法术提前终止。</t>
  </si>
  <si>
    <t>史尼洛雪球群</t>
  </si>
  <si>
    <t>Snilloc's Snowball Swarm</t>
  </si>
  <si>
    <t>一块冰或一小块白色岩石碎片</t>
  </si>
  <si>
    <t>在距离之内的，一个由你指定的点上，大量的魔法雪球喷涌而出。以该点为中心，5尺半径的球形区域内的所有生物必须进行一次敏捷豁免检定。检定失败则受到3d6点伤害，成功者只受到上述伤害的一半。
升环施法效应：当你使用三环或更高的法术位施放该法术时，使用的法术位每高一环，伤害便增加1d6。</t>
  </si>
  <si>
    <t>守护之风</t>
  </si>
  <si>
    <t>Warding Wind</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</si>
  <si>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</si>
  <si>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梭螺鱼人深海魔法</t>
  </si>
  <si>
    <t>命运宠儿</t>
  </si>
  <si>
    <t>Fortune's Favor</t>
  </si>
  <si>
    <t>一颗至少价值100GP的白色珍珠，在施法时被消耗</t>
  </si>
  <si>
    <t>你给予你自己或施法距离内你可见的一个自愿生物以潜藏的幸运。在法术结束之前，当被选中的生物进行一次攻击检定，属性检定或者豁免检定时，他能够使这个法术结束并扔一颗额外的D20骰，并决定使用哪一颗D20。或者，当这个生物成为一个攻击检定的目标时，他能够使这个法术结束并扔一颗额外的D20骰，并决定使用哪一颗D20：攻击者所掷骰的或通过该法术所掷骰
若原D20骰有优势或劣势，那么通过该法术掷出的D20在原D20的优势或劣势生效后生效。
升环施法效应：使用三环或更高法术位施展该法术时，每比二环高一环的法术位可以令你指定一个额外的生物。</t>
  </si>
  <si>
    <t>不动物件</t>
  </si>
  <si>
    <t>Immovable Object</t>
  </si>
  <si>
    <t>至少价值25gp的金尘，在施法时消耗</t>
  </si>
  <si>
    <t>你触摸一个至多不超过10磅的物件，使其魔法般地固定住。你与你施法时指定的生物能够如常移动它。你也可以设置一串密码，当密码在该物件5尺内被念出时，使这个法术暂时被压制1分钟。
若该物件被固定在空中，那么它可以至多承载4000磅的重量。更重的负载会使其坠落。另外，一个生物能以其动作进行一个对抗你的法术豁免DC的力量检定。若其成功，则该物件能被他移动10尺。
升环法术效应。若你使用四环或五环法术位施展该法术，使该物件移动的检定DC增加5，并且它能够承载8000磅重的负载并持续24小时。如果你用六环或者更高环的法术位施展该法术，那么使该物件移动的检定DC增加10，并且它能够承载20000磅重的负载并一直持续到法术被解除。</t>
  </si>
  <si>
    <t>魔袋术</t>
  </si>
  <si>
    <t>Wristpocket</t>
  </si>
  <si>
    <t>你轻弹手腕，让你手中的一件物品消失。这件只有你能持握的，重量不超过五磅物件会被传送到一个异次元空间，它会在法术持续时间内一直停留在那里。
到法术结束为止，你可以用你的动作将物件召唤到你空余的手中，你也可以用一个动作将该物件返还至异次元空间处。到法术结束时仍然存在在异次元空间的物品会出现在你的位置中，你的脚下。</t>
  </si>
  <si>
    <t>Gift Of Gab</t>
  </si>
  <si>
    <t>2G，如通过DC15的智力（奥秘）检定可由10码内随机生物支付</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</si>
  <si>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</si>
  <si>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吉姆的发光硬币</t>
  </si>
  <si>
    <t>Jim's Glowing Coin</t>
  </si>
  <si>
    <t>一枚硬币</t>
  </si>
  <si>
    <t>在魔术大师、大冒险家吉姆·达克马奇运用过的许多骗术中，“发光的旧硬币”是其中最为经典的。当你施法时，你将作为法术材料成分的硬币丢往法术距离内任意一点。这枚硬币将会像处于光亮术法术影响一般闪闪发光。在硬币周围30尺内，你所能看到、并且由你选择的每一个生物必须通过一次感知豁免检定，否则将会在持续时间内被硬币所分心。在被分心时，生物在感知（观察）检定和先攻检定中具有劣势。</t>
  </si>
  <si>
    <t>野兽召唤术</t>
  </si>
  <si>
    <t>Summon Beast</t>
  </si>
  <si>
    <t>一根羽毛、一簇毛皮和一条装在镀金橡果内的鱼尾，价值至少200gp</t>
  </si>
  <si>
    <t>你唤来一个野兽灵魄。其在施法距离内你可见的一个未占据位置化为实体。这一实体使用下面的野兽灵魄的数据。当你施展法术时，从空、地或水中选择一个环境。此生物的外形属于你所选环境的一种动物，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升环施法效应：使用五环或更高法术位施展该法术时，该生物数据中使用更高的法术环数。
野兽灵魄
小型野兽
AC：11+法术环阶(天生护甲)
HP：20（仅限空）或30（仅限陆与水）+高于二环的每环阶5点
速度：30尺；攀爬60尺（仅限陆）；飞行60尺（仅限空）；游泳30尺（仅限水）
力量，敏捷，体质，智力，感知，魅力
18[+4]，11[+0]，16[+3]，4[-4]，14[+2]，5[-3]
感官：黑暗视觉60尺，被动察觉12
语言：理解你讲的语言
熟练加值与你相等
飞掠（仅限空）：该野兽飞出敌人触及范围时不会引起借机攻击。
集群战术（仅限陆与水）：该野兽至少有一个未处于失能的盟友在目标生物5ft.内时，它对该生物发动的攻击检定有优势。
水下呼吸（仅限水）：该野兽只能在水下呼吸。
动作：多重攻击：该野兽发动等同于法术环阶半数（向下取整）次数的攻击。
撕咬：近战武器攻击：命中采取你的法术攻击加值，触及5ft.，单一目标；命中：1d8+4+法术环阶的穿刺伤害。</t>
  </si>
  <si>
    <t>塔莎心灵鞭</t>
  </si>
  <si>
    <t>Tasha's Mind Whip</t>
  </si>
  <si>
    <t>你对施法距离内一个你可见的生物进行心灵猛击。目标必须进行一次智力豁免。若豁免失败，目标会受到3d6精神伤害，并且直到其下一回合结束前不能做出反应。此外，它在自己的下一回合中，只能选择在移动、动作或附赠动作中采取一种。若豁免成功，目标只受到半额伤害，并且不会受到该法术的其他效应。
升环施法效应：使用三环或更高的法术位施展该法术时，你使用的法术位每比二环高1环就可以额外指定一个生物。被你选为目标的生物互相之间的距离不能超过30尺。</t>
  </si>
  <si>
    <t>纳撒尔恶作剧</t>
  </si>
  <si>
    <t>Nathair's Mischief</t>
  </si>
  <si>
    <t>一块面包皮，来自一个苹果派</t>
  </si>
  <si>
    <t>你选择一个以施法范围内一点为原点，20尺矩形的范围。你在该范围内填满精类与龙族的魔法。在恶作剧之涌表格里掷D4以决定产生的魔法效应。法术持续时间内、在你的每个回合开始时，你都重骰这个表格。在你重骰之前，你可以把这个矩形范围移动最多10尺。
恶作剧之涌
1:空气中弥漫着苹果派的味道，范围内的生物必须成功通过一次感知豁免，否则将被你魅惑，直至你的下回合开始。
2:一束束鲜花出现在四周，范围内的生物必须成功通过一次敏捷豁免，否则鲜花将往他们脸上喷水，使他们陷入目盲，直至你的下回合开始。
3:范围内的每个生物必须成功通过一次感知豁免，否则将开始咯咯笑，直至你的下回合开始。一个正在咯咯笑的生物陷入失能，并使用他的所有移动力向一个随机方向移动。
4:一滴滴蜜糖出现并在矩形内悬停，将其内变成困难地形，直至你的下回合开始。</t>
  </si>
  <si>
    <t>莱姆束缚之霜</t>
  </si>
  <si>
    <t>Rime's Binding Ice</t>
  </si>
  <si>
    <t>一瓶冰雪融化而成的水</t>
  </si>
  <si>
    <t>你向30尺锥形范围内放出一股冰冷的能量。范围内的每个生物都必须成功通过一体质豁免，否则将受到3d8冷冻伤害并且被冰霜包裹，持续一分钟或直至一个生物用动作为自己或触及范围内的其他生物破冰。被冰霜包裹的生物其速度降至0。豁免成功则伤害减半，并且不会受到其他效应影响。
升环施法效应：使用三环或更高法术位施展该法术时，你使用的法术位每比二环高一环，法术的伤害增加1d8。</t>
  </si>
  <si>
    <t>借鉴才学</t>
  </si>
  <si>
    <t>Borrowed Knowledge</t>
  </si>
  <si>
    <t>一本价值至少25金币的书</t>
  </si>
  <si>
    <t>你从往昔的魂灵中获取知识。选择一项你没有熟练的技能。在法术的持续时间里，你拥有所选技能的熟练项。如果你再次释放该法术，该法术会提前结束。</t>
  </si>
  <si>
    <t>衡鉴学生</t>
  </si>
  <si>
    <t>动力短行</t>
  </si>
  <si>
    <t>Kinetic Jaunt</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</si>
  <si>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</si>
  <si>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涡旋翘曲</t>
  </si>
  <si>
    <t>Vortex Warp</t>
  </si>
  <si>
    <t>你魔法地扭曲范围里另一个你可见生物周边的空间。目标需通过一次体质豁免（目标可主动选择失败），否则目标将被传送至范围内一处你可见，由你选择的未被占据的空间。选择的空间必须是地表之上或液体之中，并且能让目标在不被挤压的情况下支撑目标。
升环施法效应:当你使用3环或更高的法术位释放该法术时，法术位每比2环高1环，施法距离增加30尺。</t>
  </si>
  <si>
    <t>量析学生</t>
  </si>
  <si>
    <t>靡叶生华</t>
  </si>
  <si>
    <t>Wither and Bloom</t>
  </si>
  <si>
    <t>枯萎的藤蔓，弯折成环形</t>
  </si>
  <si>
    <t>选择范围里的一点，以该点为中心的10尺半径球形区域里，你唤起死气与生机。该区域里每个由你选择的生物需进行一次体质豁免，失败时受到2d6暗蚀伤害，成功时伤害减半。区域里的非魔法植物都会枯萎。
此外，区域里一个你所选的生物能使用并投掷一枚未使用的生命骰。恢复投掷结果加上你的施法属性调整值点生命值。
升环施法效应:当你使用3环或更高的法术位释放该法术时，法术位每比2环高1环，法术多造成1d6伤害，选择生物能投掷的生命骰数也多1个。</t>
  </si>
  <si>
    <t>靡华学生</t>
  </si>
  <si>
    <t>魔宠群</t>
  </si>
  <si>
    <t>Flock Of Familiars</t>
  </si>
  <si>
    <t>你召唤3只使用你所选择的动物精魂外貌的临时魔宠。每只魔宠所使用的规则与动物精魂外貌选项与获得魔宠相同。该法术所召唤的所有魔宠都必须属于同一生物种类（天界生物，精类生物，邪魔；你的选择）。如果你已经以获得魔宠或类似方式召唤一个魔宠，则你以该法术召唤的魔宠数量减少一个。
该法术召唤的魔宠可以与你进行心灵交流且当它们在你1英里范围内时可以与你分享它们的视觉或听觉感官。
当你施展施法距离为触及的法术时，该法术所召唤的其中一名魔宠可以如常传递法术。然而每回合你只能通过一只魔宠传递一次触及法术。
升环施法效应。使用3环或更高法术位施展该法术时，你的法术位每比2环高一环，你可以召唤一只额外的魔宠。</t>
  </si>
  <si>
    <t>操纵死尸</t>
  </si>
  <si>
    <t>Animate Dead</t>
  </si>
  <si>
    <t>一滴血，一块肉，以及一点骨灰</t>
  </si>
  <si>
    <t>该法术创造一个不死生物仆从。在施法距离内指定一具中型或小型类人生物遗骨或遗体，并以该法术将污秽的虚假生命力量注入其中，将之唤起为一个不死生物。如果你选择的是遗骨，则目标变为骷髅；选择的是遗体则变为僵尸。该生物的具体游戏资料由DM掌控。
在你的任一回合内，你可以使用一个附赠动作并以精神命令操纵60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则只会对敌对生物作出自卫行为。一旦被下达命令，该生物会持续执行命令直到任务完成。
这些受操纵生物只会在24小时内服从你的命令。如果你在当前的24小时时间段终止前再施展该法术，则你对这些生物的操纵时间再延长24小时。法术的此种用法只能延长你对至多四个你使用此法术所创造生物的控制时间，而不会创造新的生物。
升环施法效应：使用四环或更高法术位施展该法术时，你使用的法术位每比三环高一环，就会多唤起两只不死生物，或是多延长对两只不死生物的控制。你无法用同一具骸骨或遗体唤起多个不死生物。</t>
  </si>
  <si>
    <t>葛加理成员，死亡领域，孢子结社，破誓者，永恒奴役，死灵学派</t>
  </si>
  <si>
    <t>活力灵光</t>
  </si>
  <si>
    <t>Aura Of Vitality</t>
  </si>
  <si>
    <t>你身上发出的治愈能量形成半径30尺的灵光。法术持续时间内灵光将以你为中心随你移动。你可以用一个附赠动作为灵光范围内的一名生物（包括你自己）恢复2d6的生命值。</t>
  </si>
  <si>
    <t>医疗龙纹，暮光领域，王冠圣誓，战地匠师，量析学生</t>
  </si>
  <si>
    <t>希望信标</t>
  </si>
  <si>
    <t>Beacon Of Hope</t>
  </si>
  <si>
    <t>该法术带来活力与希望。在施法距离内指定任意数量的生物，并使其在法术持续时间内进行的感知豁免和死亡豁免具有优势。此外，其获得治疗时均以骰子最大值来决定其恢复的生命值。</t>
  </si>
  <si>
    <t>畜牧龙纹，波洛斯军团兵，生命领域，和平领域，团结领域，奉献圣誓，银毫学生</t>
  </si>
  <si>
    <t>降咒</t>
  </si>
  <si>
    <t>Bestow Curse</t>
  </si>
  <si>
    <t>你触碰一名生物。该生物必须进行一次感知豁免并成功通过，否则将在法术持续时间内被诅咒。施展法术时，你从以下诅咒选项选择其一：
选择一个属性值。受诅咒影响时，目标进行该属性的豁免检定和属性检定时具有劣势。
受诅咒影响时，目标对你进行的攻击检定具有劣势。
受诅咒影响时，目标必须在其每回合开始时进行一次感知豁免，豁免失败则浪费掉该回合的动作。
受诅咒影响时，你的攻击和法术对目标额外造成1d8的黯蚀伤害。
法术移除诅咒可终止此法术的效应。DM也可以让你选择其他诅咒，但它们不该比上表更强大。诅咒效应最终由DM裁定。
升环施法效应：使用四环或更高法术位施展该法术时，法术的持续时间变为：专注，至多10分钟。使用五环或更高法术位时，变为8小时。使用七环或更高法术位时，变为24小时。使用九环法术位时，法术将持续到被解除。使用五环或更高法术位施展此法术时无需在其持续时间内维持专注。</t>
  </si>
  <si>
    <t>欧佐夫议员，野心领域，破誓者，征服圣誓，凶兆符记</t>
  </si>
  <si>
    <t>致盲斩</t>
  </si>
  <si>
    <t>Blinding Smite</t>
  </si>
  <si>
    <t>你在法术终止前的下一次武器攻击命中某生物时将爆发出强光，并对目标额外造成3d8点光耀伤害。此外，目标必须进行一次体质豁免，豁免失败则陷入目盲直至法术终止。
受法术目盲效应影响的生物在其每个回合结束时可以再进行一次体质豁免，豁免成功则其目盲状态终止。</t>
  </si>
  <si>
    <t>波洛斯军团兵</t>
  </si>
  <si>
    <t>闪现术</t>
  </si>
  <si>
    <t>Blink</t>
  </si>
  <si>
    <t>你在法术持续时间内每次自己回合结束时掷一次d20。如果结果大于等于11，则你从所处位面消失并出现在以太位面（如果你已经在以太位面，则法术失败且被消耗）。在你每次自己回合开始以及法术终止时，如果你身处以太位面，则你在之前消失的位置10尺内自选一处未被占据且你能看见的空间出现。如果范围内没有未被占据的空间，则你随机出现在最近的一处未被占据空间里。你可以用一个动作解除该法术。
身处以太位面时，你可以听见和看见原位面，但只限于60尺之内，且所有事物都是黑白画面。其他生物只有当其身处以太位面时才能对你产生影响，或者被你影响。不处于以太位面的生物无法察觉你也无法和你交流，除非其具有相应的能力。</t>
  </si>
  <si>
    <t>通行龙纹，诡术领域，至高妖精，咒剑士</t>
  </si>
  <si>
    <t>召雷术</t>
  </si>
  <si>
    <t>Call Lightning</t>
  </si>
  <si>
    <t>你指定施法距离内，自己上方一处能看见的点，并在该处生成一片高10尺、半径60尺的柱状雷云区域。如果你无法看到空中雷云可能形成的位置，则法术失败（例如，当你身处一间不够高大的房间内时）。
施法时，指定该雷云下一处你能看见的点。再令一束闪电从云端射向该点。在该点5尺内的生物必须进行一次敏捷豁免。豁免失败者将受到3d10点闪电伤害，豁免成功则伤害减半。直至法术终止前，你都可以在自己回合内使用动作再次发射闪电，并在攻击前指定同一点或另选一点。
若施法时你身处室外暴风雨环境，则此法术令你得以控制空中的暴雨云而非创一朵新雷云。且法术伤害增加1d10。
升环施法效应：使用四环或更高法术位施展该法术时，你使用的法术位每比三环高一环，法术的伤害就增加1d10。</t>
  </si>
  <si>
    <t>伊捷工程师，风暴领域，大地结社森林</t>
  </si>
  <si>
    <t>鹰眼术</t>
  </si>
  <si>
    <t>Clairvoyance</t>
  </si>
  <si>
    <t>价值至少100gp的法器，选择聆听时用一个以珠宝装饰的号角，选择观察时用一颗玻璃眼珠</t>
  </si>
  <si>
    <t>你在施法距离内某处创造一个隐形的传感器，该处可以是你熟悉的地点（你曾到访过或看见过的地方），也可以是你不熟悉的显眼处（比如一扇门后，拐角位置或树林里）。该传感器在法术持续时间内停留在该地且无法被攻击或与之互动。
施展该法术时，你可以选择进行观察或是聆听。你可以通过传感器以所选的感官方式感测目标空间。你也可以用一个动作在观察和聆听之间切换。
可以看见传感器的生物（比如生物具有增益如识破隐形或真实视觉时）会看到检测点是一个拳头大小发着微光的半透球体。</t>
  </si>
  <si>
    <t>阴影龙纹，探索龙纹，侦测龙纹，俄佐立官员，先祖守卫道途，旧日支配者</t>
  </si>
  <si>
    <t>召唤动物</t>
  </si>
  <si>
    <t>Conjure Animals</t>
  </si>
  <si>
    <t>你召唤野兽形态的精魄，并使其显现在施法范围内一处你能看见但未被占据的空间。选择以下选项之一作为显现的生物：
一只挑战等级2或者更低的野兽
两只挑战等级1或者更低的野兽
四只挑战等级½或更低的野兽
八只挑战等级¼或更低的野兽
每只野兽同时视为精类生物，并且在生命值降至0时，或者法术终止时消失不见。
被召唤的生物对你和你的伙伴保持友善关系。每次召唤出来的所有生物视为一个团体来骰先攻，并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升环施法效应：使用更高法术位施展该法术时，选择上文所述召唤选项之一，并显现更多生物：五环法术位显现两倍生物，七环法术位显现三倍生物，九环法术位显现四倍生物。</t>
  </si>
  <si>
    <t>畜牧龙纹，古鲁反抗者</t>
  </si>
  <si>
    <t>召唤箭雨</t>
  </si>
  <si>
    <t>Conjure Barrage</t>
  </si>
  <si>
    <t>一发弹药或一把投掷武器</t>
  </si>
  <si>
    <t>你向空中射出一发非魔法的弹药或者掷出一把非魔法的投掷武器，并以之为原型向前方锥状区域内射出一片同样的武器，而这些创造出的武器将在攻击完成后消失不见。前方60尺锥状区域内的每个生物都必须进行一次敏捷豁免，豁免失败者将受到3d8点伤害，豁免成功则伤害减半。法术所造成伤害的类型与用作法术成分材料的弹药或武器相同。</t>
  </si>
  <si>
    <t>创造龙纹，古鲁反抗者，战地匠师</t>
  </si>
  <si>
    <t>法术反制</t>
  </si>
  <si>
    <t>Counterspell</t>
  </si>
  <si>
    <t>你试图打断一个生物正在施展的一个法术。如果该生物正在施展三环或更低环阶法术，则其法术失败且不产生任何效应。如果该生物正在施展四环或更高环阶法术，则你以施法关键属性进行一次属性检定，其检定DC等于10+目标法术的环阶。检定成功则目标法术失败且不产生任何效应。
升环施法效应：使用四环或更高法术位施展该法术时，如果被打断法术的环阶不高于你所用的法术位环阶，则该目标法术直接被打断。</t>
  </si>
  <si>
    <t>守护龙纹，俄佐立官员，救赎圣誓，守望圣誓</t>
  </si>
  <si>
    <t>造粮术</t>
  </si>
  <si>
    <t>Create Food And Water</t>
  </si>
  <si>
    <t>你在施法距离内的地面或容器上创造45磅的食物和30加仑的水，其总量可以满足十五个类人生物或者五匹坐骑24小时的补给需求。食物非常清淡但营养丰富，并且如果24小时内不食用即会变坏。创造的水清洁可饮用且不会以该方式变质。</t>
  </si>
  <si>
    <t>招待龙纹，大地结社荒漠，巨灵宗主</t>
  </si>
  <si>
    <t>十字军披风</t>
  </si>
  <si>
    <t>Crusader's Mantle</t>
  </si>
  <si>
    <t>神圣的能量自你身上发出并形成30尺半径的灵光，并为友方生物激励勇气。在法术持续时间内，灵光将以你为中心随你移动。灵光范围内的非敌对生物（包括你自己）的武器攻击命中时将额外造成1d4的光耀伤害。</t>
  </si>
  <si>
    <t>战争领域，团结领域</t>
  </si>
  <si>
    <t>昼明术</t>
  </si>
  <si>
    <t>Daylight</t>
  </si>
  <si>
    <t>你在施法距离内指定一点，并从中释放光亮蔓延至半径60尺的球状区域。法术产生的光亮为区域内提供明亮光照并向其外提供60尺的微光光照。
如果你将作为法术目标的点设置于你正持握或未被穿着携带的物件，则光亮将从物件周围漫出并跟随物件移动。将该物件完全掩盖时（比如用碗或头盔盖住），也会将其漫出的光亮隔绝。
如果法术区域内有任何三环或更低环阶法术创造的黑暗，则这些造暗的法术将被解除。</t>
  </si>
  <si>
    <t>光明领域，大地结社草原，天界宗主，银毫学生</t>
  </si>
  <si>
    <t>解除魔法</t>
  </si>
  <si>
    <t>Dispel Magic</t>
  </si>
  <si>
    <t>在施法距离内指定一个生物、一个物件或一处魔法效应，并终止所有影响该目标的三环或更低环阶法术。每个影响目标的四环或更高环阶法术都需要以你的施法关键属性进行一次属性检定，其DC等于10+目标法术的环阶，检定成功时目标法术终止。
升环施法效应：使用四环或更高法术位施展该法术时，你直接终止目标身上小于等于该施法环阶的法术效应。</t>
  </si>
  <si>
    <t>高等卓尔魔法，诡术领域，奥秘领域，奉献圣誓，妖精漫游者，时械之魂，反逆者</t>
  </si>
  <si>
    <t>元素武器</t>
  </si>
  <si>
    <t>Elemental Weapon</t>
  </si>
  <si>
    <t>你触碰的一把非魔法武器并使其变成魔法武器。选择以下伤害类型其中之一：强酸、冷冻、火焰、闪电、雷鸣。在法术持续时间内，该武器进行攻击检定时将获得+1加值，且在命中时额外造成1d4点所选类型的伤害。
升环施法效应：使用五环或六环法术位施展该法术时，攻击检定的加值变为+2，额外伤害变为2d4。使用七环或更高法术位施展该法术时，攻击检定的加值变为+3，额外伤害变为3d4。</t>
  </si>
  <si>
    <t>创造龙纹，伊捷工程师，锻造领域，咒剑士</t>
  </si>
  <si>
    <t>恐惧术</t>
  </si>
  <si>
    <t>Fear</t>
  </si>
  <si>
    <t>一片白羽毛或一颗母鸡心</t>
  </si>
  <si>
    <t>你制造一个目标最惧怕的幻象，并迫使30尺锥状区域内的所有生物进行一次感知豁免，豁免失败者将丢弃其所有持握物，并在法术持续时间内陷入恐慌。
被法术恐慌的生物必须在其回合内执行疾走动作，并以此寻找最安全的路线远离施法者，直至其无路可走为止。如果该生物在施法者视线范围外结束其回合，则其可以再进行一次感知豁免，豁免成功则法术对该生物的效应终止。</t>
  </si>
  <si>
    <t>拉铎斯邪教徒，征服圣誓，幽域追踪者</t>
  </si>
  <si>
    <t>假死术</t>
  </si>
  <si>
    <t>Feign Death</t>
  </si>
  <si>
    <t>一把坟土</t>
  </si>
  <si>
    <t>你触碰一自愿生物并将其变得如死去一样的僵直状态。
你可以用一个动作再次触碰该目标以终止该法术。在法术持续时间内，对目标进行的任何肉体检查和法术检测都显示目标已处于死亡状态。该状态下的目标陷入目盲以及失能状态，且其移动速度降低为0。目标对除了心灵伤害外的所有伤害类型具有抗性。如果目标在受术时正陷入疾病或中毒状态，或者在法术生效时陷入疾病或中毒状态，则这些状态在该法术持续时间内受抑制而无效，直至法术终止时再恢复生效。</t>
  </si>
  <si>
    <t>火球术</t>
  </si>
  <si>
    <t>Fireball</t>
  </si>
  <si>
    <t>一小球蝙蝠粪及硫磺</t>
  </si>
  <si>
    <t>明亮的闪光从你的指间飞驰向施法距离内你指定的一点，并随着一声低吼迸成一片烈焰。目标点周围半径20尺球状区域内的每个生物必须进行一次敏捷豁免。豁免失败者将受到8d6点火焰伤害，豁免成功则伤害减半。
迸发的火焰将绕过拐角扩散。并点燃区域内所有未被着装或携带的可燃物件。
升环施法效应：使用四环或更高法术位施展该法术时，你使用的法术位每比三环高一环，其伤害就增加1d6。</t>
  </si>
  <si>
    <t>光明领域，热忱领域，四象宗，狂野魔法浪涌，邪魔宗主，巨灵宗主火巨灵，魔炮师</t>
  </si>
  <si>
    <t>飞行术</t>
  </si>
  <si>
    <t>Fly</t>
  </si>
  <si>
    <t>任意鸟类翅膀上的羽毛</t>
  </si>
  <si>
    <t>你触碰一个自愿生物，并使该目标在法术持续时间内获得60尺的飞行速度。法术终止时，如果目标仍在空中则随即坠落。
升环施法效应：使用四环或更高法术位施展该法术时，你使用的法术位每比三环高一环，就可以额外再指定一个生物作为法术目标。</t>
  </si>
  <si>
    <t>四象宗，狂野魔法浪涌</t>
  </si>
  <si>
    <t>气化形体</t>
  </si>
  <si>
    <t>Gaseous Form</t>
  </si>
  <si>
    <t>一小片薄纱和一缕清烟</t>
  </si>
  <si>
    <t>在法术持续时间内，你将触碰到的一个自愿生物连同其穿着携带物一起转化为一团云雾。如果生物的生命值降至0则法术终止。非实体的生物不受该效应影响。
在该形态下，目标唯一的移动方式即是10尺的飞行速度。该目标可以进入并占据一个已有生物占据的空间。其拥有非魔法伤害的抗性，且进行力量、敏捷和体质豁免时具有优势。该目标可以穿过小洞、狭隙、甚至裂缝，但他会将液态物质视为固体表面。目标即使处于震慑或者失能状态时，也不会坠落并且保持在空中悬浮。
云雾形态的目标不能讲话或操作物件，其随身携带或持握的物件不会掉落，也不能被使用或与之互动。另外，目标也不能攻击或施法。</t>
  </si>
  <si>
    <t>底密尔特务，析米克科学家，大地结社沼泽，孢子结社，四象宗，集群守卫，炼金师</t>
  </si>
  <si>
    <t>守卫刻文</t>
  </si>
  <si>
    <t>Glyph Of Warding</t>
  </si>
  <si>
    <t>熏香和至少价值200gp的钻石粉，作为该法术的耗材</t>
  </si>
  <si>
    <t>施展该法术时，你在某个表面（诸如桌面、地板、墙等）或某个能被关闭以隐藏符纹的物件里（诸如书本、卷轴、宝箱等）刻画一个不一定对生物造成伤害的符纹。如果你指定某个表面，则该符纹可以覆盖内径不超过10尺直径的区域。如果受术的物件或表面从被施法位置被移开超过10尺，则其符纹被破坏且法术不被触发即告终止。
结界符纹近乎隐形，其需要以法术的豁免DC进行一次智力（调查）检定才能被发现。
你在施法时设定结界符纹的触发条件。刻画于表面的符纹其最典型的触发条件包括：触碰或站立在符纹上；拿掉覆盖在符纹上的物件；进入符纹一定范围；操作符纹所在的物件等。刻画在物件内的符纹其最典型的触发条件包括：打开物件；靠近物件一定的距离；看到或阅读该符纹等。符纹一旦被触发，则该法术终止。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刻画符纹时，你可以从爆炸符文和法术符纹两者中选择其一：
爆炸符文：符文被触发时将在半径20尺球状区域内将爆发魔法能量，并绕过角落扩散。区域内的每个生物必须进行一次敏捷豁免。豁免失败者将受到5d8的强酸，寒冷，火焰，闪电，或雷鸣伤害（你在制造符纹时指定），豁免成功则伤害减半。
法术刻文：你可以施展一个准备好的三环或更低环阶法术，并将其储备在所创造的符纹中。所储备法术必须以一个物件或一个区域为目标，而其以该方式施展时并不会立即生效。符文被触发时将随即施展所储备的法术。如果法术指向一个目标，则以触发符纹的生物为目标；如果法术影响一个区域，则该区域以此生物为中心；如果法术召唤敌对生物或创造伤害性质的物件或陷井，则这些造物将显现在可能靠近触发者的地方并攻击它。如果法术需要专注，则其效应将在其最大持续时间内维持。
升环施法效应：使用四环或更高法术位施展该法术时，你使用的法术位每比三环高一环，一个爆炸符文的伤害就增加1d8。如果你创造一个法术符纹，则其储备法术的环阶可以与你施放守卫刻文时使用的法术位相同。</t>
  </si>
  <si>
    <t>警戒龙纹，伊捷工程师</t>
  </si>
  <si>
    <t>加速术</t>
  </si>
  <si>
    <t>Haste</t>
  </si>
  <si>
    <t>一片甘草根切片</t>
  </si>
  <si>
    <t>指定施法距离内一个你能看见的自愿生物。直至法术终止前，你使目标速度翻倍；其AC获得+2加值；其进行敏捷豁免时具有优势；其每个回合都可作出一个额外的动作，但该动作只能发动攻击（只限一次武器攻击），或者疾行、撤离、躲藏和使用物件。
法术终止时，目标将泛起一阵倦意使其不能移动也无法执行动作，并持续至其下一回合结束。</t>
  </si>
  <si>
    <t>拉铎斯邪教徒，力量领域，热忱领域，大地结社草原，复仇圣誓，荣耀圣誓，边界行者，粹丽学生，量析学生</t>
  </si>
  <si>
    <t>哈达之欲</t>
  </si>
  <si>
    <t>Hunger Of Hadar</t>
  </si>
  <si>
    <t>一条酸洗过的章鱼触须</t>
  </si>
  <si>
    <t>你打开一个通道，并连接到群星间黑暗处某个遍布未知恐怖之物的领域。以施法距离内一点为中心，一个半径20尺，漆黑而寒冷的球状区域显现并持续至该法术终止。这个虚无区域外30尺范围内能听到充斥在空气中的不谐耳语和啜嚼噪音。任何光照，魔法或其他手段都无法照亮这个区域，而完全进入该区域内的生物将陷入目盲状态。
虚无扭曲了空间的结构，使该区域内成为困难地形。任何在区域内开始其回合的生物将受到2d6点冷冻伤害。任何在区域内结束其回合的生物必须进行一次敏捷豁免，豁免失败者将因异界软体触手的触碰而受到2d6点强酸伤害。</t>
  </si>
  <si>
    <t>催眠图纹</t>
  </si>
  <si>
    <t>Hypnotic Pattern</t>
  </si>
  <si>
    <t>一根点燃的熏香或一个装有磷光材料的水晶小瓶</t>
  </si>
  <si>
    <t>你在施法距离内一处边长30尺的立方区域内创造出一个在空中舞动旋转的彩色图纹。图纹在出现片刻后消失，然后迫使区域内每个看到它的生物进行一次感知豁免，豁免失败者将在法术持续时间内被魅惑。被该法术魅惑的生物陷入失能状态，且速度降为0。
如果受术生物受到任何伤害，或者他人将其从恍惚中摇醒，则该法术在其身上的效应终止。</t>
  </si>
  <si>
    <t>救赎圣誓，装甲师</t>
  </si>
  <si>
    <t>李欧蒙小屋</t>
  </si>
  <si>
    <t>Leomund's Tiny Hut</t>
  </si>
  <si>
    <t>一个小水晶珠子</t>
  </si>
  <si>
    <t>一个半径10尺的半球形力场出现在你周围和上方，并在法术持续时间内保持固定。当你离开该区域时法术将随之终止。
半球可以容纳你和九个中型或更小的生物。如果区域内容纳了一个体型更大的生物或者容纳了多于九个生物，则法术失效。在施展此法术时即处于半球内的生物和物件可以自由进出半球。而所有其他生物和物件都将被阻挡而无法进出。法术和其他魔法效应既无法延伸至穿过半球，也无法直接穿过半球施放。半球内的空气干爽舒适，而无论外侧气候如何。
你可以在法术终止前使半球内的光照变为微光或黑暗。半球从外侧看是不透明的，并且呈现出由你选定的颜色，但从内侧看它则是透明的。</t>
  </si>
  <si>
    <t>招待龙纹，暮光领域</t>
  </si>
  <si>
    <t>闪电箭</t>
  </si>
  <si>
    <t>Lightning Arrow</t>
  </si>
  <si>
    <t>你在法术持续时间内下一次进行的远程武器攻击时，该武器的弹药或该武器本身（如果该武器是投掷武器）变为一束闪电。以正常方式进行攻击检定，若该攻击命中则目标受到4d8点闪电伤害，若未命中则伤害减半。即以该闪电伤害代替武器正常伤害。
无论你的攻击是否命中，目标周围10尺范围内的每个生物都必须进行一次敏捷豁免，豁免失败则受到2d8点闪电伤害，豁免成功则伤害减半。
在此之后，该弹药或武器变回其正常形态。
升环施法效应：使用四环或更高法术位施展该法术时，你使用的法术位每比三环高一环，上述两种闪电伤害就各增加1d8。</t>
  </si>
  <si>
    <t>闪电束</t>
  </si>
  <si>
    <t>Lightning Bolt</t>
  </si>
  <si>
    <t>一些毛皮和琥珀质、水晶质或玻璃质的一根棒子</t>
  </si>
  <si>
    <t>一束100尺长，5尺宽的的线状闪电从你的位置向你指定的任意方向爆发迸出。在线状区域内的每个生物必须进行一次敏捷豁免，豁免失败者将受到8d6的闪电伤害，豁免成功则伤害减半。
闪电会将区域内未被着装或携带的可燃物件点燃。
升环施法效应：使用四环或更高法术位施展该法术时，你使用的法术位每比三环高一环，伤害就增加1d6。</t>
  </si>
  <si>
    <t>大地结社山地，深海意志，装甲师</t>
  </si>
  <si>
    <t>防护法阵</t>
  </si>
  <si>
    <t>Magic Circle</t>
  </si>
  <si>
    <t>总价值至少100gp的圣水或银、铁粉，作为该法术的耗材</t>
  </si>
  <si>
    <t>指定施法距离内地面上你能看见的一点，并在该处创造了一个10尺半径、20尺高的柱状魔法能量。而承载能量柱的地面或其他平面上则会显现出闪光的符文。
指定以下生物类型中的一种或多种：天界生物、元素生物、精类生物、邪魔、不死生物。法阵将会对被指定类型的生物产生以下效应：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施展该法术时，你可以选择让魔法作用于相反的方向来阻止特定种类的生物离开柱状区域内，以保护区域外的目标。
升环施法效应：使用四环或更高法术位施展该法术时，你使用的法术位每比三环高一环，法术持续时间就增加1小时。</t>
  </si>
  <si>
    <t>警戒龙纹，奥秘领域，怪物杀手</t>
  </si>
  <si>
    <t>高等幻影</t>
  </si>
  <si>
    <t>Major Image</t>
  </si>
  <si>
    <t>你创造一个影像，其形象来自一个大小不超过边长20尺立方体的物件，生物或其他的可视现象。影像出现在施法距离内你能看见的一处位置并在法术持续时间内维持存在。它看起来完全是真实的，并且还具有相应的声音、气味和温度。你不能创造出足以造成伤害的酷热或严寒，也不能创造出音量大到足以造成雷鸣伤害或者震聋生物的声响，同样不能创造出会使生物恶心的气味（近似战蜥人的恶臭那种）。
在该幻象施法距离内时，你可以用你的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无法被碰到，任何与该影像进行的物理互动都会暴露其幻象的本质。一个生物用其动作调查影像时，它可以进行一次对抗你的法术豁免DC的智力（调查）检定，以判定是否看穿幻象。辨出幻象的生物可以看破该影像，而影像的其他感官效应在该生物看来会变得微弱而模糊。
升环施法效应：使用六环或更高法术位施展该法术时，法术会持续至解除且不需要你保持专注。</t>
  </si>
  <si>
    <t>群体治愈真言</t>
  </si>
  <si>
    <t>Mass Healing Word</t>
  </si>
  <si>
    <t>你高声诵出复原的真言，并指定施法距离内至多六个你能看见的生物，使其各自恢复一定的生命值，其数值等于1d4+你的施法关键属性调整值。该法术对不死生物和构装生物无效。
升环施法效应：使用四环或更高法术位施展该法术时，你使用的法术位每比三环高一环，其治疗量就增加1d4。</t>
  </si>
  <si>
    <t>医疗龙纹，秩序领域，炼金师</t>
  </si>
  <si>
    <t>融身入石</t>
  </si>
  <si>
    <t>Meld Into Stone</t>
  </si>
  <si>
    <t>你进入一个足以完全容纳你身体的石制物件或石材表面内，使你自己和你携带的所有装备在法术持续时间内与石头融为一体。你可以在移动时从一个你能接触到的位置进入石中。此后，任何非魔法的感官都无法看到或侦测到你的存在。
与石头融合后，你看不到外界发生了什么，并且你为了聆听外界声音而进行的任何感知（察觉）检定都具有劣势。与石头融合时，你仍能感觉到时间的流逝，也可以对自己施展法术。此时你无法移动，不过可以从进入石头的地方以移动的方式离开石内并终止该法术。
石头所受的轻微损伤不会对你造成伤害，不过石头部分损毁或者形状改变时（改变到不再适合容纳你的程度），会将你从石中排挤出并对你造成6d6的钝击伤害。石头完全损毁（或材质改变）时，也会将你从石中排挤出并对你造成50点钝击伤害。被排挤出石头时，你将被摔至距离第一次进入石头处最近一处未被占据的空间位置，并陷入倒地状态。</t>
  </si>
  <si>
    <t>底密尔特务，大地结社山地，巨灵宗主土巨灵</t>
  </si>
  <si>
    <t>回避侦测</t>
  </si>
  <si>
    <t>Nondetection</t>
  </si>
  <si>
    <t>一撮价值至少25gp的钻石粉末，撒在目标身上，作为该法术的耗材</t>
  </si>
  <si>
    <t>在法术持续时间内，你触碰一个目标并使其躲开来自预言魔法的侦测。目标可以是一个自愿生物，一处地点或一个在各个方向上不超过10尺的物件。目标在持续时间内不能成为预言魔法的目标，也不能通过魔法探知传感器被感测到。</t>
  </si>
  <si>
    <t>侦测龙纹，底密尔特务，斯涅布力魔法，知识领域，守望圣誓，地底侏儒</t>
  </si>
  <si>
    <t>魅影驹</t>
  </si>
  <si>
    <t>Phantom Steed</t>
  </si>
  <si>
    <t>你指定施法距离内一处未被占据空间，并从中显现一只似幻似真的马形生物。该生物的外形由你决定，但它必须装备着鞍座和辔具。而这些随法术创造的装备一旦离开战驹10尺即化作一阵烟消失不见。
在法术持续时间内，你或者一个你指定的生物可以骑乘此战驹。战驹使用骑乘用马的属性数据，不过其具有速度100尺，其每小时路程普通时可达10里，以快速步调行进时可达13里。法术终止时，战驹会慢慢消失，让骑手有1分钟的时间下马结束骑乘。你用一个动作解散战驹，或是当战驹受到伤害时，法术也将随即终止。</t>
  </si>
  <si>
    <t>通行龙纹，死灵宗主</t>
  </si>
  <si>
    <t>植物滋长</t>
  </si>
  <si>
    <t>Plant Growth</t>
  </si>
  <si>
    <t>该法术将活力引导给特定区域中的植物。该法术有两种用法，其一可产生即时增益，另一种则产生长期的增益。
用1动作施展该法术时，你指定施法距离内一点，该点周边半径100尺内的普通植物将变的粗壮和茂盛。一个穿过该区域的生物每移动1尺必须花费4尺的移动力。
你可以在该法术范围内空出一块或多块任意大小的区域，使其排除在法术效应影响之外。
用8小时施展该法术时，你可以使这片土地肥沃。你指定施法距离内一点，该点周边半径半里的的植物将在1年内变的茂盛。这些植物收获时将产出两倍于正常产量的作物。</t>
  </si>
  <si>
    <t>葛加理成员，瑟雷尼亚祀徒，自然领域，大地结社森林，野火结社，古贤圣誓，至高妖精</t>
  </si>
  <si>
    <t>防护能量伤害</t>
  </si>
  <si>
    <t>Protection From Energy</t>
  </si>
  <si>
    <t>受你触碰的一个自愿生物在法术持续时间内对下列你指定的一种伤害类型具有抗性：强酸、冷冻、火焰、闪电、雷鸣。</t>
  </si>
  <si>
    <t>守护龙纹，锻造领域，力量领域，大地结社荒漠，古贤圣誓，复仇圣誓，荣耀圣誓，时械之魂</t>
  </si>
  <si>
    <t>移除诅咒</t>
  </si>
  <si>
    <t>Remove Curse</t>
  </si>
  <si>
    <t>你的触碰立即为一个生物或一个物件解除其身上的所有诅咒。如果目标物体是一件被诅咒的魔法物品则其上的诅咒不会因此解除，不过该法术可以打破诅咒物品与其所有者之间的同调，使其所有者可以将其卸下或丢弃。</t>
  </si>
  <si>
    <t>回生术</t>
  </si>
  <si>
    <t>Revivify</t>
  </si>
  <si>
    <t>消耗总价值至少300gp的钻石</t>
  </si>
  <si>
    <t>你触碰一个在前一分钟内刚刚死去的生物，使该生物以1点生命值重生。该法术不能复活老死的生物，也不能恢复失去的身体部位。</t>
  </si>
  <si>
    <t>生命领域，坟墓领域，野火结社，天界宗主，靡华学生</t>
  </si>
  <si>
    <t>短讯术</t>
  </si>
  <si>
    <t>Sending</t>
  </si>
  <si>
    <t>一小段细铜线</t>
  </si>
  <si>
    <t>你向你所熟识的一个生物发送一小段二十五个单词以内的信息。该生物将在心中听到你的信息，他可以认出你是发讯人（如果他认识你），还可以用同样的方式立即回复一条讯息。对方的智力值必须至少为1才能理解你的信息。
你的传讯可以跨越任意长的距离，甚至能跨越位面。但如果目标和你不在同一个存在位面，则短讯术有5%的概率无法到达。</t>
  </si>
  <si>
    <t>抄录龙纹，和平领域，畸变心智，守护馈赠，旧日支配者</t>
  </si>
  <si>
    <t>雪雨暴</t>
  </si>
  <si>
    <t>Sleet Storm</t>
  </si>
  <si>
    <t>一撮灰尘和几滴水</t>
  </si>
  <si>
    <t>你指定施法距离内一点，并使以该点为中心，半径40尺、高20尺的区域内降下寒冷刺骨的冻雨和冰雹直至法术终止。该区域将造成重度遮蔽，且该区域内的一切开放的明火都将被浇熄。
该区域的地面上覆着一层光滑的冰，使地面变成困难地形。生物在一个回合内第一次进入该区域或在区域内开始其回合时，必须进行一次敏捷豁免，豁免失败则失足倒地。
在该法术区域内开始其回合的生物若正在进行专注，则该生物必须进行一次对抗你法术豁免DC的体质豁免，豁免失败则其专注被打断。</t>
  </si>
  <si>
    <t>暴风龙纹，风暴领域，大地结社极地，巨灵宗主水巨灵，深海意志</t>
  </si>
  <si>
    <t>缓慢术</t>
  </si>
  <si>
    <t>Slow</t>
  </si>
  <si>
    <t>一滴糖浆</t>
  </si>
  <si>
    <t>你在施法距离内一处40尺立方区域内指定至多六个生物并扭曲其周围的时间流。每个目标都要进行一次感知豁免，豁免失败则受到该法术影响直至法术终止。
受术生物的速度减半，而其AC和敏捷豁免都具有-2减值，且不能执行反应。该生物在其回合内可以执行一个动作或一个附赠动作，但不能在一回合内同时执行以上两者。不论该生物拥有何种能力或魔法物品，它在其回合内只能发动一次近战或远程攻击。
如果该生物尝试施展一个施法时间为1动作的法术，则需掷一次d20。如果结果是11或更高，则该生物的法术直至其下一回合才会生效，且该生物必须在此时再使用一个动作来完成法术。如果它做不到则它的法术就此浪费掉。
受术生物在每个其自己回合结束时可以再进行一次该感知豁免，豁免成功则终止其身上的该法术效应。</t>
  </si>
  <si>
    <t>秩序领域，大地结社极地，心灵泥沼</t>
  </si>
  <si>
    <t>死者交谈</t>
  </si>
  <si>
    <t>Speak With Dead</t>
  </si>
  <si>
    <t>燃烧的香</t>
  </si>
  <si>
    <t>你给施法距离内一具尸体赋予少许生命与智力，让其可回答你的问题。这具尸体必须还有一张嘴，且不能是不死生物。若目标尸体在最近十日内曾被作为该法术的目标，则本次施法失败。
你可以在法术终止前向尸体提出最多五个问题。尸体的知识仅限于其生前所知，包括它所讲的语言。回答通常是简短，含糊或重复的语句，而且如果你对尸体抱有敌意或者尸体认为你是其敌人，它也不必一定要给你正确的答复。该法术并不能让该生物的灵魂返回其身体中，只是活化了其精神。因此，该尸体不能认知新的信息，不能理解它死后发生的任何事情，也不能对未来的事件作出猜测。</t>
  </si>
  <si>
    <t>欧佐夫议员，知识领域，坟墓低语，不朽者，死灵宗主，衡鉴学生</t>
  </si>
  <si>
    <t>植物交谈</t>
  </si>
  <si>
    <t>Speak With Plants</t>
  </si>
  <si>
    <t>你给周围30尺内的植物赋予有限的知觉与活力，使其能够与你沟通和按你的命令行事。你可以向植物询问最近一日里该区域发生的事，由此了解曾路过这里的生物、天气和其他状况。
你可以让区域内因植物生长形成的困难地形（如灌木丛）在法术持续时间内变为普通地形。你也可以将有植物生长的普通地形变成困难地形（如让藤蔓树枝阻碍身后的追兵）。
根据DM的判断，植物也可能会为你做其他的事情。虽然该法术并不能让植物拔根而起或自由移动，但它们可以自由活动自己的树枝、藤蔓和茎秆。
如果法术区域内有一个植物生物，你可以如同你们有共同语言一般与其交流，但你并没有任何能影响它立场的魔力。
该法术能让纠缠术创造出来的植物放开一个被束缚的生物。</t>
  </si>
  <si>
    <t>探索龙纹，瑟雷尼亚祀徒，原始意识</t>
  </si>
  <si>
    <t>灵体卫士</t>
  </si>
  <si>
    <t>Spirit Guardians</t>
  </si>
  <si>
    <t>一面圣徽</t>
  </si>
  <si>
    <t>你唤来灵体作你的守卫，并使其在法术持续时间内在你周围15尺内四处飞舞。如果你属于善良或中立阵营，则它们飘渺的身形看起来像是天使或精类生物（由你选择）。如果你属于邪恶阵营，则它们将形如邪魔。
施展该法术时，你可以指定你能看见的内任意数量生物让其不受该法术影响。受术生物在该区域内其速度减半，且当它在一个回合内第一次进入该区域或在区域内开始其回合时，必须进行一次感知豁免。豁免失败则受到3d8点光耀伤害（如果你属于善良或中立）或3d8点黯蚀伤害（如果你属于邪恶），豁免成功则伤害减半。
升环施法效应：使用四环或更高法术位施展该法术时，你使用的法术位每比三环高一环，法术的伤害就增加1d8。</t>
  </si>
  <si>
    <t>欧佐夫议员，战争领域，王冠圣誓，衡鉴学生</t>
  </si>
  <si>
    <t>臭云术</t>
  </si>
  <si>
    <t>Stinking Cloud</t>
  </si>
  <si>
    <t>一个臭鸡蛋或几根臭菘草</t>
  </si>
  <si>
    <t>你以施法距离内一点为中心创造出一团半径20尺的黄色恶心气体云团。云团会绕过拐角扩散，并能造成重度遮蔽。在法术持续时间结束前云团都会一直在空气中徘徊。
如果一个生物在其回合开始时完全位于云团内，则它必须进行一次对抗毒素的体质豁免。豁免失败则该生物必须因呕吐和蹒跚浪费掉其本回合的动作。如果生物不需要呼吸或对毒素免疫，则其检定直接判定为成功。
云团被和风（风速至少每小时10里）吹袭4轮后消散。而强风（风速至少每小时20里）只需1轮就能将其吹散。</t>
  </si>
  <si>
    <t>大地结社幽暗地域，大地结社沼泽，邪魔宗主</t>
  </si>
  <si>
    <t>巧言术</t>
  </si>
  <si>
    <t>Tongues</t>
  </si>
  <si>
    <t>一个陶制阶梯金字塔小模型</t>
  </si>
  <si>
    <t>该法术赋予你所触碰生物听懂任何语言的能力。此外，当目标生物说话时，任何能听见其话语且掌握至少一门语言的生物都能听懂它的话。</t>
  </si>
  <si>
    <t>吸血鬼之触</t>
  </si>
  <si>
    <t>Vampiric Touch</t>
  </si>
  <si>
    <t>你的手上环绕着阴影，只要触碰一下就可以吸取他人的生命力来为自己疗伤。对你触及范围内的一个生物进行一次近战法术攻击。若命中，则目标受到3d6点黯蚀伤害，而你则恢复数值等于所造成黯蚀伤害一半的生命值。你可以在该法术终止前的每个回合内以一个动作完成一次这样的攻击。
升环施法效应：使用四环或更高法术位施展该法术时，你使用的法术位每比三环高一环，法术的伤害就增加1d6。</t>
  </si>
  <si>
    <t>死亡领域，坟墓领域，野心领域，靡华学生</t>
  </si>
  <si>
    <t>水下呼吸</t>
  </si>
  <si>
    <t>Water Breathing</t>
  </si>
  <si>
    <t>一根芦苇或稻草</t>
  </si>
  <si>
    <t>在法术终止前，该法术让施法距离内你能看见的至多十个自愿生物获得在水下呼吸的能力。此外，受术者依然保有正常的呼吸能力。</t>
  </si>
  <si>
    <t>析米克科学家，梭螺鱼人深海魔法，大地结社海岸，深海赠礼</t>
  </si>
  <si>
    <t>水上行走</t>
  </si>
  <si>
    <t>Water Walk</t>
  </si>
  <si>
    <t>一个软木塞</t>
  </si>
  <si>
    <t>使受术者行走于任何液体表面时（例如流水、酸液、泥浆、雪地、流沙、熔岩）都如同行走在无伤害性的实体地面上。（但走在熔岩上的生物仍会因高热而受伤）。你可以将此能力赋予施法距离内你能看见的至多十个自愿生物，并使其在法术持续时间内拥有该能力。
如果你选择一个浸没在水中的生物作为该法术的目标，则受术者将会以每轮60尺的速度上升，直至浮上液面。</t>
  </si>
  <si>
    <t>大地结社海岸，大地结社幽暗地域，粹丽学生，梭螺鱼人</t>
  </si>
  <si>
    <t>风墙术</t>
  </si>
  <si>
    <t>Wind Wall</t>
  </si>
  <si>
    <t>一把小扇和一根稀有生物的羽毛</t>
  </si>
  <si>
    <t>指定施法距离内地面上一点并从中升起了一道烈风形成的墙壁。你可以造出长度至多50尺、高度至多15尺、厚度至多1尺的风墙。你可以自由塑造该墙的形状，不过它必须沿着地面形成一条连续的轨道。风墙持续存在至法术终止。
风墙出现时，所有位于风墙区域内的生物必须进行一次力量豁免。豁免失败者，将受到3d8点钝击伤害，豁免成功则伤害减半。
烈风可以阻隔浓雾、烟尘和其他气体。体型为小型或更小的飞行生物或物件无法飞过风墙。重量轻的物质带进风墙中时将被向上吹飞。对墙后目标射出的箭、矢和其他普通飞行物会被朝上吹走而直接判为未命中（巨人或攻城器械投出的巨石和类似的飞行物不受影响）。处于气化形态的生物无法穿过风墙。</t>
  </si>
  <si>
    <t>暴风龙纹，析米克科学家，自然领域，巨灵宗主气巨灵，魔炮师</t>
  </si>
  <si>
    <t>假寐术</t>
  </si>
  <si>
    <t>Catnap</t>
  </si>
  <si>
    <t>一撮沙子</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</si>
  <si>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息的好处，但是在完成一次长休息之前将不能再受到这个法术的影响。
升环施法效应：当你使用四环或更高的法术位施放该法术时，使用的法术位每高一环，你就可以多指定1个额外的自愿生物作为目标。</t>
  </si>
  <si>
    <t>敌群环绕</t>
  </si>
  <si>
    <t>Enemies Abound</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</si>
  <si>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</si>
  <si>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土石喷发</t>
  </si>
  <si>
    <t>Erupting Earth</t>
  </si>
  <si>
    <t>一块黑曜石</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</si>
  <si>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升环施法效应：当你使用四环或更高的法术位施放该法术时，使用的法术位每高一环，伤害便增加1d12。</t>
  </si>
  <si>
    <t>火箭</t>
  </si>
  <si>
    <t>Flame Arrows</t>
  </si>
  <si>
    <t>你接触一个装有箭矢或弹药的箭袋。当一个目标被从箭袋中取出的弹药进行的远程武器攻击击中时，该目标额外受到1d6点火焰伤害。弹药上法术的魔力将在其击中或未击中目标时消失，而法术将在从箭袋中取出12发弹药后终结。
升环施法效应：当你使用四环或更高的法术位施放该法术时，使用的法术位每高一环，你能以此法术影响的弹药的数量便增加2发。</t>
  </si>
  <si>
    <t>生命转换</t>
  </si>
  <si>
    <t>Life Transference</t>
  </si>
  <si>
    <t>你牺牲自己的部分健康来修复其他生物的伤口。你受到4d8黯蚀伤害（这个黯蚀伤害无法以任何方式减少），同时施法距离内一个由你选择的可见生物恢复生命值，数值等于你承受的黯蚀伤害的两倍。
升环施法效应：当你使用四环或更高的法术位施放该法术时，使用的法术位每高一环，黯蚀伤害就增加1d8。</t>
  </si>
  <si>
    <t>马友夫微流星</t>
  </si>
  <si>
    <t>Melf's Minute Meteors</t>
  </si>
  <si>
    <t>你在你所在的空间内制造出6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升环施法效应：当你使用四环或更高的法术位施放该法术时，使用的法术位每高一环，创造出的流星数量就增加两颗。</t>
  </si>
  <si>
    <t>召唤次级恶魔</t>
  </si>
  <si>
    <t>Summon Lesser Demon</t>
  </si>
  <si>
    <t>来自一个于24小时之内被杀的类人生物身上的一剂血液</t>
  </si>
  <si>
    <t>你吐出污秽的词语，从无底深渊的无尽混沌中召唤来恶魔。遵从下表掷骰来决定什么生物出现。
被召唤的恶魔
1~2，2个挑战等级为1或更低的恶魔。
3~4，4个挑战等级为½或更低的恶魔。
5~6，8个挑战等级为¼或更低的恶魔。
DM选择恶魔的种类，例如原魔或者怯魔，然后你选择施法距离内可见的未被占据空间让它们出现。被召唤的恶魔在生命值降低为0或法术结束时消失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升环施法效应：当你使用六环或七环的法术位施放该法术时，被召唤的恶魔数量变为两倍。当你使用八环或九环的法术位施放该法术时，被召唤的恶魔数量变为三倍。</t>
  </si>
  <si>
    <t>雷霆步</t>
  </si>
  <si>
    <t>Thunder Step</t>
  </si>
  <si>
    <t>你传送到施法距离内一处未被占据的可见空间。在你消失的瞬间，雷鸣般的爆发声响起。在你离开的空间周围10尺内的每个生物必须进行体质豁免检定，失败将受到3d10雷鸣伤害，成功则只承受一半。这道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升环施法效应：当你使用四环或更高的法术位施放该法术时，使用的法术位每高一环，伤害就会增加1d10。</t>
  </si>
  <si>
    <t>潮涌</t>
  </si>
  <si>
    <t>Tidal Wave</t>
  </si>
  <si>
    <t>一滴水</t>
  </si>
  <si>
    <t>你召唤出浪潮拍打距离之内的区域。区域的长度至多为30尺，宽度至多为10尺，高度至多为10尺。在区域内的每个生物均必须进行一次敏捷豁免检定。若检定失败，该生物受到4d8点钝击伤害并摔倒。检定成功则只受到上述伤害的一半，且不会摔倒。水之后会沿着地表向四周流去，熄灭区域内和周围30尺内所有有未受保护的火焰，而后消失不见。</t>
  </si>
  <si>
    <t>迷你仆役</t>
  </si>
  <si>
    <t>Tiny Servant</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</si>
  <si>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这个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升环施法效应：当你使用四环或更高的法术位施放该法术时，使用的法术位每高一环，你可以额外活化两个物体
迷你仆役
微型构装体，无阵营
AC：15（天生护甲）
HP：10(4d4)
速度：30尺，攀爬30尺
力量4(-3)敏捷16(+3)体质10(+0)智力2(-4)感知10(+0)魅力1(-5)
伤害免疫：毒素，精神
状态免疫：目盲，魅惑，耳聋，力竭，恐慌，麻痹，石化，中毒
感官：盲视60尺（对超过半径的区域目盲），被动觉察10
语言：-
动作：挥击：近战武器攻击：命中+5，触及5尺，单一目标。伤害：5(1d4+3)钝击伤害</t>
  </si>
  <si>
    <t>沙墙术</t>
  </si>
  <si>
    <t>Wall Of Sand</t>
  </si>
  <si>
    <t>一捧沙</t>
  </si>
  <si>
    <t>你在距离内你能看到的地表的一点上召唤出由舞动的沙子构成的墙体。你可以制造出的墙体长度至多为30尺，高度至多为10尺，厚度至多为10尺。其将在法术终结时消失。它能阻挡视觉线，但无法阻挡移动。处于墙体所在的空间内的生物目盲，在其中移动时，每移动1尺需要消耗3尺的移动力。</t>
  </si>
  <si>
    <t>水墙术</t>
  </si>
  <si>
    <t>Wall Of Water</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</si>
  <si>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的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</si>
  <si>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脉冲波动</t>
  </si>
  <si>
    <t>Pulse Wave</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</si>
  <si>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另外，完全处于锥形范围内的物件也会被向你被拉进或者被推开15尺。
升环法术效应：当你使用四环或更高环的法术位施展该法术时，每比三环高出一环的法术位就能使法术的伤害增加1d6，并使推拉的距离增加5尺。</t>
  </si>
  <si>
    <t>快速交友</t>
  </si>
  <si>
    <t>Fast Friends</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</si>
  <si>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升环施法效应：当你使用四环或更高的法术位施放该法术时，使用的法术位每高一环，你就可以多指定一个额外的目标。</t>
  </si>
  <si>
    <t>鼓动贪欲</t>
  </si>
  <si>
    <t>Incite Greed</t>
  </si>
  <si>
    <t>一块至少价值50gp的宝石</t>
  </si>
  <si>
    <t>当你施展这个法术时，你将展现作为法术材料成分的宝石，并且选择施法距离内能看见你的、任意数量的生物。每一个目标都必须成功通过一次感知豁免检定，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</si>
  <si>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励志演讲</t>
  </si>
  <si>
    <t>Motivational Speech</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</si>
  <si>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击中，它将在下一个它所进行的攻击检定中具有优势。一旦一个受影响的生物失去了这个法术所提供的临时生命值，这个法术就对它结束了。
升环施法效应：当你使用四环或更高的法术位施放该法术时，使用的法术位每高一环，提供的临时生命值就增加5点。</t>
  </si>
  <si>
    <t>智能壁垒</t>
  </si>
  <si>
    <t>Intellect Fortress</t>
  </si>
  <si>
    <t>在法术持续时间内，你或一个施法距离内的可见生物获得对心灵伤害的抗力，同时在智力、感知和魅力豁免检定上具有优势。
升环施法效应：使用四环或更高法术位施展该法术时，你使用的法术位每比三环高1环，就可以多选择一个生物作为目标。而各目标之间距离不能超过30尺。</t>
  </si>
  <si>
    <t>魂灵环绕</t>
  </si>
  <si>
    <t>Spirit Shroud</t>
  </si>
  <si>
    <t>你召来亡者的魂灵，而它们在法术持续时间内环绕于你的身边。这些魂灵无形且不可伤害。
直到法术终止前，你所有命中你10尺内生物的攻击造成1d8额外伤害。伤害类型为光耀、黯蚀或寒冷（由你在施展法术的时候选择）。任何受到此伤害的生物无法恢复生命值直到你的下个回合开始。
此外，任何你10尺内可见生物回合开始时，你可以使其速度降低10尺直到你的下个回合开始。
升环施法效应：使用四环或更高法术位施展该法术时，你使用的法术位每比三环高2环，其伤害就增加1d8。</t>
  </si>
  <si>
    <t>精类召唤术</t>
  </si>
  <si>
    <t>Summon Fey</t>
  </si>
  <si>
    <t>一朵镀金花，价值至少300gp</t>
  </si>
  <si>
    <t>你唤来一个精类灵魄。其在施法距离内你可见的一个未占据位置化为实体。这一实体使用下面的精类灵魄的数据。当你施展法术时，从诡诈，愤怒或欢欣中选择一种情绪。此生物的外形为一个受你所选情绪所影响的精类生物，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升环施法效应：使用四环或更高法术位施展该法术时，该生物数据中使用更高的法术环数。
精类灵魄
小型精类
AC：12+法术环阶（天生护甲）
HP：30+高于三环的每环阶10点
速度：40尺
力量，敏捷，体质，智力，感知，魅力
13[+1]，16[+3]，14[+4]，14[+2]，11[+0]，16[+3]
状态免疫：魅惑
感官：黑暗视觉60尺，被动察觉10
语言：木族语，理解你讲的语言
熟练加值与你相等
动作：
多重攻击：该精类发动等同于法术环阶半数（向下取整）次数的攻击。
短剑：近战武器攻击：命中采取你的法术攻击加值，触及5ft.，单一目标；命中：1d6+3+法术环阶的穿刺伤害+1d6力场伤害。
附赠动作：
精类步：该精类魔法地传送到最远30ft.的一处它可见的未被占据空间。然后根据所选精类情绪，触发以下效果之一：
愤怒：在使用精类步后，该精类生物在它回合结束前的下一次攻击检定具有优势。
欢欣：在使用精类步后，该精类生物可以立即选择它10尺内可见的一个生物，强迫其进行一次对抗你的法术豁免DC的感知豁免，若豁免失败则其将被你及该精类生物魅惑，持续1分钟或目标受到任何伤害。
诡诈：在使用精类步后，该精类生物可以立即令魔法黑暗充斥于它5尺内的一个5尺立方区域，魔法黑暗持续直到精类生物的下回合结束。</t>
  </si>
  <si>
    <t>暗影衍体召唤术</t>
  </si>
  <si>
    <t>Summon Shadowspawn</t>
  </si>
  <si>
    <t>包有眼泪的宝石，价值至少300gp</t>
  </si>
  <si>
    <t>你唤来一个暗影灵魄。其在施法距离内你可见的一个未占据位置化为实体。这一实体使用下面的暗影灵魄的数据。当你施展法术时，当你施展法术时，从暴怒，绝望或恐惧中选择一种情感。此生物的外形为一个受你所选情感所影响的畸形二足生物，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升环施法效应：使用四环或更高法术位施展该法术时，该生物数据中使用更高的法术环数。
幽影灵魄
中型怪兽
AC：11+法术等级(天生护甲)
HP：35+15每比3环高的法术等级
速度：40尺
力量，敏捷，体质，智力，感知，魅力
13[+1]，16[+3]，15[+2]，4[-3]，10[+0]，16[+3]
伤害抗性：黯蚀
状态免疫：恐慌
感官：黑暗视觉120尺，被动察觉10
语言：理解你说的语言
熟练加值与你相等
惧怖狂怒（仅限暴怒）：该灵魄对恐慌生物发动的攻击检定具有优势。
哀伤之重（仅限绝望）：除你之外的所有生物在该灵魄5尺内开始回合时，其速度降低20尺直到该生物的下回合开始。
动作：
多重攻击：该灵魄发动等同于法术环数一半的次数的攻击（向下取整）。
冻寒撕裂：近战武器攻击：命中+你的法术攻击调整值，触及5尺，单一目标。伤害：1d12+3+法术环阶的冷冻伤害。
恐惧尖叫：（1/日）。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暗影潜藏（仅限恐惧）：灵魄处于微光光照或黑暗环境时，可以一个附赠动作来执行躲藏动作。</t>
  </si>
  <si>
    <t>亡灵召唤术</t>
  </si>
  <si>
    <t>Summon Undead</t>
  </si>
  <si>
    <t>一个镀金头骨，价值至少300gp</t>
  </si>
  <si>
    <t>你唤来一个不死生物灵魄。其在施法距离内你可见的一个未占据位置化为实体。这一实体使用下面的不死灵魄的数据。当你施展法术时，当你施展法术时，从虚灵，腐尸或骷髅中为此生物选择一个外形。此生物的外形为你所选形态的不死生物，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升环施法效应：使用四环或更高法术位施展该法术时，该生物数据中使用更高的法术环数。
不死灵魄
中型不死生物
AC：11+法术等级(天生护甲)
HP：30（仅限虚灵或腐尸）或20（仅限骷髅）+10每比3环高的法术等级
速度：40尺，飞行40尺（悬浮）（仅限虚灵）
力量，敏捷，体质，智力，感知，魅力
12[+1]，16[+3]，15[+2]，4[-3]，10[+0]，9[-1]
伤害免疫：黯蚀，毒素
状态免疫：力竭，恐慌，麻痹，中毒
感官：黑暗视觉60尺，被动察觉10
语言：理解你说的语言
熟练加值与你相等
腐灭灵光（仅限腐尸）：除你之外的所有生物，在不死生物5尺内开始其回合时必须进行一次体质豁免对抗你的法术豁免DC，豁免失败则在其下个回合开始前中毒。
虚体移动（仅限于虚灵）：灵魄可以虚体化并如同穿过困难地形一样穿过其他生物和物件。如果它在自己的回合结束时仍处在物件内部，则被挪到距离最近的未被占据的位置，且每虚体移动5尺便受到1d10力场伤害。
动作：
多重攻击：灵魄发动等同于法术环数一半的次数的攻击（向下取整）。
致死之触（仅限于虚灵）：近战武器攻击：命中+你的法术攻击调整值，触及5尺，单一生物。伤害：1d8+3+法术环数的黯蚀伤害，且目标生物必须进行一次感知豁免对抗你的法术豁免DC，豁免失败则对不死生物恐慌直到目标下回合结束。
暗澹箭（仅限于骷髅）：远程法术攻击：命中+你的法术攻击调整值，射程150尺，单一目标。伤害：2d4+3+法术环数的黯蚀伤害。
腐烂爪击（仅限于腐尸）：近战武器攻击：命中+你的法术攻击调整值，触及5尺，单一目标。伤害：1d6+3+法术环数的挥砍伤害。如果目标处于中毒状态，其必须进行一次体质豁免对抗你的法术豁免DC，否则麻痹直到目标下回合结束。</t>
  </si>
  <si>
    <t>阿莎德隆奔行</t>
  </si>
  <si>
    <t>Ashardalon’s Stride</t>
  </si>
  <si>
    <t>龙类翻滚咆哮的火焰环绕你的足部，使你获得爆发性的速度。法术持续时间内，你的速度提升20尺，并且移动不会触发借机攻击。
当你移动至一个生物或未被着装或携带的物件5尺内时，其被你的灼热尾迹灼烧，受到1d6火焰伤害。一个生物或物件每回合只会承受一次此伤害。
升环施法效应：使用四环或更高法术位施展该法术时，你使用的法术位每比三环高一环，你的移动速度额外增加5尺，法术造成的伤害增加1d6。</t>
  </si>
  <si>
    <t>加德尔高塔术</t>
  </si>
  <si>
    <t>Galder'S Tower</t>
  </si>
  <si>
    <t>一块石头，木材或其他建筑材料的碎片</t>
  </si>
  <si>
    <t>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t>
  </si>
  <si>
    <t>秘法眼</t>
  </si>
  <si>
    <t>Arcane Eye</t>
  </si>
  <si>
    <t>一点蝙蝠毛皮</t>
  </si>
  <si>
    <t>你在施法距离内创造出一个漂浮在空中的隐形魔法眼。
秘法眼拥有30尺普通视觉和黑暗视觉且可以观察任何方向。你通过精神连接接收秘法眼传来的视觉信息。
你可以使用一个动作让秘法眼向任意方向移动30尺。秘法眼远离你的距离没有限制，但它无法进入另一个位面。固体障碍物会阻挡秘法眼的移动，但它可以穿过任何直径大于1尺的缝隙。</t>
  </si>
  <si>
    <t>抄录龙纹，侦测龙纹，底密尔特务，知识领域，奥秘领域，集群守卫，穹宇尽视，衡鉴学生</t>
  </si>
  <si>
    <t>生命灵光</t>
  </si>
  <si>
    <t>Aura Of Life</t>
  </si>
  <si>
    <t>护佑的能量自你身上发出并形成30尺半径的灵光，在法术持续时间内，灵光将以你为中心随你移动。灵光范围内的非敌对生物（包括你自己）获得对黯蚀伤害的抗性，其生命值上限也无法被降低。另外，生命值为0的非敌对活体生物，在灵光范围内开始其回合时会恢复1点生命值。</t>
  </si>
  <si>
    <t>医疗龙纹，畜牧龙纹，瑟雷尼亚祀徒，暮光领域，团结领域，野火结社，不朽者</t>
  </si>
  <si>
    <t>净化灵光</t>
  </si>
  <si>
    <t>Aura Of Purity</t>
  </si>
  <si>
    <t>净化的能量自你身上发出并形成30尺半径的灵光，在法术持续时间内，灵光将以你为中心随你移动。灵光范围内的非敌对生物（包括你自己）不会陷入疾病状态，并获得对毒素伤害的抗性，其进行对抗下列状态的豁免时具有优势：目盲、魅惑、耳聋、恐慌、麻痹、中毒和震慑。</t>
  </si>
  <si>
    <t>医疗龙纹，招待龙纹，和平领域，守望圣誓，战地匠师</t>
  </si>
  <si>
    <t>放逐术</t>
  </si>
  <si>
    <t>Banishment</t>
  </si>
  <si>
    <t>一件令目标厌恶的物品</t>
  </si>
  <si>
    <t>你试图将一名你能看见的生物送往另一位面。目标必须进行一次魅力豁免并成功通过，否则将被放逐。
如果目标是你所处位面的原住民，则他被放逐到一个无害的半位面。在半位面期间该生物处于失能状态。法术终止时，目标重新出现在被放逐前的空间。如果该空间被占据，则它将出现在最近的未被占据空间。
如果目标不是你所处位面的原住民，则他会伴随着轻微的“啪”一声被放逐回其家园位面。如果法术在1分钟过去之前终止，则目标将在他被放逐前的空间重新出现。如果该空间被占据，则他在最近的未被占据空间出现。如果法术在持续1分钟后终止，则目标不会回到原地。
升环施法效应：使用五环或更高法术位施展该法术时，你使用的法术位每比四环高一环，就能多指定一个目标。</t>
  </si>
  <si>
    <t>复仇圣誓，王冠圣誓，守望圣誓，边界行者，怪物杀手</t>
  </si>
  <si>
    <t>枯萎术</t>
  </si>
  <si>
    <t>Blight</t>
  </si>
  <si>
    <t>死灵魔法的能量袭向一个施法距离内你能看见的生物，并榨取他的水分和活力。目标必须进行一次体质豁免，豁免失败者将受到8d8点黯蚀伤害，豁免成功则伤害减半。该法术对构装生物和不死生物无效。
如果目标为植物类生物或魔法植物，则其豁免检定具有劣势，且法术伤害取最大值。
如果目标为非魔法非生物的植物，如一棵树或灌木，则它无需进行豁免而直接枯萎死去。
升环施法效应：使用五环或更高法术位施展该法术时，你使用的法术位每比四环高一环，法术的伤害就增加1d8。</t>
  </si>
  <si>
    <t>欧佐夫议员，死亡领域，坟墓领域，大地结社荒漠，孢子结社，破誓者，炼金师，靡华学生</t>
  </si>
  <si>
    <t>强迫术</t>
  </si>
  <si>
    <t>Compulsion</t>
  </si>
  <si>
    <t>指定施法距离内你能看到，且能听到你声音的若干生物并迫使其分别进行一次感知豁免。其中无法被魅惑的目标将直接豁免成功，而豁免失败者将受到该法术效应的影响。直至该法术终止前，你可以在你每个回合中用一个附赠动作指向某个水平方向。随后，每个受术目标在其下一回合里必须使用其所有的移动力尽可能的向该方向移动。目标可以在移动前执行其动作，而完成这些移动行为后它可以再进行一次感知豁免以终止该效应。
每个目标不会被强令走向明显致命的危害物中，比如火堆或陷坑里，不过目标在向指定方向移动时同样可以引起借机攻击。</t>
  </si>
  <si>
    <t>俄佐立官员，秩序领域，荣耀圣誓，惑人低语，银毫学生</t>
  </si>
  <si>
    <t>困惑术</t>
  </si>
  <si>
    <t>Confusion</t>
  </si>
  <si>
    <t>三颗坚果壳</t>
  </si>
  <si>
    <t>此法术冲击并扭曲生物的意志，并使其产生错觉并引发不受控的行动。在施法距离内指定一点，以该点为中心的10尺半径球状区域内的生物必须进行一次感知豁免并成功通过，否则将受到该法术的影响。
受术目标不能执行反应并且必须在其回合开始时掷一次d10以决定该生物本回合的行为。
受术生物在其每回合结束时可以在进行一次感知豁免。如果该豁免成功，则该目标身上该法术的效应终止。
升环施法效应：使用五环或更高法术位施展该法术时，你使用的法术位每比四环高一环，球状区域半径就增加5尺。
行为：
1：该生物使用其所有移动力向一个随机方向移动。你可以掷一次d8并设定每个骰值代表的方向以决定其最终移动方向。该生物本回合不执行任何动作。
2-6：该生物本回合不移动也不执行任何动作。
7-8：该生物使用其动作对可触及范围内一个随机目标发动一次近战攻击。如果没有生物在其触及范围内，则该生物本回合什么都不做。
9-10：该生物本回合内可以正常的移动和行动。</t>
  </si>
  <si>
    <t>抄录龙纹，拉铎斯邪教徒，知识领域，孢子结社，破誓者，狂野魔法浪涌，恐惧箴言，银毫学生</t>
  </si>
  <si>
    <t>召唤次级元素生物</t>
  </si>
  <si>
    <t>Conjure Minor Elementals</t>
  </si>
  <si>
    <t>你召唤元素生物并使其显现在施法范围内一处你能看见但未被占据的空间。选择以下选项之一作为显现的生物：
一个挑战等级2或更低的元素生物
两个挑战等级1或更低的元素生物
四个挑战等级½或更低的元素生物
八个挑战等级¼或更低的元素生物
每个被该法术召唤的元素生物在生命值降至0，或者法术终止时消失不见。
被召唤的生物对你和你的伙伴保持友善关系。你将召唤出来的所有生物视为一个团体来骰出先攻，它们也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升环施法效应：使用更高法术位施展该法术时，选择上文所述召唤选项之一，并显现更多生物：六环法术位显现两倍生物，八环法术位显现三倍生物。</t>
  </si>
  <si>
    <t>暴风龙纹，伊捷工程师，瑟雷尼亚祀徒</t>
  </si>
  <si>
    <t>召唤林地之精</t>
  </si>
  <si>
    <t>Conjure Woodland Beings</t>
  </si>
  <si>
    <t>每个被召唤生物一枚冬青浆果</t>
  </si>
  <si>
    <t>你召唤精类生物并使其显现在施法范围内一处你能看见但未被占据的空间。选择以下选项之一作为显现的生物：
一个挑战等级2或更低的精类生物
两个挑战等级1或更低的精类生物
四个挑战等级½或更低的精类生物
八个挑战等级¼或更低的精类生物
每个被该法术召唤的精类生物在生命值降为0，或者法术终止时消失不见。
被召唤的生物对你和你的伙伴保持友善关系。你将召唤出来的所有生物视为一个团体来骰出先攻，它们也依此获得其自己的行动回合。他们服从你发出的所有语言命令（不需要你作动作）。如果你不发出任何命令，这些生物会在敌对生物前保护自己，如果没有敌对生物则不执行任何动作。
这些生物的具体数值由DM掌控。
升环施法效应：使用更高法术位施展该法术时，选择上文所述召唤选项之一，并显现更多生物：六环法术位显现两倍生物，八环法术位显现三倍生物。</t>
  </si>
  <si>
    <t>操控水体</t>
  </si>
  <si>
    <t>Control Water</t>
  </si>
  <si>
    <t>一滴水和一撮土</t>
  </si>
  <si>
    <t>你在法术终止前控制任一片独立的水体，控制范围为你指定的一处边长100尺的立方区域。施展该法术时，你可以从以下效应中选择其一生效。在你之后的每个自己回合中，你可以用一个动作重复生效同一效应，或是选择实现另一效应：
上涨：你使控制区域内水位上涨至多20尺。如果该区域包含有滨岸，则水体漫过涨水覆盖的干土。
如果你指定的区域是一片大水体中的一部分，则你改为制造一片20尺高的波浪，并从区域的一边扑向另一边再拍下水面。波浪中任何巨型或更小的载具都会被带到水浪行进的另一边。且所有巨型或更小的载具都有25%的几率被倾覆。
直至法术终止或你选择另一个效应前，水位的上涨情况将保持不变。如果该效应用以产生波浪，则波浪在你下一回合开始时再次进行翻打。
分水：你使区域内的水体分开并形成一条水体的沟壑。沟壑从法术区域的一头延伸到另一头，而被分开的水体则在两边形成两道水墙。沟壑维持至法术终止或直至你选择另一个效应。该效应终止时，沟壑会在接下来的一轮里慢慢的恢复成通常的水位。
转向：你使区域内的水体向一个你自选的方向流动。使其绕过障碍，或沿着墙壁向上流，甚至流向一些不太可能的方向，区域内的水体都遵照你指使的方向流动，但一旦其流出法术区域，则恢复为其所在地形的流向。水体持续向你所选方向流动，直至法术终止或直至你选择另一效应。
漩涡：该效应需要水体至少为50尺的方形区域并且至少有25尺深。你在区域中央形成一个漩涡。其形态为底部宽5尺顶部宽50尺，且25尺高。水中任何在漩涡25尺范围内的生物或物件将被漩涡向自身拉动10尺。受影响的生物可以进行一次力量（运动）检定来对抗你的法术DC，以通过游泳脱离漩涡控制。
任何生物在一个回合内第一次进入漩涡或者在漩涡内开始其回合时，必须进行一次力量豁免。豁免失败者将受到2d8点钝击伤害，并被拖入漩涡中心直至法术终止。豁免成功则伤害减半，且不会被拖入漩涡。被拖入漩涡中心的生物可以用其动作尝试游泳来离开漩涡（如上文所述），但它此时进行的力量（运动）检定具有劣势。
物件在一回合里第一次进入漩涡时受2d8点钝击伤害；如果物件保持在漩涡内，该伤害就会在每轮持续发生。</t>
  </si>
  <si>
    <t>暴风龙纹，风暴领域，大地结社海岸，巨灵宗主水巨灵，深海意志，量析学生</t>
  </si>
  <si>
    <t>防死结界</t>
  </si>
  <si>
    <t>Death Ward</t>
  </si>
  <si>
    <t>你触碰一个生物，并给予其对死亡的防护。
目标第一次生命值因承受伤害而降至0时，改为生命值降至1，并终止本法术效应。
法术生效时，如果目标受到不造成伤害但直接致死效应影响时，改为该致死效应被取消，并终止本法术效应。</t>
  </si>
  <si>
    <t>守护龙纹，波洛斯军团兵，欧佐夫议员，生命领域，死亡领域，坟墓领域，野心领域，不朽者，炼金师，死灵宗主，靡华学生</t>
  </si>
  <si>
    <t>任意门</t>
  </si>
  <si>
    <t>Dimension Door</t>
  </si>
  <si>
    <t>你将自己从当前位置传送至施法距离内的任意地点，并准确到达该目的地。法术的目的地可以是你能看见的、可想象的地点，也可以是通过距离和方向说明的地点，比如“径直向下200尺”，“西北向上45度300尺”。
进行传送时，你的随身物件不能超过你的负重。你还可以带上一个自愿的生物，且其体型不能比你大，而他的随身物件也不能超过其负重。该生物在你施法时必须在你5尺内。
如果你的目的地已经被生物或物件占据，则你以及任何与你一起传送的生物都将受到4d6点力场伤害，且法术传送失败。</t>
  </si>
  <si>
    <t>通行龙纹，诡术领域，野心领域，复仇圣誓，妖精漫游者</t>
  </si>
  <si>
    <t>预言术</t>
  </si>
  <si>
    <t>Divination</t>
  </si>
  <si>
    <t>适合你宗教信仰的熏香和祭品，总共价值至少25gp，作为该法术的耗材</t>
  </si>
  <si>
    <t>你的魔法和贡品让你得以与一名神祇或神仆取得联络。你可以就某个特定的目标、事件或活动提问一个与其7日内状况相关的问题。DM将给予你真实的答复，这个答复可能是一段短语、一节神秘的短诗或是一个预兆。
此法术的回答并不会顾及所有可能影响结果的情况。比如其他法术的影响，或者同伴的加入和离开等状况。
若你在两次长休之间两次或更多次的施展该法术，则法术有概率会给出随机的结果。此概率从第二次施展起每次累计25％。其具体结果由DM暗骰决定。</t>
  </si>
  <si>
    <t>探索龙纹，侦测龙纹，俄佐立官员，伊捷工程师，大地结社森林，大地结社草原，先知</t>
  </si>
  <si>
    <t>支配野兽</t>
  </si>
  <si>
    <t>Dominate Beast</t>
  </si>
  <si>
    <t>试图安抚一头施法距离内你能看见的野兽，目标野兽必须成功通过一次感知豁免，否则将在法术持续时间内被你魅惑。若它正与你或你的友方生物战斗，则其进行该豁免时具有优势。
该野兽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五环法术位施展该法术时，持续时间变为：专注，至多10分钟。使用六环法术位施展该法术时，持续时间变为：专注，至多1小时。使用七环或更高法术位施展该法术时，持续时间变为：专注，至多8小时。</t>
  </si>
  <si>
    <t>畜牧龙纹，古鲁反抗者，自然领域，力量领域，征服圣誓，至高妖精，旧日支配者</t>
  </si>
  <si>
    <t>艾伐黑触手</t>
  </si>
  <si>
    <t>Evard's Black Tentacles</t>
  </si>
  <si>
    <t>巨章鱼或巨鱿鱼的一条触须</t>
  </si>
  <si>
    <t>你指定一处施法距离内你能看见的20尺方形区域，使其内布满蠕动的乌黑触须，进而使该区域成为困难地形。
任何生物在一个回合内第一次进入该区域，或者在区域内开始其回合时，必须进行一次敏捷豁免。豁免失败者将受到3d6点钝击伤害，并且被触须束缚直至法术终止。生物在区域内开始其回合时，如果已受触须束缚则受到3d6点钝击伤害。
受触须束缚的生物可以使用动作进行一次对抗法术豁免DC的力量检定或敏捷检定（自选其一），检定成功则挣脱束缚。</t>
  </si>
  <si>
    <t>畸变心智，旧日支配者，深海意志</t>
  </si>
  <si>
    <t>鬼斧神工</t>
  </si>
  <si>
    <t>Fabricate</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</si>
  <si>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大型或更小的物件（至多占据10尺立方区域或八个相邻的5尺立方区域）。如果你的目标材料是金属、石料或者其他矿石材料，那么背制造的物件不能大于中型（至多占据5尺立方区域），制成品的质量和原材料质量相同。
生物或魔法物品不能作为该法术的原料或成品。你只有对制作某物品的工匠工具拥有熟练项时，才能使用该法术制作相应需要高工艺水平制作的物品，如珠宝、武器、玻璃、护甲等。</t>
  </si>
  <si>
    <t>创造龙纹，锻造领域</t>
  </si>
  <si>
    <t>火焰护盾</t>
  </si>
  <si>
    <t>Fire Shield</t>
  </si>
  <si>
    <t>一小块磷或者一只萤火虫</t>
  </si>
  <si>
    <t>微薄的烈焰在法术持续时间内环绕你的身体，散发出10尺半径的明亮光照，以及该范围外10尺的微光光照。你可以提前以一个动作解散该效应并终止该法术
你选择该烈焰生成一副温暖护盾或冻寒护盾。温暖护盾将为你提供冷冻伤害抗性，冻寒护盾则提供火焰伤害抗性。
此外，任何生物在你周围5尺范围内对你发动近战攻击时，护盾将对其迸出烈焰，温暖护盾将对攻击者造成2d8点火焰伤害，而冻寒护盾则对其造成2d8点冷冻伤害。</t>
  </si>
  <si>
    <t>热忱领域，野火结社，邪魔宗主，巨灵宗主火巨灵，战地匠师，装甲师</t>
  </si>
  <si>
    <t>行动自如</t>
  </si>
  <si>
    <t>Freedom Of Movement</t>
  </si>
  <si>
    <t>一条绑在手臂或其他肢体上的皮带</t>
  </si>
  <si>
    <t>你触碰一个自愿生物，并使目标在法术持续时间内移动时不受困难地形限制，并使任何降低目标速度，或者使目标陷入麻痹或束缚的法术或魔法效应对其无法生效。
该目标还可以花费5尺移动力直接从非魔法的束缚中挣脱（诸如镣铐或生物的擒抱等）。此外，目标在水下进行移动和攻击时不再受减益规则的限制。</t>
  </si>
  <si>
    <t>通行龙纹，底密尔特务，析米克科学家，战争领域，热忱领域，大地结社极地，大地结社海岸，大地结社森林，大地结社草原，大地结社幽暗地域，奉献圣誓，荣耀圣誓，时械之魂，粹丽学生，量析学生</t>
  </si>
  <si>
    <t>巨虫术</t>
  </si>
  <si>
    <t>Giant Insect</t>
  </si>
  <si>
    <t>你指定施法距离内至多十只蜈蚣，或三只蜘蛛，或五只黄蜂，或一只蝎子作为法术目标，在法术持续时间内你将其转化为它们自然形态的巨大版本。蜈蚣变成巨蜈蚣，蜘蛛变成巨蜘蛛，黄蜂变成巨黄蜂，蝎子变成巨蝎。
每只生物都将服从你的口头命令。在战斗中，它们每轮在你的回合行动。这些生物的属性数据及其动作选项和移动能力均由DM掌控。
在法术持续时间内，目标生物将维持其巨大的体型，直到其生命值降至0或你用一个动作解除其身上的效应为止。
DM可能会允许你指定不同的生物作为法术目标。例如，如果你转化一只蜜蜂，则其巨大版本可能会使用与巨黄蜂一样的属性数据。</t>
  </si>
  <si>
    <t>擒抱藤</t>
  </si>
  <si>
    <t>Grasping Vine</t>
  </si>
  <si>
    <t>你指定施法距离内一个你能够看见的未被占据空间，并召唤一条藤蔓使其从该空间的地面上破土而出。施展该法术时，你可以指使该藤蔓抽拉其30尺范围内一个你能看见的生物。该生物必须进行一次敏捷豁免，豁免失败则被往藤蔓所在方向拉近20尺。
直至该法术终止前，你可以在你的回合里用一个附赠动作指使藤蔓抽拉同一生物或者转向抽拉另一个生物。</t>
  </si>
  <si>
    <t>葛加理成员，自然领域</t>
  </si>
  <si>
    <t>高等隐形术</t>
  </si>
  <si>
    <t>Greater Invisibility</t>
  </si>
  <si>
    <t>你或一个你触碰的生物变为隐形，直至法术终止。任何保持在目标身上的着装物和携带物也可以维持隐形状态。</t>
  </si>
  <si>
    <t>阴影龙纹，暮光领域，大地结社沼泽，幽域追踪者，至高妖精，巨灵宗主气巨灵，装甲师，死灵宗主</t>
  </si>
  <si>
    <t>信仰守卫</t>
  </si>
  <si>
    <t>Guardian Of Faith</t>
  </si>
  <si>
    <t>一个大型的幽灵守护者出现在施法距离内一个你能看见且由你指定的未被占据空间，并在法术持续时间内在该处悬浮。占据该空间的守护者除了一把闪光的剑和饰有你守护神标志的盾牌外，其他部位都只是一片模糊。
任何与你敌对的生物在一回合内第一次进入守护者身边10尺范围内时必须进行一次敏捷豁免。豁免失败者将受到20点光耀伤害，豁免成功则伤害减半。守护者在造成总共60点伤害后随即消失。</t>
  </si>
  <si>
    <t>守护龙纹，生命领域，光明领域，团结领域，奉献圣誓，王冠圣誓，天界宗主</t>
  </si>
  <si>
    <t>幻景</t>
  </si>
  <si>
    <t>Hallucinatory Terrain</t>
  </si>
  <si>
    <t>一块石头、一枝嫩枝和一小片绿色植物</t>
  </si>
  <si>
    <t>你使施法距离内一处150尺立方区域内的自然地形在视觉、听觉、嗅觉上都像是另一种自然地形。因此，开阔的平原或者一条路可能会变得像是一片沼泽，或是丘陵、裂谷以及其他困难地形，甚至是无法通过的地形。一个池塘可能变得看起来像一片草地，一个悬崖像是一个缓坡，或者使一条乱石沟像是一条宽阔平坦的道路。区域内经过加工的建筑、设备或生物的外表不会改变。
地形的触觉特征不会改变，所以进入这片区域的生物可能会看穿幻象。如果触觉区别不明显，一个认真调查幻象的生物可以尝试进行一次对抗法术豁免DC的智力（调查）检定以揭穿幻象。对于一个识破了幻象本体的生物，幻象看起来就像是一层模糊的图像叠加在真实地形上。</t>
  </si>
  <si>
    <t>阴影龙纹，大地结社荒漠</t>
  </si>
  <si>
    <t>冰风暴</t>
  </si>
  <si>
    <t>Ice Storm</t>
  </si>
  <si>
    <t>一撮尘土和几滴水</t>
  </si>
  <si>
    <t>以施法距离内一点为中心的一处半径20尺，高40尺的柱状区域内，岩石般坚硬的冰雹重重地砸向地面。每个处在范围内的生物都必须进行一次敏捷豁免，豁免失败者将受到2d8的钝击伤害和4d6点冷冻伤害，豁免成功则伤害减半。
冰雹使风暴影响的区域变为困难地形，直至你的下一回合结束。
升环施法效应：使用五环或更高法术位施展该法术时，你使用的法术位每比四环高一环，钝击伤害就增加1d8。</t>
  </si>
  <si>
    <t>风暴领域，大地结社极地，古贤圣誓，魔炮师</t>
  </si>
  <si>
    <t>李欧蒙秘藏箱</t>
  </si>
  <si>
    <t>Leomund's Secret Chest</t>
  </si>
  <si>
    <t>一个3×2×2尺，由稀有材料制成的精致箱子至少价值5000gp；以及由同样材料制成的一个箱子的微缩模型至少价值50gp</t>
  </si>
  <si>
    <t>你将一个箱子及其内容物藏在以太位面。你必须同时接触箱子和作为法术材料成分的微缩模型。箱子最多可容纳12立方尺的非活体物质（3×2×2尺）。
箱子处于以太位面时，你可以用一个动作并触碰箱子的模型来召回箱子。箱子出现在你5尺内一个未被占据空间的地面。随后，你可以使用一个动作并同时触碰箱子与复制品来把箱子送回以太位面。
60日之后，法术的效应会每日累计5%的概率自动结束。如果你再次施展该法术或箱子的模型被摧毁，又或者以一个动作终止该法术时，该法术的效应将随之终止。如果法术终止时箱子处于以太界，则其将不可挽回地丢失。</t>
  </si>
  <si>
    <t>警戒龙纹，欧佐夫议员，奥秘领域</t>
  </si>
  <si>
    <t>生物定位术</t>
  </si>
  <si>
    <t>Locate Creature</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</si>
  <si>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个体，不过你需要在30尺的近距离内看到过该类生物至少一次。如果被点名或描述的生物并不处于其原本的形态（例如正被一个变形术的法术效应影响时），则该法术无法定位该生物。
如果至少10尺宽的流水横亘于你和被定位生物之间阻挡了二者间的通路，则该生物也无法被该法术所定位。</t>
  </si>
  <si>
    <t>探索龙纹，秩序领域，大地结社幽暗地域，原始意识</t>
  </si>
  <si>
    <t>摩登肯忠犬</t>
  </si>
  <si>
    <t>Mordenkainen's Faithful Hound</t>
  </si>
  <si>
    <t>一只微型银质哨子、一块骨头和一根线</t>
  </si>
  <si>
    <t>指定施法距离内一处你能看见且未被占据的空间，你在该处创造出一只幻影守护犬。守护犬会在法术持续时间内留在原地，直到你使用一个动作将其解散，或者直到你移动到距它100尺外。
除你之外的所有生物视守护犬处于隐形状态，且无法对其造成伤害。当一个小型或更大的生物进入守护犬30尺内时，如果该生物无法说出你在施法时设定的口令，守护犬则会开始大声吠叫。守护犬能看见隐形生物，也可以观察到以太位面，并且无视幻术的影响。
在你的每回合开始时，守护犬会尝试啮咬其5尺范围内一个与你敌对的生物。它的攻击加值等于你施法关键属性调整值+你的熟练加值。若命中，则造成4d8点穿刺伤害。</t>
  </si>
  <si>
    <t>摩登肯私人密室</t>
  </si>
  <si>
    <t>Mordenkainen's Private Sanctum</t>
  </si>
  <si>
    <t>一片薄铅片、一块不透明的玻璃、一小块棉花或布料和贵橄榄石粉末</t>
  </si>
  <si>
    <t>你对施法距离内一片区域施以魔法防护。该区域为一立方区域，其边长至小5尺，大至100尺。该法术一直持续至持续时间结束或施法者以一个动作主动解除。
施展该法术时，其生效的保护内容由你决定。在以下几项属性中作选择，你可以选择若干项或者全部选择：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每日在同一个位置施展此法术，持续一年，会使这些效果成为永久性效果。
升环施法效应：使用五环或更高法术位施展此法术时，你使用的法术位每比四环高一环，你就可以将被保护的立方区域边长增加100尺。比如使用五环法术位时，你就能保护边长至多200尺的立方区域。</t>
  </si>
  <si>
    <t>欧提路克弹力法球</t>
  </si>
  <si>
    <t>Otiluke's Resilient Sphere</t>
  </si>
  <si>
    <t>一块透明的半球形水晶和一块与之形状相配的半球形阿拉伯胶</t>
  </si>
  <si>
    <t>一个微微发光的力场球将施法距离内一个大型或更小的生物或物件封在其中。一个非自愿的生物必须进行一次敏捷豁免，豁免失败则该生物在法术持续时间内被关封在球体中。
任何事物——包括实体物件、能量或其它法术效应都不能穿透力场球的障壁进出其内，不过生物在球内仍可以正常呼吸。球体免疫一切伤害，且球内的生物或物件不能被来自球外的攻击或效果所伤害，球内的生物也不能对球外的事物造成伤害。
该球体没有重量，而其尺寸刚好可以容纳球内的生物或物件。被封住的生物可以使用其动作推动球壁并以该生物速度的一半滚动球体。另外，球体也可以被其他生物拿起或移动。
对球体施展解离术后可以摧毁球体而不伤害球内的任何事物。</t>
  </si>
  <si>
    <t>伊捷工程师，和平领域，救赎圣誓</t>
  </si>
  <si>
    <t>魅影杀手</t>
  </si>
  <si>
    <t>Phantasmal Killer</t>
  </si>
  <si>
    <t>你指定施法距离内一个你能看见的生物，并窥探其噩梦以具象其最深的恐惧，依此创造一个只有目标能看见的幻象化身。目标生物必须进行一次感知豁免。豁免失败时，目标将在法术持续时间内陷入恐慌。在法术终止前，目标必须在其每回合结束时进行一次感知豁免，豁免失败则受4d10的心灵伤害。豁免成功则法术终止。
升环施法效应：使用五环或更高的法术位施展该法术时，你使用的法术位每比四环高一环，伤害就增加1d10。</t>
  </si>
  <si>
    <t>咒剑士，巨灵宗主</t>
  </si>
  <si>
    <t>变形术</t>
  </si>
  <si>
    <t>Polymorph</t>
  </si>
  <si>
    <t>一个毛虫虫茧</t>
  </si>
  <si>
    <t>该法术将一个施法距离内你能看见的生物变化为一个新的形态。一个非自愿的生物必须进行一次感知豁免来避免此效应。该法术无法对变形生物或生命值为0的生物生效。
法术产生的变化在法术持续时间内得以维持，或直至目标的生命值降为0或死亡。新形态可以是任何挑战等级小于等于目标本身的野兽（如果目标没有挑战等级，则以其等级为基准）。目标的游戏资料以及心智相关的属性值都将被所选定野兽的属性数据取代。而其阵营和个性则仍然保留。
目标使用其新形态的生命值。当它变回正常形态时，则立即恢复变化前的生命值。如果目标因为生命值降至0而变回正常形态，则其正常形态需要承受所有的溢出伤害。只要溢出的伤害没有将该生物正常形态的生命值降为0，它就不会因打击而陷入昏迷。
该生物可作出的动作因其新形态而有所限制。它不能说话，不能施法，也不能作出其他需要用手和需要说话的动作。
目标的装备融入新形态中，但其不能启动，使用，挥舞或以其他方式从其装备上获得增益。</t>
  </si>
  <si>
    <t>析米克科学家，诡术领域，狂野魔法浪涌，重塑血肉，变化学派</t>
  </si>
  <si>
    <t>惊惧斩</t>
  </si>
  <si>
    <t>Staggering Smite</t>
  </si>
  <si>
    <t>你在法术持续时间内下一次用近战武器攻击命中某个生物时你的武器将同时贯穿对方的身体与心智。该攻击对目标造成额外4d6的心灵伤害。该目标必须进行一次感知豁免，豁免失败则目标进行攻击检定和属性检定时具有劣势，且不能执行反应直至其下一回合结束。</t>
  </si>
  <si>
    <t>塑石术</t>
  </si>
  <si>
    <t>Stone Shape</t>
  </si>
  <si>
    <t>软粘土，必须捏成你想塑造的大致形状</t>
  </si>
  <si>
    <t>你触碰一个体积为中型或更小的石质物件或某块岩石长宽高都不超过5尺的一部分，并将其塑造成你想要的任意形状。比如你可以将一块大石头变成一件武器、一尊塑像、一具棺材，也可以在石墙上开出一条小通道，前提是墙的厚度不能超过5尺。你也可以使一扇石门或石质门框变形来将门封死。你创造的物件最多可以有两条铰链和一道闩，除此之外不能以该法术能塑造出更复杂的机械结构。</t>
  </si>
  <si>
    <t>创造龙纹，大地结社山地，大地结社沼泽，巨灵宗主土巨灵，衡鉴学生</t>
  </si>
  <si>
    <t>石肤术</t>
  </si>
  <si>
    <t>Stoneskin</t>
  </si>
  <si>
    <t>价值100gp的钻石粉尘，作为该法术的耗材</t>
  </si>
  <si>
    <t>该法术使你触碰的一个自愿生物皮肤变得硬如岩石。目标在法术终止前对非魔法的钝击、穿刺和挥砍伤害具有抗性。</t>
  </si>
  <si>
    <t>古鲁反抗者，战争领域，力量领域，大地结社山地，四象宗，古贤圣誓，征服圣誓，救赎圣誓</t>
  </si>
  <si>
    <t>火墙术</t>
  </si>
  <si>
    <t>Wall Of Fire</t>
  </si>
  <si>
    <t>一小块磷</t>
  </si>
  <si>
    <t>你在施法距离内一块实体地面上创造出一面火墙。你可以选择创造长不过60尺、高不过20尺、厚不过1尺的直线型火墙；或是直径不过20尺、高不过20尺、厚不过1尺的环形火墙。火墙不透明，且将持续存在至法术终止。
火墙出现时，所有位于火墙区域内的生物必须进行一次敏捷豁免。豁免失败者将受到5d8点火焰伤害。豁免成功则伤害减半。
施展该法术时，你要必须选择火墙的哪一侧会造成伤害。生物在火墙伤害侧10尺内或在火墙区域内结束其回合时，将受到5d8点火焰伤害。生物在一个回合内第一次进入火墙或在火墙内结束其回合时也会受到同样的伤害。火墙的另一侧则不造成任何伤害。
升环施法效应：使用五环或更高法术位施展该法术时，你使用的法术位每比四环高一环，法术的伤害就增加1d8。</t>
  </si>
  <si>
    <t>波洛斯军团兵，拉铎斯邪教徒，光明领域，锻造领域，四象宗，邪魔宗主，天界宗主，魔炮师，粹丽学生</t>
  </si>
  <si>
    <t>魅惑怪物</t>
  </si>
  <si>
    <t>Charm Monster</t>
  </si>
  <si>
    <t>你尝试魅惑法术距离内你可见的某一生物。它立即进行感知豁免，如果你或者你的同伴正在与它战斗，它在这次豁免上具有优势。如果它豁免失败，它将被你魅惑直到法术结束，或者直到你或你的同伴做了任何有害它的事情。被魅惑的生物将对你友好。在法术结束时，生物会知道它曾被你魅惑。
升环施法效应：当你使用五环或更高的法术位施放该法术时，使用的法术位每高一环，你就可以多指定一个额外生物作为目标。每个被你指定的生物相互之间的距离必须在30尺内。</t>
  </si>
  <si>
    <t>元素灾厄</t>
  </si>
  <si>
    <t>Elemental Bane</t>
  </si>
  <si>
    <t>选择距离之内，你能看见的一个生物，并选择下述伤害类型之一：强酸，寒冷，火焰，闪电或雷鸣。目标必须通过一次体质豁免检定，否则便在此法术的持续时间内受其影响。每回合受到影响的生物第一次受到选定类型的伤害时，目标额外受到2d6点对应类型的伤害。此外，直到法术终结，该目标失去对该伤害的任何抗力。
升环施法效应：当你使用五环或更高的法术位施放该法术时，使用的法术位每高一环，你便可以额外指定一个生物作为目标。当选定生物时，每个生物间的距离不得超过30尺。</t>
  </si>
  <si>
    <t>获得高等坐骑</t>
  </si>
  <si>
    <t>Find Greater Steed</t>
  </si>
  <si>
    <t>你召唤一个圣魂并呈现出忠诚的、雄伟的坐骑外观。坐骑出现在施法范围内未被占据的空间内，坐骑的外形由你从以下形态中选择：狮鹫、飞马、鹿鹰兽、恐狼、犀牛或者剑齿虎。坐骑拥有你选择的形态数据如同怪物手册，但它实际上是天界、精类或炼狱生物（由你选择）而不是通常类型。另外，如果你的坐骑智力为5或以下，它的智力变为6，同时能听懂一种你所说的语言
你在战斗中控制坐骑。当坐骑在你周围1里内，你可以通过心灵感应和它沟通。当骑乘在你的魔法坐骑上时，所有你施展的只以你为目标法术同时也影响你的魔法坐骑。
当魔法坐骑的HP降为0时，它会暂时消失。你也可以以一个动作解散你的魔法坐骑使得它消失。再次施放这个法术可以重新召唤绑定的坐骑，此时它的生命值全部恢复，并且任何状态都被移除。
你不能通过这个法术或获得坐骑法术同时拥有与1个以上的魔法坐骑的联系，以一个动作，你可以在任何时候将你的坐骑从你们的联系中解放，使得它消失。
每当坐骑消失，它会留下所有它穿戴或者携带的物品。</t>
  </si>
  <si>
    <t>自然守卫</t>
  </si>
  <si>
    <t>Guardian Of Nature</t>
  </si>
  <si>
    <t>自然之魂回应你的呼唤并将你转变为一个强大的守卫。转变持续到法术结束。你选择以下形态之一取得：原始猛兽或战争巨树。
原始猛兽：如野兽般的皮毛覆盖你的身体，你的面部特征变得野性，并且你得到以下增益：
你的步行速度增加10尺。
你得到120尺的黑暗视觉。
你基于力量的攻击检定得到优势。
你的近战武器攻击在击中时会造成额外1d6力场伤害。
战争巨树：你的皮肤出现树纹，枝叶从你的头发上萌芽，并且你得到以下增益：
你得到10点临时生命。
你的体质豁免检定得到优势。
你基于敏捷或基于感知的攻击检定得到优势。
当你在地面上时，你周围15尺的地面对于你的敌人而言是困难地形。</t>
  </si>
  <si>
    <t>莫伊之影</t>
  </si>
  <si>
    <t>Shadow Of Moil</t>
  </si>
  <si>
    <t>镶嵌在宝石里的不死生物的眼睛，价值至少150GP</t>
  </si>
  <si>
    <t>如同火焰般的暗影完全笼罩住你的身体，使你对于其他人处于重度遮蔽，直到法术结束。
暗影将你周围10尺内的微光照明转变为黑暗，或者把同样区域的明亮照明转变为微光。直到法术结束之前，你得到对光耀伤害的抗力。此外，不论何时在你周围10尺内的生物用攻击命中你时，暗影会猛击那个生物，对他造成2d8点黯蚀伤害。</t>
  </si>
  <si>
    <t>致病辐射</t>
  </si>
  <si>
    <t>Sickening Radiance</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</si>
  <si>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这个法术所产生的任何等级的力竭在法术结束时消失。</t>
  </si>
  <si>
    <t>暴风球</t>
  </si>
  <si>
    <t>Storm Sphere</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</si>
  <si>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再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升环施法效应：当你使用五环或更高的法术位施放该法术时，使用的法术位每高一环，所有效应产生的伤害便各增加1d6。</t>
  </si>
  <si>
    <t>召唤高等恶魔</t>
  </si>
  <si>
    <t>Summon Greater Demon</t>
  </si>
  <si>
    <t>你吐出污秽的词语，从无底深渊的无尽混沌中召唤来一只恶魔。你选择挑战等级为5或更低的一种恶魔类型，例如影魔或者是巴古拉魔。恶魔出现在法术距离内你可见的一处未被占据的空间，当它的生命值降低至0点或是法术结束时，恶魔将会消失。
恶魔拥有自己的回合，为他投掷先攻。当你在召唤它以及在之后你的每一个回合，你都可以向它发布口头命令（无需你的动作），告诉它在下个回合它必须做什么。如果你没有发布命令，它会花费自己的回合用来攻击任何在触及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这个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升环施法效应：当你使用五环或更高的法术位施放该法术时，使用的法术位每高一环，允许召唤的恶魔挑战等级就+1。</t>
  </si>
  <si>
    <t>浓酸球</t>
  </si>
  <si>
    <t>Vitriolic Sphere</t>
  </si>
  <si>
    <t>一滴巨型蜗牛的胆汁</t>
  </si>
  <si>
    <t>你指定距离之内的一点，一颗发光的1尺直径的强酸球飞向那里爆炸，酸液飞溅到20尺半径内的球形区域。在该区域中的每个生物必须进行一次敏捷豁免检定。若检定失败，其受到10d4点强酸伤害，并在其下个回合结束时再受到5d4点强酸伤害。若豁免成功，该生物只受到初始伤害的一半且不会在其下个回合结束时受到伤害。
升环施法效应：当你使用五环或更高的法术位施放该法术时，使用的法术位每高一环，初始伤害便增加2d4。</t>
  </si>
  <si>
    <t>碧水球</t>
  </si>
  <si>
    <t>Watery Sphere</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</si>
  <si>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并且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当此法术终结时，水球会掉落在地，熄灭其周围30尺内的所有普通火焰。任何被水球束缚的生物会在摔落点成为摔倒状态。随后水流会消失。</t>
  </si>
  <si>
    <t>引力裂沟</t>
  </si>
  <si>
    <t>Gravity Sinkhole</t>
  </si>
  <si>
    <t>一块黑色的大理石</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</si>
  <si>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升环施法效应。当你使用五环或者更高环位的法术位施展该法术时，每比四环高出一环的法术位可以使该法术的伤害增加1d10。</t>
  </si>
  <si>
    <t>异怪召唤术</t>
  </si>
  <si>
    <t>Summon Aberration</t>
  </si>
  <si>
    <t>一条腌制触手和一颗装在白金瓶中的眼球，至少价值400gp</t>
  </si>
  <si>
    <t>你唤来一个异怪灵魄。其在施法距离内你可见的一个未占据位置化为实体。这一实体使用下面的异怪灵魄的数据。当你施展法术时，从类眼魔，史拉蟾或星之子中选择一个。此生物的外形与你所选一致，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升环施法效应：使用五环或更高法术位施展该法术时，该生物数据中使用更高的法术环数。
异怪灵魄
中型异怪
AC：11+法术等级(天生护甲)
HP：40+10每比四环高的法术等级
速度：30尺；飞行30尺（悬浮）（仅限类眼魔）
力量，敏捷，体质，智力，感知，魅力
16[+3]，10[+0]，15[+2]，16[+3]，10[+0]，6[-2]
伤害免疫：心灵
感官：黑暗视觉60尺，被动察觉10
语言：深潜语，理解你说的语言
熟练加值与你相等
再生（仅限史拉蟾）：异怪在其自己的回合开始时恢复5点生命值，前提是它至少有1点生命值。
低语灵光（仅限星之子）：于异怪自己的每个回合开始时，所有在其5尺内的生物必须进行一次感知豁免对抗你的法术豁免DC，豁免失败则受到2d6心灵伤害，这个效果只在异怪不处于失能时适用。
动作：
多重攻击：异怪发动等同于法术环数一半的次数的攻击（向下取整）。
爪击（仅限史拉蟾）：近战武器攻击：命中+你的法术攻击调整值，触及5尺，单一目标。伤害：1d10+3+法术环数的挥砍伤害。如果目标是生物，其直到异怪下回合开始不能恢复生命值。
眼波射线（仅限类眼魔）：远程法术攻击：命中+你的法术攻击调整值，射程150尺，单一生物。伤害：1d8+3+法术环数的心灵伤害。
灵能猛击（仅限星之子）：近战法术攻击：命中+你的法术攻击调整值，触及5尺，单一生物。伤害：1d6+3+法术环数的心灵伤害。</t>
  </si>
  <si>
    <t>构装体召唤术</t>
  </si>
  <si>
    <t>Summon Construct</t>
  </si>
  <si>
    <t>一块华丽的石头和一个金属密码箱，价值至少400gp</t>
  </si>
  <si>
    <t>你唤来一个构装生物灵魄。其在施法距离内你可见的一个未占据位置化为实体。这一实体使用下面的构装体灵魄的数据。当你施展法术时，从粘土，金属或石中选择一个材质。此生物的外形为一个你选定材质地魔像或魔冢，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升环施法效应：使用六环或更高法术位施展该法术时，该生物数据中使用更高的法术环数。
构装体灵魄
中型构装生物
AC：13+法术等级(天生护甲)
HP：40+15每比3环高的法术等级
速度：30尺
力量，敏捷，体质，智力，感知，魅力
18[+4]，10[+0]，18[+4]，14[+2]，11[+0]，5[-3]
伤害抗性：毒素
状态免疫：魅惑，力竭，恐慌，失能，麻痹，石化，中毒
感官：黑暗视觉60尺，被动察觉10
语言：理解你说的语言
熟练加值与你相等
灼热之躯（仅限金属）：当一个生物在构装生物周边5尺范围内触碰或对其发动近战攻击命中时，将受1d10火焰伤害。
石迷昏眠（仅限石）：当一个构装生物可见的生物在其10尺距离内开始回合时，构装生物可以强迫其进行一次感知豁免对抗你的法术豁免DC，豁免失败则其直到其下个回合开始前不能使用反应，且速度减半。
动作：
多重攻击：构装生物发动等同于法术环数一半的次数的攻击（向下取整）。
猛击：近战武器攻击：命中+你的法术攻击调整值，触及5尺，单一目标。伤害：1d8+4+法术环数的钝击伤害。
反应：
狂怒乱击（仅限粘土）：当构装生物受到伤害时，对其5尺内的随机一个生物进行一次猛击攻击。如果在其触及范围内没有生物，则该构装生物会以其一半的速度朝着其可见的一个敌人移动，且不会引发借机攻击。</t>
  </si>
  <si>
    <t>元素召唤术</t>
  </si>
  <si>
    <t>Summon Elemental</t>
  </si>
  <si>
    <t>一个至少价值400gp的，装有空气、一块鹅卵石、灰烬与水的水晶瓶</t>
  </si>
  <si>
    <t>你唤来一个元素灵魄。其在施法距离内你可见的一个未占据位置化为实体。这一实体使用下面的元素灵魄的数据。当你施展法术时，从气，土，火或水中选择一个元素。此生物的外形如同一个周身缠绕着你所选元素的模糊二足人影，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升环施法效应：使用五环或更高法术位施展该法术时，该生物数据中使用更高的法术环数。
元素灵魄
中型元素
AC：11+法术环阶（天生护甲）
HP：50+高于四环的每环阶10点
速度：40尺，掘穴30尺（仅限土），飞行40尺（悬浮）（仅限气），游泳40尺（仅限水）
力量，敏捷，体质，智力，感知，魅力
18[+4]，15[+2]，17[+3]，4[-3]，10[+0]，16[+3]
伤害抗力：毒素
状态免疫：魅惑，力竭，恐慌，失能，麻痹，石化，中毒
感官：黑暗视觉60ft.，被动察觉10
语言：理解你讲的语言
熟练加值与你相等
不定形态（仅限于气、火和水）：该元素生物能够轻松穿过最窄1寸宽的狭窄空间而无需挤身通过。
动作
多重攻击：该元素发动等同于法术环阶半数（向下取整）次数的攻击。
猛击：近战武器攻击：命中采取你的法术攻击加值，触及5ft.，单一目标；命中：1d10+4+法术环阶的钝击伤害（仅限气、土和水）或火焰伤害（仅限火）。</t>
  </si>
  <si>
    <t>劳洛希姆心灵长枪</t>
  </si>
  <si>
    <t>Raulothim's Psychic Lance</t>
  </si>
  <si>
    <t>你从你的额头处释放一道闪闪发光的灵能长矛，瞄准法术范围内你可见的一个生物。或者，你可以说出一个生物的名字。如果被唤名的生物身处法术范围内，即使你无法看见它，它也会成为法术的目标。如果被唤名的生物不处于法术范围内，长矛会消失并且没有任何效果。
目标必须成功通过一次智力豁免，否则将受到7d6点心灵伤害并陷入失能，直至你的下回合开始。如果豁免成功，它只承受一半伤害并且不会失能。
升环施法效应：使用五环或更高法术位施展该法术时，你使用的法术位每比四环高一环，法术的伤害增加1d6。</t>
  </si>
  <si>
    <t>加德尔急速邮差</t>
  </si>
  <si>
    <t>Galder'S Speedy Courier</t>
  </si>
  <si>
    <t>25金币，或同等价值的矿石货物作为该法术的耗材</t>
  </si>
  <si>
    <t>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一旦箱子的盖子被合上，气元素与箱子将会消失，并随后在目标生物的旁边重新出现。如果目标生物处在另一个位面，或是不受魔法侦测和定位的影响，箱子里的物件将在你脚下的地面上重新出现。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升环施法效应。使用8环法术位施展该法术时，你可以将箱子送往与你处在不同存在位面的生物。</t>
  </si>
  <si>
    <t>活化物件</t>
  </si>
  <si>
    <t>Animate Objects</t>
  </si>
  <si>
    <t>物件在你的命令下“活”了过来。在施法距离内指定至多十个未被持用或穿戴的非魔法物件作为法术目标。其中，中型目标视为两个物件，大型目标视为四个物件，而巨型目标则视为八个物件，而你无法活化比巨型更大的物件。施法后，每个目标被唤起为受你控制的生物直至法术终止，或直至该生物生命值降至0。
你可以使用一个附赠动作并以精神命令操纵500尺内任何你用此法术唤起的生物（如果你操纵多个生物，则你的命令可以同时传达给它们全部或是其中的某几个，不过只能使用同一种命令）。你决定被操纵生物下回合的动作和移动。或者，你也可以选择下达宽泛的命令（比如守护某个房间或走廊）。没有接受到你命令的生物只会对敌对生物作出自卫行为。一旦被下达命令，该生物会持续执行命令直到任务完成。
被活化物件的AC、HP、攻击，以及力量和敏捷值由其体型决定。其体质为10，智力和感知为3，魅力为1。其速度为30尺，如果它没有腿或者类似的构造，则改为30尺的飞行速度并且可以悬浮。如果该物件被牢牢固定在某个表面或更大的物件上（例如被铁链拴在墙上），则其速度为0。其拥有30尺盲视感官，该感官范围之外则视为目盲状态。被活化物件的生命值降至0时，即变回普通的物件，且以物件形态承受所有溢出的伤害。
如果你命令活化物件发动攻击，则它可以对其5尺内的一个生物发动一次近战攻击。它将发动一记猛击并造成钝击伤害，相应的攻击加值和伤害由其体型决定。此外，DM还可以认定某些物件可以造成挥砍或穿刺伤害。
升环施法效应：使用六环或更高法术位施展该法术时，你使用的法术位每比五环高一环，就多唤起两个物件。
体型，HP，AC，攻击，力量，敏捷：
微型，20，18，命中+8伤害1d4+4，4，18
小型，25，16命中+6伤害1d8+2，6，14
中型，40，13命中+5伤害2d6+1，10，12
大型，50，10命中+6伤害2d10+2，14，10
巨型，80，10命中+8伤害2d12+4，18，6</t>
  </si>
  <si>
    <t>防活物护罩</t>
  </si>
  <si>
    <t>Antilife Shell</t>
  </si>
  <si>
    <t>闪光的屏障环绕你周边10尺内的区域并以你为中心移动，其阻绝除不死生物和构装生物之外的生物类型。护罩持续存在至法术终止。
护罩阻止受影响的生物穿过或进入其内，但受影响的生物可以使用法术，远程武器或触及武器对护罩内部发动攻击。
若你移动时迫使受影响生物进入护罩内，则法术随之终止。</t>
  </si>
  <si>
    <t>警戒龙纹，死亡领域，坟墓领域，死灵宗主，靡华学生</t>
  </si>
  <si>
    <t>启蒙术</t>
  </si>
  <si>
    <t>Awaken</t>
  </si>
  <si>
    <t>一块价值至少1000gp的玛瑙，作为该法术的耗材</t>
  </si>
  <si>
    <t>利用施法的8小时引导一块昂贵宝石中的魔法回路后，你触碰一个巨型或更小的野兽或植物作为法术目标。目标必须没有智力值或智力小于等于3。受术后其智力变为10，且学会说一门你所掌握的语言。如果目标是植物，则他获得使用枝、根、藤、蔓或类似部位移动的能力，并获得类似于人类的感官。DM为启蒙植物决定属性数据，例子可参考怪物图鉴的启蒙灌木和启蒙树。
被启蒙的植物或野兽在30日内处于被你魅惑的状态，或是直到你或你的盟友做出任何伤害它的举动。魅惑终止后，启蒙生物将根据你对待他的方式决定是否对你保持友善。</t>
  </si>
  <si>
    <t>畜牧龙纹，瑟雷尼亚祀徒</t>
  </si>
  <si>
    <t>放逐斩</t>
  </si>
  <si>
    <t>Banishing Smite</t>
  </si>
  <si>
    <t>你在法术终止前的下一次武器攻击命中某生物时将从武器中爆发巨力，使该次攻击对目标额外造成5d10点力场伤害。此外，如果本攻击将目标的生命值降低至50以下，则该生物被放逐。如果目标不是你所处位面的原住民，则他将被放逐回其家园位面。如果目标是你所处位面的原住民，则他将被放逐到一个无害的半位面。在半位面期间，该生物处于失能状态。直至法术终止时，目标将出现在其被放逐前的位置。如果该位置被占据，则目标将出现在距离该位置最近的一个未被占据空间。</t>
  </si>
  <si>
    <t>咒剑士，战地匠师</t>
  </si>
  <si>
    <t>毕格比之手</t>
  </si>
  <si>
    <t>Bigby's Hand</t>
  </si>
  <si>
    <t>一块蛋壳和一只蛇皮手套</t>
  </si>
  <si>
    <t>你在施法距离内指定一处你能看见且未被占据的空间，并在该处创造出一只闪烁着微光的大型手掌。巨手在法术持续时间内维持存在，并听从你的命令模仿你手掌移动的方式进行移动。
巨手视为一个物件，其AC为20，生命值等于你的生命值上限。如果它的生命值降至0则法术提前终止。其力量为26(+8)，敏捷为10(+0)。巨手并不占据其所在的空间。施展此法术时，你可以令巨手移动至多60尺远并造成下列效应之一。你也可以在自己随后的回合里以一个附赠动作完成该效应：
金刚拳：巨手对自身5尺内的一个生物或物件发动打击。用你自身的游戏资料发动一次近战法术攻击，并在命中时造成4d8点力场伤害。
飞击掌：巨手尝试对自身5尺内的一个生物进行推挤。用巨手的力量检定与目标的力量（运动）检定作对抗。如果目标为中型或更小的生物则你的检定具有优势。你胜出对抗时，目标将被推开数尺，其具体尺数等于5加上你施法关键属性调整值的五倍。巨手随着目标一起移动，并与之保持5尺的距离。
擒拿掌：巨手尝试对自身5尺内的一个巨型或更小的生物进行擒抱。该擒抱的计算数据使用巨手的力量值。如果目标体型为中型或更小，则你的检定具有优势。在巨手擒抱目标期间，你可以使用一个附赠动作命令巨手对其进行挤压，并对目标造成2d6+你的施法关键属性调整的钝击伤害。
护身掌：巨手阻挡在你和一名你所选生物中间，直到你给他另一个命令为止。巨手不断移动保持在你和目标中间，使得你相对目标处于半身掩护。如果目标的力量值小于或等于巨手的力量值，则其无法穿过巨手的阻挡。如果其力量值高于巨手，则目标可以穿过巨手所在的空间，不过该空间必须被目标视为困难地形。
升环施法效应：使用六环或更高法术位施展该法术时，你使用的法术位每比五环高一环，则金刚拳的伤害提高2d8，擒拿掌的伤害提高2d6。</t>
  </si>
  <si>
    <t>守护龙纹，深海意志</t>
  </si>
  <si>
    <t>原力法阵</t>
  </si>
  <si>
    <t>Circle Of Power</t>
  </si>
  <si>
    <t>你身上发出神圣能量并以扭曲散溢的魔法能量构成一个半径30尺的球状力场。法术持续时间内力场将以你为中心随你移动。力场范围内的友方生物（包括你自己）为对抗法术或其他魔法效应而进行的豁免检定具有优势。此外，受该法术效应影响的生物在对抗豁免成功则伤害减半的法术或魔法效应时，若成功则不受伤害。</t>
  </si>
  <si>
    <t>暮光领域，团结领域，王冠圣誓，量析学生</t>
  </si>
  <si>
    <t>死云术</t>
  </si>
  <si>
    <t>Cloudkill</t>
  </si>
  <si>
    <t>你在施法距离内指定一点，并以该点为中心创造一片20尺半径的球状黄绿色剧毒浓雾，且该浓雾会围绕拐角扩散。雾气在法术持续时间内维持存在，但仍会被强风吹散。而其存在区域则视为重度遮蔽。
任何生物在一个回合内第一次进入法术区域，或者在区域内开始其回合时，必须进行一次体质豁免。豁免失败者将受到5d8点毒素伤害，豁免成功则伤害减半。该生物就算屏住呼吸或者不需要呼吸也会受到浓雾效应的影响。
浓雾在你每回合开始时沿着地面向远离你的方向移动10尺。雾气比空气重，因此会沉落低洼地面甚至渗进地隙中。
升环施法效应：使用六环或更高法术位施展该法术时，你使用的法术位每比五环高一环，法术的伤害就增加1d8。</t>
  </si>
  <si>
    <t>葛加理成员，死亡领域，大地结社沼泽，孢子结社，征服圣誓，炼金师，死灵宗主</t>
  </si>
  <si>
    <t>通神术</t>
  </si>
  <si>
    <t>Commune</t>
  </si>
  <si>
    <t>焚香和一小瓶圣水或邪水</t>
  </si>
  <si>
    <t>你与所信奉神祇或其代理人进行联系，并询问至多三个能以“是”或“否”回答的问题。你必须在法术终止前完成提问，并在随后分别获得每个问题的答案。
这些神能存在也并非全知全能，因此当问题涉及的信息超过神祇的认知范围时，你可能会得到一句“不确定”作为回答。另外当一个单词可能引致误导，或者与神祇的兴致相违背时，DM可能会提供一句短语作为答案。
若你在两次长休之间两次或更多次的施展该法术，则法术有一定的几率不给任何答复。此概率从第二次施展起每次累计25％。其具体结果由DM暗骰决定。</t>
  </si>
  <si>
    <t>秩序领域，奉献圣誓，荣耀圣誓，先知</t>
  </si>
  <si>
    <t>问道自然</t>
  </si>
  <si>
    <t>Commune With Nature</t>
  </si>
  <si>
    <t>你短暂的成为大自然的一部分并以此获得周围地形的信息。在户外时，该法术可以让你了解3里内大地的状况。在洞穴和其他天然地下场所中，其范围缩小为300尺半径区域内。自然环境中被建筑覆盖的区域里（比如地下城或城镇中）法术无法生效。
你立即获得的自然资讯至多与该地域三个方面的主题相关，在以下项目中进行选择：
地形和水体
区域内分布的植物，矿物，动物或人物
强大的天界生物，精类生物，邪魔，元素生物或者不死生物
受其他存在位面的影响
建筑物
例如，你可以侦测到某个强大不死生物在区域中的位置，干净安全的水源所在地，以及附近城镇的方位。</t>
  </si>
  <si>
    <t>探索龙纹，瑟雷尼亚祀徒，图腾武者道途，大地结社极地，大地结社森林，古贤圣誓，原始意识</t>
  </si>
  <si>
    <t>寒冰锥</t>
  </si>
  <si>
    <t>Cone Of Cold</t>
  </si>
  <si>
    <t>一个小水晶或玻璃锥</t>
  </si>
  <si>
    <t>一片冷空气从你手上迸发而出。在60尺锥状区域内的每个生物必须进行一次体质豁免。豁免失败者将受到8d8点冷冻伤害，豁免成功则伤害减半。
被该法术杀死的生物将成为一尊冰冻塑像并持续至被解冻。
升环施法效应：使用六环或更高法术位施展该法术时，你使用的法术位每比五环高一环，法术伤害就增加1d8。</t>
  </si>
  <si>
    <t>大地结社极地，四象宗，咒剑士，巨灵宗主水巨灵，深海意志，魔炮师，粹丽学生</t>
  </si>
  <si>
    <t>召唤元素生物</t>
  </si>
  <si>
    <t>Conjure Elemental</t>
  </si>
  <si>
    <t>气元素为点燃的焚香，土元素为陶土，火元素为硫和磷，水元素为水和沙子</t>
  </si>
  <si>
    <t>你召唤出一个元素生物仆从。在施法距离内指定一处充满气、土、火、水四物质其一的10尺立方区域作为法术目标。例如，一只火元素从篝火中成型，而一只土元素则从地面上浮现。一个挑战等级5或者更低的元素生物从目标区域成型，并显现在该区域10尺内一处未被占据空间。该生物在生命值降至0时，或者法术终止时消失不见。
被召唤的元素生物对你和你的伙伴保持友善关系。你为召唤出来的元素生物骰先攻，它也依此获得其自己的行动回合。该元素生物服从你发出的所有语言命令（不需要你作动作）。如果你不发出任何命令，该生物会在敌对生物前保护自己，如果没有敌对生物则不执行任何动作。
如果你专注被打断，该元素生物并不会因此消失不见，但你会因此失去该元素生物的控制权。失控的元素生物对你和你的伙伴变为敌对，并随时准备发动攻击。不受控的元素生物无法被你解散，并在你的召唤开始算起1小时后消失不见。
该元素生物的具体数值由DM掌控。
升环施法效应：使用六环或更高法术位施展该法术时，你使用的法术位每比五环高一环，召唤生物挑战等级就增加1。</t>
  </si>
  <si>
    <t>暴风龙纹，伊捷工程师，大地结社海岸，混沌手下，粹丽学生</t>
  </si>
  <si>
    <t>万箭齐发</t>
  </si>
  <si>
    <t>Conjure Volley</t>
  </si>
  <si>
    <t>你向空中用远程武器射出一发非魔法的弹药或者掷出一把非魔法的投掷武器，并指定施法距离内一点，随后，无数以所发射弹药或武器为原型的复制体向该点倾盆而下，并在完成攻击后消失不见。箭雨充斥以目标点为中心半径40尺，高20尺的柱状区域，其内的每个生物都必须进行一次敏捷豁免，豁免失败者将受到8d8点伤害，豁免成功则伤害减半。法术所造成伤害的类型与用作法术成分材料的弹药或武器相同。</t>
  </si>
  <si>
    <t>异界探知</t>
  </si>
  <si>
    <t>Contact Other Plane</t>
  </si>
  <si>
    <t>你与一名半神，或者一个古老的贤者亡魂，又或是其他异位面的神秘实体建立了精神的连接。与这些跨位面亚种生物进行的知性接触可能会增加你的精神负担，甚至导致精神崩溃。当你施展此法术时，进行一个DC15的智力豁免。豁免失败时，你受到6d6点心灵伤害并因此而变得错乱，直至完成一个长休以结束该状态。处于错乱状态时，你不能执行动作，不能理解其他生物说的话也无法阅读，你说出口的也都是一些含糊不清的语句。对你施放法术高等复原术可以直接终止该效应。
豁免成功时，你可以询问该实体五个问题。你必须在法术结束前提出你的问题。而你所提出的每条问题DM都可以用一个单词作回答，比如“是”“不是”“可能”“不可能”“没关系”或是“不清楚”（如果该实体不知道该问题答案时）。如果一个单词的答案可能导致误导，DM可能会用一句短语来作为问题的答案。</t>
  </si>
  <si>
    <t>疫病术</t>
  </si>
  <si>
    <t>Contagion</t>
  </si>
  <si>
    <t>你的触碰带着疾病。你对触及范围内一个生物发动一次近战法术攻击。若命中，则该目标中毒。
该中毒目标的每一回合结束时，必须进行一次体质豁免。若该目标累计三次该豁免成功，则其不再中毒且该法术终止。若该目标累计三次该豁免失败，其亦不再中毒，但必须从以下描述的疾病中选择其一。随后该目标将受选定的疾病影响直至该法术持续时间结束。
由于法术对目标引发的是自然疾病，因此任何移除疾病或改善疾病状况的效应都可以对受术生物产生影响：
失明症：痛苦缠绕着患病者的意志，并使其眼睛变成奶白色。患病生物进行感知检定和感知豁免时具有劣势，并且承受目盲状态。
腐热症：患者身体发起严重的高烧。患病生物进行力量检定和力量豁免时，以及发动基于力量的攻击检定时具有劣势。
烂肉症：患者的肌肤逐渐腐朽。患病生物进行魅力检定时具有劣势，并且具有所有伤害类型的伤害易受。
脑热症：患者头脑发热。患病生物进行智力检定和智力豁免时具有劣势，并且其在战斗中视为受到困惑术confusion效应影响。
癫痫症：患者全身颤抖不止。患病生物进行敏捷检定和敏捷豁免时，以及发动基于敏捷的攻击检定时具劣势。
恶心症：患者开始不受控地流血。患病生物进行体质检定和体质豁免时具有劣势。另外每当该生物受到伤害时都会陷入震慑状态，直至其下一回合结束。</t>
  </si>
  <si>
    <t>孢子结社，破誓者，不朽者</t>
  </si>
  <si>
    <t>造物术</t>
  </si>
  <si>
    <t>Creation</t>
  </si>
  <si>
    <t>所创造物品的一小部分</t>
  </si>
  <si>
    <t>你从堕影冥界取来一些暗影物质，并在施法距离内创造一个非活体的物件。你可以创造一个植物质（类似纺织品、绳索、木质等）的物件。也可以创造一个矿物质（类似石质、水晶、金属等）的物件。创造出来的物件大小必需在5立方尺内，且其形态与材质你必需曾经见过。
法术的持续时间由所创造物件的材质决定。如果所创造物件由多种材质组合而成，则其存在时间取其中最短者。
施展其他法术时，如果以这些创造物作为其材料成分将会使该法术施法失败。
升环施法效应：使用六环或更高法术位施展该法术时，你使用的法术位每比五环高一环，创造物尺寸的立方边长就加大5尺。
材质，持续时间：
植物质，1日
石质、水晶，12小时
贵金属，1小时
宝石，10分钟
精金、秘银，1分钟</t>
  </si>
  <si>
    <t>创造龙纹，析米克科学家，锻造领域，巨灵宗主</t>
  </si>
  <si>
    <t>湮灭波</t>
  </si>
  <si>
    <t>Destructive Wave</t>
  </si>
  <si>
    <t>你击打地面，并从身上爆发出一阵神圣能量。30尺范围内每个你所指定的生物都必须进行一次体质豁免。豁免失败者将受到5d6点雷鸣伤害以及5d6点光耀或黯蚀伤害（由你选择）并应击倒地，豁免成功则伤害减半且不会应击倒地。</t>
  </si>
  <si>
    <t>古鲁反抗者，风暴领域，力量领域，热忱领域</t>
  </si>
  <si>
    <t>反制善恶</t>
  </si>
  <si>
    <t>Dispel Evil And Good</t>
  </si>
  <si>
    <t>圣水或银铁粉末</t>
  </si>
  <si>
    <t>发光的能量环绕着你，并保护你免受来自精类生物、不死生物和源于主物质位面外异域生物的伤害。天界生物、元素生物、精类生物、邪魔、不死生物对你发动攻击检定时具有劣势。
你可以通过以下方式提前终止此法术：
破除附魔：你使用动作触碰一个触及范围内的生物。如果该生物受天界生物、元素生物、精类生物、邪魔或不死生物影响而陷入魅惑、恐慌，或是被附身状态，则生物的这些状态即时结束。
驱逐：你使用动作发动一次近战法术攻击，攻击一个天界生物、元素生物、精类生物、邪魔或不死生物。命中时，你可以尝试将该生物驱逐回其原属位面。该生物必须成功通过一此魅力豁免，否则将强制返回其原属位面（若已在原属位面则无效）。比如精类生物会返回妖精荒野，不死生物会返回堕影冥界。</t>
  </si>
  <si>
    <t>反逆者</t>
  </si>
  <si>
    <t>支配人类</t>
  </si>
  <si>
    <t>Dominate Person</t>
  </si>
  <si>
    <t>你试图安抚一个施法距离内你能看见的类人生物，目标生物必须必须成功通过一次感知豁免，否则将在法术持续时间内被你魅惑。若它正与你或你的友方生物战斗，则其进行该豁免时具有优势。
目标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六环法术位施展该法术时，持续时间变为：专注，至多10分钟。使用七环法术位施展该法术时，持续时间变为：专注，至多1小时。使用八环或更高法术位施展该法术时，持续时间变为：专注，至多8小时。</t>
  </si>
  <si>
    <t>俄佐立官员，拉铎斯邪教徒，诡术领域，秩序领域，野心领域，破誓者，征服圣誓，至高妖精，旧日支配者，银毫学生</t>
  </si>
  <si>
    <t>托梦术</t>
  </si>
  <si>
    <t>Dream</t>
  </si>
  <si>
    <t>一把沙子，一点墨水，和一支从沉睡的鸟儿身上拔下的可书写羽毛</t>
  </si>
  <si>
    <t>此法术将塑造一个生物的梦境。指定一个你已认知且与你同处一个位面的生物。那些不睡眠的生物（比如精灵），则不会被该法术影响。你或一个被你触碰的自愿生物，将作为信使进入出神状态。该状态下，信使能够意识到自己周围的状况，但是不能执行动作或进行移动。
如果目标正睡着，则信使可以进入其梦中并在其沉睡期间与之交流。信使可以在法术持续时间内在梦中创造景观、物件和其他影像。信使可以随时结束出神状态并提前终止法术效应。而目标在完全醒来后，可以回忆其梦境的内容。如果你施法时目标醒着，则信使可以了解到这点。此时信使可以终止出神和法术，或是等待目标入睡再进入其梦境。
你可以让信使以可怕的形象出现。但此时信使只能提供不超过十个单词的信息，而且目标必须成功通过一次感知豁免。豁免失败时，怪影萦绕的噩梦就会影响目标的睡眠，使其无法从休息中获益。并且在其醒来时受到3d6点心灵伤害。
如果你拥有目标身体的部分，比如头发，指甲或类似的东西。则目标进行该豁免时具有劣势。</t>
  </si>
  <si>
    <t>抄录龙纹，大地结社草原，梦境结社</t>
  </si>
  <si>
    <t>焰击术</t>
  </si>
  <si>
    <t>Flame Strike</t>
  </si>
  <si>
    <t>一小撮硫磺</t>
  </si>
  <si>
    <t>一支圣火立柱从天堂带着呼啸降落在你指定的一处地点。圣火以施法距离内指定点为源点形成一处半径10尺、高40尺柱状区域，其内的每个生物必须进行一次敏捷豁免。豁免失败者将受到4d6点火焰伤害和4d6点光耀伤害，豁免成功则伤害减半。
升环施法效应：使用六环或更高法术位施展该法术时，你使用的法术位每比五环高一环，其火焰伤害或光耀伤害（自选其一）就增加1d6。</t>
  </si>
  <si>
    <t>波洛斯军团兵，光明领域，战争领域，热忱领域，野火结社，奉献圣誓，荣耀圣誓，邪魔宗主，天界宗主，巨灵宗主火巨灵，衡鉴学生</t>
  </si>
  <si>
    <t>指使术</t>
  </si>
  <si>
    <t>Geas</t>
  </si>
  <si>
    <t>你对施法距离内你能看见的一个生物置入一条魔法命令，并强迫其执行相应的某种服务或克制某种行为，甚至遵照你的要求行动。如果该生物可以理解你的意思，则它必须成功通过一次感知豁免，否则将在法术持续时间内被你魅惑。被魅惑生物每次作出与你的命令相悖的行为时，即受到5d10点心灵伤害。该伤害一日至多生效一次。且不能理解你意思的生物不受该法术影响。
除了涉及导致必死结果的行为外，你向目标下达的任何命令都会生效。如果你发布自杀指令则法术即时终止。
你可以用一个动作解除命令并终止法术。法术如移除诅咒，高等复原术或祈愿术同样可以终止该法术。
升环施法效应：使用七环或八环法术位施展该法术时，持续时间变为1年。使用九环法术位施展该法术时，法术将一直持续至被上文提及的法术所终止。</t>
  </si>
  <si>
    <t>欧佐夫议员，王冠圣誓</t>
  </si>
  <si>
    <t>高等复原术</t>
  </si>
  <si>
    <t>Greater Restoration</t>
  </si>
  <si>
    <t>价值至少100gp的钻石粉，作为该法术的耗材</t>
  </si>
  <si>
    <t>你为一个触碰到的生物灌注正能量来解除一项弱化效应。你可以使目标的力竭等级降低一级，或者选择终止目标身上的下列效应之一：
一项影响目标的魅惑或石化效应
一项诅咒，包括目标与一件被诅咒魔法物品的调谐
对目标某项属性值的减损
一项降低目标生命值上限的效应</t>
  </si>
  <si>
    <t>医疗龙纹，和平领域，时械之魂，天界宗主，炼金师，靡华学生</t>
  </si>
  <si>
    <t>圣居</t>
  </si>
  <si>
    <t>Hallow</t>
  </si>
  <si>
    <t>价值至少1000gp的草药、油与熏香，作为该法术的耗材</t>
  </si>
  <si>
    <t>你触碰一点并将神圣（或邪秽）的力量注入该点周围。区域半径至多60尺，若此区域内包含了已被另一个圣居术影响的区域，则此次施法失败。受法术影响的区域具有以下效应。
首先，天界生物、元素生物、精类生物、邪魔和不死生物无法进入该区域，这些生物也不能对区域内的生物进行魅惑，恐慌或附身。任何被这些生物魅惑，恐慌或附身的生物只要进入该区域后将不再处于魅惑，恐慌或被附身的状态。你可以从上述生物类别中选择一种或更多，使之不受该效应影响。
其次，你可以为该区域绑定一种额外效应。从下列效应选项中选择其一，或从DM提供的效应中选择其一生效。其中某些影响区域内生物的效应可以被设定为影响所有生物，影响追随某特定神明或领袖的生物，或是只影响特定生物种类（例如兽人或巨魔）。当一个可受影响生物在一个回合里首次进入该区域，或是在区域内开始其回合时，它可以进行一次魅力豁免。豁免成功则该生物无视此额外效果直至其离开该区域：
胆量：区域内的受影响生物不受恐慌。
黑暗：区域内处于黑暗环境，普通光源以及比本法术施展法术位更低环阶法术所创造的光源均无法照亮该区域。
昼明：区域内处于明亮光照，比本法术施展法术位更环节法术所创造的黑暗无法掩盖亮光。
能量防护：区域内受影响生物对一种由你指定的伤害类型具有抗性，所选类型不包括钝击、穿刺和挥砍。
能量易伤：区域内的受影响生物对一种由你指定的伤害类型具有易伤，所选类型不包括钝击、穿刺和挥砍。
永恒安息：区域内埋葬的尸体不能被转化成不死生物。
次元干涉：受影响生物不能通过传送，也不能通过异次元或跨位面途径作移动和旅行。
恐惧：区域内的受影响生物陷入恐慌。
沉默：声音无法从区域内发出，区域外的声音也不能传到区域内。
巧言：受影响生物与区域内的任何其他生物即使语言不通也可以随意交流。</t>
  </si>
  <si>
    <t>招待龙纹，邪魔宗主</t>
  </si>
  <si>
    <t>怪物定身术</t>
  </si>
  <si>
    <t>Hold Monster</t>
  </si>
  <si>
    <t>指定施法距离内一个你能看见的生物。该目标必须进行一次感知豁免，豁免失败则其在法术持续时间内陷入麻痹。该效应对不死生物无效。目标在其每回合结束时可以再进行一次感知豁免，豁免成功则终止其身上该法术的效应。
升环施法效应：使用六环或更高法术位施展该法术时，你使用的法术位每比五环高一环，你就可以额外指定一个生物。指定目标时，每个目标生物必须身处其他目标30尺范围内。</t>
  </si>
  <si>
    <t>战争领域，复仇圣誓，救赎圣誓，守望圣誓，怪物杀手，卡瑟利之链</t>
  </si>
  <si>
    <t>疫病虫群</t>
  </si>
  <si>
    <t>Insect Plague</t>
  </si>
  <si>
    <t>少许糖，一些脱壳的谷粒和一抹油脂</t>
  </si>
  <si>
    <t>你指定施法距离内一点，并以该点为中心使半径20尺的球状区域内堆满成群的噬人蝗虫。虫群会绕过拐角扩散并使整个区域成为困难地形，且处于轻度遮蔽。虫群在法术终止前都会持续存在。当虫群显现时，其区域内的每个生物都必须进行一次体质豁免，豁免失败则受到4d10的穿刺伤害，豁免成功则伤害减半。生物在一个回合内第一次进入该区域内，或者在区域内结束其回合时，也必须进行该豁免。
升环施法效应：使用六环或更高法术位施展该法术时，你使用的法术位每比六环高一环，伤害就增加1d10。</t>
  </si>
  <si>
    <t>葛加理成员，自然领域，风暴领域，力量领域，大地结社荒漠，大地结社草原，大地结社幽暗地域，大地结社沼泽，集群守卫</t>
  </si>
  <si>
    <t>通晓传奇</t>
  </si>
  <si>
    <t>Legend Lore</t>
  </si>
  <si>
    <t>价值至少250gp的熏香，作为该法术的耗材。以及每块价值至少50gp的四块象牙板</t>
  </si>
  <si>
    <t>点名或描述一个人物，或一处地点、一个物件。并用法术在你脑海中形成一段关于该事物重要传闻的简单概述。传闻可能是最近的流言，也可能是被遗忘的故事或不曾为人知晓的秘闻。如果该事物没有任何传奇事迹，则你不会获得任何信息。你掌握目标越多的信息，所得到的信息就越精确细致。
你由此得到的信息必定是准确的，但仍可能会以隐晦的话语表达。例如，如果你拿着一把神秘的魔法斧，则该法术可能会给你如下信息：“斧头嫉恶如仇，触碰其之邪恶者即受其苦痛惩戒，哪怕仅是光身斧柄也会反噬恶人之手。斧头的真正威力正在沉睡，唯有真正的石之子——那些爱慕着摩拉丁又被其眷恋之人在双唇咏出圣言鲁那格时才能将其唤醒。”</t>
  </si>
  <si>
    <t>侦测龙纹，知识领域，不朽者，衡鉴学生</t>
  </si>
  <si>
    <t>群体疗伤术</t>
  </si>
  <si>
    <t>Mass Cure Wounds</t>
  </si>
  <si>
    <t>一波治愈的能量从施法距离内你指定的一点奔涌而出。你在该点周边30尺半径的球状区域内指定至多六个生物，并使每个目标生物恢复一定的生命值，其数值等于3d8+你的施法关键属性调整值。该法术对不死生物和构装生物无效。
升环施法效应：使用六环或更高法术位施展该法术时，你使用的法术位每比五环高一环，其治疗量就增加1d8。</t>
  </si>
  <si>
    <t>生命领域，团结领域，野火结社，战地匠师</t>
  </si>
  <si>
    <t>假象术</t>
  </si>
  <si>
    <t>Mislead</t>
  </si>
  <si>
    <t>你变为隐形，同时在你站的地方出现一个和你一样的幻象分身。分身会持续存在至法术持续时间结束；但如果你发动攻击或施展法术，则终止该隐形效应。
你可以用你的动作将分身以至多两倍于你的速度移动，并且可以让他打手势、说话，以及以任何你指定的方式行事。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t>
  </si>
  <si>
    <t>阴影龙纹，暮光领域，妖精漫游者</t>
  </si>
  <si>
    <t>篡改记忆</t>
  </si>
  <si>
    <t>Modify Memory</t>
  </si>
  <si>
    <t>你尝试重塑另一个生物的记忆。迫使一个你能看见的生物进行一次感知豁免。如果你正与该生物战斗，则它进行该豁免时具有优势。豁免失败时，该生物会在法术持续时间内被你魅惑。被魅惑的目标陷入失能状态且无法感知周边的事物，但它仍然能听到你的声音。如果它受到任何伤害或者成为另一个法术的目标，则该法术终止且目标的记忆不会被修改。
该魅惑状态持续时，你可以改变目标关于过去24小时内经历的一个持续时间不超过十分钟的事件记忆。你可以永久地消除所有关于该事件的记忆，也可以让目标完美清晰地回忆起该事件的所有细节，甚至可以改变目标关于该事件记忆细节，或创造一段关于其他事情的记忆。
你必须通过话语来描述如何改变目标的记忆，并且目标必须能够听懂你的语言以便你植入被改变后的记忆。目标的意识会将你描述中所有缺失的细节填补完全。如果法术在你描述完被修改的记忆前就结束，则目标的记忆不会被改变，否则修改过的记忆会在法术终止时根植于目标心中。
修改过的记忆不一定会影响生物的行为，特别是当修改后的记忆违背了目标的天性，阵营或信仰时。如果植入一段不合逻辑的记忆（例如你灌输给目标关于它有多么享受在强酸中泡澡的记忆），则目标会直接忽视该记忆，或者将其视为自己作的一场噩梦。DM也可以判定某段修改过的记忆太过荒谬，而无法影响生物的关键行为。
对目标施展法术移除诅咒或高等复原术后即可使目标恢复真实的记忆。
升环施法效应：使用六环或更高法术位施展该法术时，你可以改变目标关于过去7日内（六环）、30日内（七环）、1年内（八环）或者在过去任意时刻（九环）所发生事件的记忆。</t>
  </si>
  <si>
    <t>底密尔特务，诡术领域，野心领域</t>
  </si>
  <si>
    <t>穿墙术</t>
  </si>
  <si>
    <t>Passwall</t>
  </si>
  <si>
    <t>一撮芝麻</t>
  </si>
  <si>
    <t>你指定施法距离内你能看见的表面上一点，并使该处在法术终止前持续显现一条通道。所选表面必须属于木质，灰质或石质（比如墙，屋顶或地面）。而开口的大小则由你指定：其尺寸至多5尺宽，8尺高，20尺深。另外，该通道并不会使其周围结构产生不稳定。
开口消失时，任何还留在该通道中的生物或物件都会被安全的弹至距受术表面最近的未占据空间。</t>
  </si>
  <si>
    <t>大地结社山地，装甲师，量析学生</t>
  </si>
  <si>
    <t>异界誓缚</t>
  </si>
  <si>
    <t>Planar Binding</t>
  </si>
  <si>
    <t>一枚价值至少1000gp的宝石，作为该法术的耗材</t>
  </si>
  <si>
    <t>你尝试以该法术与一个生物建立誓约使其为你服务，该生物可以是天界生物、元素生物、精类生物、邪魔等生物种类之一。该生物在整个施法过程中必须在法术的施法距离内。典型的情况下，在施展该法术前，生物会先被召唤到一个反向作用的防护法阵中困住。施法完成后，目标必须进行一次魅力豁免。豁免失败则目标在法术持续时间内与你建立誓约并服务于你。如果该生物由其他法术所召唤或创造，则维持其存在的法术持续时间被延长至符合本法术的持续时间。
一个已建立誓约的生物必须尽其最大的能力遵从你的指示。你可以命令该生物在你冒险时陪伴你，或守卫一个地点，又或者传递一个信息。该生物将遵从你所下达指示的字面意义，但是如果此生物与你敌对，则它会努力曲解你的字面意思来达到它自己的目标。如果生物在法术终止前全部完成了你的指示而你们仍处于同一位面时，则它会到你面前向你汇报。如果你们处与不同位面，则它会回到其建立誓约之地，并呆停留该处直至法术终止。
升环施法效应：使用六环法术位施展该法术时，法术持续时间增为10日，七环则增为30日，八环为180日，九环为一年零一日。</t>
  </si>
  <si>
    <t>死者复活</t>
  </si>
  <si>
    <t>Raise Dead</t>
  </si>
  <si>
    <t>一颗至少价值500gp的钻石，作为该法术的耗材</t>
  </si>
  <si>
    <t>你触碰一个已死的生物，使其复活。该生物的死亡时间必须不超过10日。如果该生物的灵魂愿意并且能够回到其身体中，则它将以1点生命值重生。该法术同样会中和该生物生前体内的毒素以及罹患的非魔法疾病，但对于魔法造成的疾病、诅咒和类似的效应则无能为力；如果没有在复活前治愈这些效应，则它们在该生物重获生命的时候继续生效。该法术不能复活不死生物。
该法术能治愈所有致命伤，但无法恢复失去的身体部位。如果该生物缺失了它生存所必要的身体部位或器官（比如头），则该法术自动失败。
死而复生是一个痛苦的体验。复活的目标在随后进行攻击检定、豁免检定和属性检定时具有-4减值。该目标每完成一次长休，其减值就减少1，依次叠加直至减值完全消失。</t>
  </si>
  <si>
    <t>生命领域，坟墓领域，变化宗师，炼金师</t>
  </si>
  <si>
    <t>拉瑞心灵联结</t>
  </si>
  <si>
    <t>Rary's Telepathic Bond</t>
  </si>
  <si>
    <t>两种不同生物的蛋壳碎片</t>
  </si>
  <si>
    <t>你与施法距离内至多八个自愿生物建立心灵连线。在法术持续时间内，连线的每个生物的心灵都和其他全部受术生物相连。智力值为2或更低的生物不受该法术影响。
在该法术终止前，所有受术生物都可以通过心灵连线与其他受术生物进行心灵交流，而不论他们是否语言相通。该交流方式可以跨越任意远近的距离但不能跨位面进行。</t>
  </si>
  <si>
    <t>和平领域，畸变心智，银毫学生</t>
  </si>
  <si>
    <t>转生术</t>
  </si>
  <si>
    <t>Reincarnate</t>
  </si>
  <si>
    <t>价值至少1000gp的稀有油和软膏，作为该法术的耗材</t>
  </si>
  <si>
    <t>你触碰一个类人生物的遗体或遗体的一部分，以此创造出一具新的成年身体，并呼唤该生物的灵魂进入此新身躯。该生物死亡时间必须不超过10日。此外，如果目标生物的灵魂此时不能或者不愿意完成该过程，则法术失败。
该法术要为目标生物创造出一具新的身体，因此很可能导致该生物的种族发生变动。DM可以投一个d100来判定该生物以何种形态复生，也可以直接由DM选择一种形态。
转生后的生物保留其前生记忆和经验。受术者保留原形的一切能力，不过其种族特性将以新种族的相应特性做更替。</t>
  </si>
  <si>
    <t>探知</t>
  </si>
  <si>
    <t>Scrying</t>
  </si>
  <si>
    <t>一个至少价值1000gp的聚焦镜，例如水晶球、银镜、圣水盆</t>
  </si>
  <si>
    <t>你能看见和听见一个和你处于同一存在位面上的生物。目标生物必须进行一次感知豁免；该豁免的调整值与你对目标的了解程度有关，也与你和目标之间的物理联系程度有关。如果目标知道你在施展该法术，而它又愿意被你观察，则它可以自愿放弃该豁免。
如果对方豁免成功，则目标不受该法术影响，并且在24小时内你不能尝试探知同一个目标。
如果对方豁免失败，则你在目标身边10尺内创造出一个隐形的传感器。通过传感器，你可以身临其境地看见和听见周围的环境。传感器会跟随目标移动，并在法术持续时间内始终保持在目标10尺之内。在能够看破隐形的生物眼中，你的探传感器是一个拳头大小的光球。
除生物之外，你也可以选择一个你以前见过的地点作为该法术的目标。这时，传感器会出现在目标地点且不会移动。
了解程度，豁免调整值：
二手信息（你曾经听说过受术者），+5
直接信息（你曾经见过受术者），+0
熟悉（你对受术者很了解），-5
联系程度，豁免调整值：
肖像或图像，-2
所有物或衣物，-4
身体部位，头发，指甲或类似物件，-10</t>
  </si>
  <si>
    <t>知识领域，光明领域，大地结社海岸，大地结社幽暗地域，梦境结社，复仇圣誓，守望圣誓</t>
  </si>
  <si>
    <t>伪装术</t>
  </si>
  <si>
    <t>Seeming</t>
  </si>
  <si>
    <t>该法术允许你修改施法距离内你能看见的任意数量生物的外观。你对指定的每个目标生物分别赋予一个虚假的新外貌。不愿意受该法术影响的目标可以进行一次魅力豁免，豁免成功则不受该法术影响。
该法术能改变生物的物理外观，也能伪装出服装、护甲、武器和装备。肉眼看来目标的身高可以有1尺的增减，体态可胖可瘦可匀称。但是你不能改变身体的形状，所以目标变形的样子必须有四肢或类似的生理结构。此外，你可以随意改变其他的外观特征。该法术一直持续至持续时间结束，不过你可以用一个动作提前将其解除。
此法术产生的变化无法应对物理检查。比如，你用此法术添了一顶帽子，那么现实物件会穿过帽子，且触碰帽子的人会摸不到任何东西或摸到的是目标的头和头发。若你用该法术让目标变得消瘦，别人用手触碰该目标时，看起来就像用手摸着空气。
一个生物可以使用其动作仔细观察一个目标，并进行一次对抗法术豁免DC的智力（调查）检定以。检定成功则观察者将一时到目标进行了伪装。</t>
  </si>
  <si>
    <t>幽域追踪者，至高妖精，巨灵宗主气巨灵</t>
  </si>
  <si>
    <t>迅捷箭袋</t>
  </si>
  <si>
    <t>Swift Quiver</t>
  </si>
  <si>
    <t>一个箭袋，其内至少要有一发弹药</t>
  </si>
  <si>
    <t>你对箭袋施展该法术，使其可以凭空创造出无尽的非魔法弹药，而你只要把手伸进箭袋里就会有弹药自己跳到你的手中。
直至法术结束前，你的每一回合都可以用一个附赠动作发动两次攻击，但用以发动攻击的武器必须使用受术箭袋中的弹药。你每次完成这种攻击时，箭袋上的魔法便会自动创造出一发同样的非魔法弹药作为补充。法术终止时，该法术创造出来的所有弹药都将自行分解消失。当你不再持有该箭袋时，该法术也即刻终止。</t>
  </si>
  <si>
    <t>心灵遥控</t>
  </si>
  <si>
    <t>Telekinesis</t>
  </si>
  <si>
    <t>你获得以意念移动操纵生物或物件的能力。施展该法术时，你可以对施法距离内一个你能看见的生物或物件以你的意念造成下列详述的效应。你也可以在随后法术持续时间内的自己的任一回合里以一个动作实现该行为。你可以一轮接一轮地影响同一个目标，也可以在任何时候选择一个新的目标。如果你改变了目标，则之前的目标将不再受该法术影响：
生物：你可以尝试移动一个巨型或更小的生物。以你的施法关键属性进行一次属性检定，并与目标生物的力量检定进行对抗。如果你在对抗中胜出，则你可以使该生物朝任何方向（包括竖直向上）移动30尺，但不能让它离开施法距离。在你的下一回合结束前，该生物将被你的遥控抓握束缚。而被朝正上方抬起的生物会在半空中悬停。
在随后的回合中，你可以再次进行前面进行过的对抗来尝试继续抓住该生物（消耗一个动作）。
物件：你可以尝试移动一个重量不超过1000磅的物件。如果该物品没有被任何生物所着装或携带，则你可以自动使它朝任何方向移动30尺，但不能让它离开施法距离。
如果该物件已被着装或携带，则你必须以你的施法关键属性进行一次属性检定，并与该生物的力量检定进行对抗。如果你在对抗中胜出，则你可以把目标物件从该生物身上拿走，并且使该物体朝任意方向移动30尺（但不能让它离开施法距离）。
你可以使用心灵遥控来对物体进行精密操作，例如操纵一件简单的工具，打开一扇门或一个容器，把东西放进或拿出一个打开的容器中，或是把一个小瓶子里的东西倒出来。</t>
  </si>
  <si>
    <t>灵能武士，畸变心智，旧日支配者</t>
  </si>
  <si>
    <t>传送法阵</t>
  </si>
  <si>
    <t>Teleportation Circle</t>
  </si>
  <si>
    <t>稀有粉笔和浸有价值50gp珍稀宝石的墨水，作为该法术的耗材</t>
  </si>
  <si>
    <t>施展该法术时，你在地上画出一个直径十尺的圆圈，并在其周围画出符文。这个圆形法阵将你所处的位置与你选择的一个与你处在同个位面上的永久传送法阵相连（你必须知道该法阵的符文序列）。圆圈中将打开一个发光的传送门，并一直维持到你的下一回合结束。任何进入传送门的生物将立即出现在目标法阵附近5尺内（如果该空间已被占据，则出现在最靠近目标法阵的未被占据空间）。
许多神殿、公会和其他重要的场所都在其中某处设有永久的传送法阵。这种法阵各有自己的符文序列——按特定顺序排列的一串魔法符文。当你最初获得施放该法术的能力时，你会知道物质位面上两个永久法阵的符文序列（由DM决定），随后你还可以在旅途中习得更多的符文序列。你只要花一分钟仔细研究一个新的符文序列就能够将其记录下来。
当你在一年里对同一地点每日连续施展该法术后，将创造出一个永久的传送法阵。而你在如此创造法阵时并不需要使用该法阵进行传送。</t>
  </si>
  <si>
    <t>通行龙纹，奥秘领域，梦境结社，边界行者</t>
  </si>
  <si>
    <t>树跃术</t>
  </si>
  <si>
    <t>Tree Stride</t>
  </si>
  <si>
    <t>你能够进入树木中，并从树木内部移动到500尺内的一棵同类树木内。两棵树必须都是活的，而且至少要和你一样大。你进入一棵树时必须消耗5尺移动力。你将在进入树木后知道附近500尺内所有同类树木的位置。作为进入树木所用移动的一部分，你可以移动到这些同类树木的其中一棵，或走出你所在的树木。你会出现在作为目的地的树木5尺范围内自选的一点，并因此消耗5尺移动力。如果你的移动力已经耗尽，则你将出现在你进入的树木周围5尺范围内某处。
你可以在法术持续时间内的每轮里使用一次这样的传送能力。而且你必须在树外结束你的回合。</t>
  </si>
  <si>
    <t>自然领域，大地结社森林，古贤圣誓</t>
  </si>
  <si>
    <t>力场墙</t>
  </si>
  <si>
    <t>Wall Of Force</t>
  </si>
  <si>
    <t>由纯净的宝石原石碾成的一小撮粉末</t>
  </si>
  <si>
    <t>一面看不见的力墙出现在施法距离内你指定的一点。这面力墙的方向由你决定：你可以使力墙成为水平或垂直的结界，亦可以使它形成一定倾角。它可以浮在空中，也可以立于地上。你可以将它塑成半球状或球状（半径最长10尺），也可以塑成一个由十个10尺×10尺的方板块构成的平面，而每块板块都必须要和至少一块其他板块相连。不管形状如何，力墙的厚度总是¼寸。力场墙将持续存在至法术终止。如果力墙形成时穿过了某个生物所占据的空间，则该生物会被推到力墙的一侧（由你决定推到哪一侧）。
没有任何事物可以通过物理方式穿过力墙。力墙免疫所有伤害，也不能被解除魔法所解除，但法术解离术可以使其立即摧毁。力墙能够延伸进以太位面，因此可以阻断进入以太位面穿过墙壁旅行。</t>
  </si>
  <si>
    <t>救赎圣誓，时械之魂，魔炮师，装甲师</t>
  </si>
  <si>
    <t>石墙术</t>
  </si>
  <si>
    <t>Wall Of Stone</t>
  </si>
  <si>
    <t>一小块花岗岩</t>
  </si>
  <si>
    <t>一面坚硬的非魔法石墙出现在施法距离内你指定的一点。该石墙厚达6寸，由十个10×10尺的方板块组成。每块板块都必须要和至少一块其他板块相连。另外你也可以选择以十个10×20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豁免成功者将得以执行一个反应来以正常速度移动，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悬空石板的跨度超过20尺时需要支撑，因此石板的面积需减半。你可以对石墙进行粗略塑形，造出锯齿、城垛等结构。
该墙是一个可以因受到伤害而被打破的石制物件。每块板块的AC为15，每寸厚得石墙具有30点生命值。当一块板块的生命值降至0时则该板块被摧毁，而且与它相连的板块也可能会崩塌（具体由DM判断）。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</si>
  <si>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大地结社荒漠，大地结社山地，四象宗，巨灵宗主土巨灵</t>
  </si>
  <si>
    <t>操控风力</t>
  </si>
  <si>
    <t>Control Wind</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</si>
  <si>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你操控的空气中产生了一阵狂风，持续的向一个由你选择的水平方向吹去。你选择风力的强度：微风，大风和强风。若风力为大风或强风，进入或者离开区域，或者是穿过其中的远程武器攻击在其攻击检定中得到劣势。若风力为强风，逆风而行的生物每移动1尺需要额外消耗1尺的移动力。
下沉气流：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上升气流：你操控的空气产生了向上的气流，从空间的底部开始上升。在该空间内结束摔落的生物只会因为该摔落受到一半的伤害。处于该空间内的生物垂直跳跃时，其能比正常情况下跳跃的高度高出10尺。</t>
  </si>
  <si>
    <t>骷髅之舞</t>
  </si>
  <si>
    <t>Danse Macabre</t>
  </si>
  <si>
    <t>黑暗力量的线从你的指尖延伸，刺穿了法术距离内最多5具你可见的小型或中型的尸体。每具尸体都立即站起变为亡灵。你自由决定它是僵尸或者骷髅（僵尸和骷髅的数据参考怪物图鉴），并且它们在攻击和伤害检定中得到等同你的施法属性调整值的加值。
你可以用你的附赠动作精神性地指挥你用这个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升环施法效应：当你使用六环或更高的法术位施放该法术时，使用的法术位每高一环，你就可以活化额外的两具尸体。</t>
  </si>
  <si>
    <t>拂晓</t>
  </si>
  <si>
    <t>Dawn</t>
  </si>
  <si>
    <t>价值至少100gp的旭日坠饰</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</si>
  <si>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</si>
  <si>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汲能术</t>
  </si>
  <si>
    <t>Enervation</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</si>
  <si>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法术射程外或对你有全掩蔽，法术同样会结束。
每次法术对目标造成伤害，你都可以恢复目标受到的黯蚀伤害量的一半生命值。
升环施法效应：当你使用六环或更高的法术位施放该法术时，使用的法术位每高一环，伤害便增加1d8。</t>
  </si>
  <si>
    <t>渺远步</t>
  </si>
  <si>
    <t>Far Step</t>
  </si>
  <si>
    <t>你传送至60尺内一处你可见且未被占据的空间。在法术结束之前你的每个回合，你都可以用附赠动作再次通过这个方法传送。</t>
  </si>
  <si>
    <t>神圣武器</t>
  </si>
  <si>
    <t>Holy Weapon</t>
  </si>
  <si>
    <t>你为你触碰的武器注入神圣的力量。直到法术结束之前，武器都会发散出30尺半径的明亮照明和额外30尺的微亮照明。此外，用这把武器击中时会造成额外2d8光耀伤害。武器在持续期间转变为魔法武器如果原本它并非
在你自己的回合中以一个附赠动作，你可以解散这个法术并使武器爆发出强光。在武器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</si>
  <si>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焚烧</t>
  </si>
  <si>
    <t>Immolation</t>
  </si>
  <si>
    <t>火焰环绕了距离之内，你能看到的一个生物。该目标必须进行一次敏捷豁免检定。若豁免失败，其受到8d6火焰伤害，豁免成功则只受到上述伤害的一半。若豁免失败，目标同时会在此法术的持续时间内被点燃。燃烧的目标会照亮周围30尺半径的区域，并在外围30尺范围内产生微弱的亮光。在其每个回合的结束，目标重复进行豁免检定。检定失败则受到4d6火焰伤害。而豁免成功则刺法术终结。这些魔法火焰无法被非魔法的方式熄灭。
若此法术造成的伤害杀死了目标，目标化为灰烬。</t>
  </si>
  <si>
    <t>地狱呼唤</t>
  </si>
  <si>
    <t>Infernal Calling</t>
  </si>
  <si>
    <t>一块至少价值999gp的红宝石</t>
  </si>
  <si>
    <t>说出黑暗的咒语，你从九狱之中召唤来魔鬼。你选择挑战等级在6或更低的一种魔鬼的类型，例如猬魔或须魔。魔鬼出现在施法距离内你可以看见的一处未被占据的空间。魔鬼在生命值降低至0或法术结束时消失。
魔鬼对你和你的同伴是不友好的。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升环施法效应：当你使用六环或更高的法术位施放该法术时，使用的法术位每高一环，允许召唤的魔鬼挑战等级就+1。</t>
  </si>
  <si>
    <t>大漩涡</t>
  </si>
  <si>
    <t>Maelstrom</t>
  </si>
  <si>
    <t>漏斗形状的纸张或叶片</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</si>
  <si>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钝击伤害并被拉向中心10尺。</t>
  </si>
  <si>
    <t>负能量洪流</t>
  </si>
  <si>
    <t>Negative Energy Flood</t>
  </si>
  <si>
    <t>一块破碎的骨头和一块方形的黑色丝绸</t>
  </si>
  <si>
    <t>你向距离内一个可见生物发出丝带状的负能量。如果目标不是不死生物，他必须进行一次体质豁免检定，并在豁免失败时受到5d12黯蚀伤害，若豁免成功则只承受一半。被这个伤害杀死的目标将在你的下回合开始被唤起为一只僵尸。僵尸会追杀距离他最近的、他可以看见的任何生物。僵尸的数据参考怪物图鉴。
如果你以不死生物作为目标使用这个法术，目标不需要进行豁免检定，取而代之的是目标得到5d12的一半作为临时生命。</t>
  </si>
  <si>
    <t>授予技能</t>
  </si>
  <si>
    <t>Skill Empowerment</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</si>
  <si>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t>
  </si>
  <si>
    <t>钢风斩</t>
  </si>
  <si>
    <t>Steel Wind Strike</t>
  </si>
  <si>
    <t>一把价值至少1sp的近战武器</t>
  </si>
  <si>
    <t>你舞动用于施法的武器，随后忽然消失并发起袭击，恰如同一阵钢铁的疾风。选择施法距离内最多5个可见生物。进行一次近战法术攻击检定对抗每个生物。若击中，目标承受6d10力场伤害。
在这之后，你可以传送到一个你击中或未击中的生物周围5尺内，你可以看见的未被占据的空间。</t>
  </si>
  <si>
    <t>突触静止</t>
  </si>
  <si>
    <t>Synaptic Static</t>
  </si>
  <si>
    <t>你选择距离内的一点，并在那里引发心灵能量的爆炸。以那一点为圆形，20尺半径球形范围内的每个生物必须进行一次智力豁免检定。智力值为2或更低的生物不受这个法术的影响。豁免失败的生物受到8d6精神伤害，成功则只承受一半。
豁免失败生物的思想会在1分钟内变得混乱。在持续时间中，投掷一个d6，每次它进行攻击检定、属性检定和因为维持专注进行体质豁免检定时，它都要从结果上减去这个数值。在目标的每个回合结束它都可以重新进行智力豁免检定，若成功将结束这个效果对自己的影响。</t>
  </si>
  <si>
    <t>转化岩石</t>
  </si>
  <si>
    <t>Transmute Rock</t>
  </si>
  <si>
    <t>陶土和水</t>
  </si>
  <si>
    <t>你选定距离内，你能看到的，不超过40立方尺区域内的岩石或泥土，并选择下述效果之一：
化石为泥：该区域内任何种类的非魔法石块在法术的持续时间内变成等量的稀薄、可流动的泥浆。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若你对天花板施放此法术，泥浆会掉落。在泥浆掉落时处于其下方的所有生物必须进行一次敏捷豁免检定。若检定失败则该生物受到4d8钝击伤害，检定成功者只受到上述伤害的一半。
化泥为石：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AC15和25HP，并且免疫毒素和精神伤害。</t>
  </si>
  <si>
    <t>光墙术</t>
  </si>
  <si>
    <t>Wall Of Light</t>
  </si>
  <si>
    <t>一面手镜</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</si>
  <si>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觉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升环施法效应：当你使用六环或更高的法术位施放该法术时，使用的法术位每高一环，伤害便增加1d8。</t>
  </si>
  <si>
    <t>自然之怒</t>
  </si>
  <si>
    <t>Wrath Of Nature</t>
  </si>
  <si>
    <t>你唤醒自然界的精魂对抗你的敌人。选择施法距离内你可见的一点，精魂令那一点为中心60尺立方区域内的树木、岩石和草丛被活化，直到法术结束：
草丛和灌木：立方区域内被草丛或灌木覆盖的地面对你的敌人而言是困难地形。
树木：在你的每个回合开始，在立方区域内的任何树木周围10尺范围内的每个你的敌人都必须成功进行敏捷豁免检定，否则会因为树枝的挥打受到4d6挥砍伤害。
根与藤：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投石：在你的回合中以一个附赠动作，你可以使一块立方区域中的松动岩石投掷向同样在区域里的一个你可见的生物。若击中，目标受到3d8非魔法钝击伤害，并且必须成功进行力量豁免检定否则被击倒。</t>
  </si>
  <si>
    <t>时流刹转</t>
  </si>
  <si>
    <t>Temporal Shunt</t>
  </si>
  <si>
    <t>你以触发法术的生物为目标，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这个法术或自己被这个法术影响。
升环施法效应：当你使用六环或更高环位的法术位施展该法术时，每比五环高出一环的法术位可以使你多指定一个目标。所有的目标都需要在互相的30尺内。</t>
  </si>
  <si>
    <t>天界召唤术</t>
  </si>
  <si>
    <t>Summon Celestial</t>
  </si>
  <si>
    <t>一个的金制圣物匣，价值至少500gp</t>
  </si>
  <si>
    <t>你唤来一个天界生物灵魄。其在施法距离内你可见的一个未占据位置化为实体。这一实体使用下面的天界灵魄的数据。当你施展法术时，从复仇圣灵或守护圣灵中选择一个。此生物资料表中的攻击方式由你的选择决定。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升环施法效应：使用六环或更高法术位施展该法术时，该生物数据中使用更高的法术环数。
天界灵魄
大型天界生物
AC：11+法术等级(天生护甲)+2（仅限守护圣灵）
HP：40+10每比五环高的法术等级
速度：30尺；飞行40尺
力量，敏捷，体质，智力，感知，魅力
16[+3]，14[+2]，16[+3]，10[+0]，14[+2]，16[+3]
伤害抗性：光耀
状态免疫：魅惑，恐慌
感官：黑暗视觉60尺，被动察觉12
语言：天界语，理解你说的语言
熟练加值与你相等
动作：
多重攻击：天界生物发动等同于法术环数一半的次数的攻击（向下取整）。
光耀之弓（仅限复仇圣灵）：远程武器攻击：命中+你的法术攻击调整值，射程150/600尺，单一目标。伤害：2d6+2+法术环数的光耀伤害。
光耀之锤（仅限守护圣灵）：近战武器攻击：命中+你的法术攻击调整值，触及5尺，单一目标。伤害：1d10+3+法术环数的光耀伤害，且天界生物可选择自己或其10尺内可见的另一生物。选定生物获得1d10临时生命值。
治愈之触：（1/日）。天界生物触碰另一生物。目标魔法性地恢复目标等同于2d8+法术环数的生命值。</t>
  </si>
  <si>
    <t>龙类精魂召唤术</t>
  </si>
  <si>
    <t>Summon Draconic Spirit</t>
  </si>
  <si>
    <t>一件带有巨龙图案的物品，价值至少500金币</t>
  </si>
  <si>
    <t>你唤出一只巨龙精魂。它于施法范围内一处未被占据的空间显现。该肉体形态使用龙类精魂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升环施法效应：使用六环或更高法术位施展该法术时，用对应的环数决定数据栏中与法术环数有关的数据。</t>
  </si>
  <si>
    <t>秘法门</t>
  </si>
  <si>
    <t>Arcane Gate</t>
  </si>
  <si>
    <t>你创造两个相连的传送门。指定地面上你能看见的两点，一点在你身边10尺内，另一点则在500尺内。随后，10尺直径的圆形传送门将分别在两点打开。如果你选择的点被生物占据，则法术失败且被消耗。
传送门边缘为闪烁的二维环形，其内布满迷雾，且整个垂直的悬浮在离地几尺处。环形只有一面可见（由你选择），那一面即是传送门生效的一面。
任何进入其中一个传送门的生物将从另一个传送门走出，如同两个传送门邻接一样。从传送门不生效的那一面走过则不会有任何效果。门中满布的迷雾阻挡了视线因此无法看到任何影像。你可以在自己的回合里使用一个附赠动作改变传送门的朝向。</t>
  </si>
  <si>
    <t>剑刃护壁</t>
  </si>
  <si>
    <t>Blade Barrier</t>
  </si>
  <si>
    <t>你立起一道由旋转的魔法利刃组成的墙。墙壁出现在施法距离内一个你指定的位置，并维持到法术持续时间结束。你可以选择创造长不过100尺、高不过20尺、厚不过5尺的直墙；或是直径不过60尺、高不过20尺、厚不过5尺的环形墙。墙为位于其后方的生物提供四分之三掩护。而墙体所占据的空间则视为困难地形。
任何生物在一个回合内第一次进入墙体区域，或者在区域内开始其回合时，必须进行一次敏捷豁免。豁免失败者将受到6d10点挥砍伤害。豁免成功则伤害减半。</t>
  </si>
  <si>
    <t>连锁闪电</t>
  </si>
  <si>
    <t>Chain Lightning</t>
  </si>
  <si>
    <t>一些毛皮，一块琥珀，玻璃或一柄水晶权杖，以及三根银质别针。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</si>
  <si>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每个目标必须进行一次敏捷豁免。豁免失败者将受到10d8点闪电伤害，豁免成功则伤害减半。
升环施法效应：使用七环或更高法术位施展该法术时，你使用的法术位每比六环高一环，跳跃后闪电就多分出一束射向一个不同的目标。</t>
  </si>
  <si>
    <t>死亡法阵</t>
  </si>
  <si>
    <t>Circle Of Death</t>
  </si>
  <si>
    <t>研磨过的黑珍珠粉末，价值至少500gp</t>
  </si>
  <si>
    <t>一阵负能量波从施法距离内某点放出，冲击60尺半径的球状区域。区域内的生物必须进行一次体质豁免。豁免失败者将受到8d6点黯蚀伤害，豁免成功则伤害减半。
升环施法效应：使用七环或更高法术位施展该法术时，你使用的法术位每比六环高一环，法术的伤害就增加2d6。</t>
  </si>
  <si>
    <t>召唤精类生物</t>
  </si>
  <si>
    <t>Conjure Fey</t>
  </si>
  <si>
    <t>你召唤一个挑战等级6或更低的精类生物，或者一个挑战等级6或更低的野兽形态精魄。被召唤生物显现在施法距离内一处你能看见且未被占据的空间。该精类生物在生命值降至0时，或者法术终止时消失不见。
被召唤的精类生物对你和你的伙伴保持友善关系。你为召唤出来的精类生物骰先攻，它也依此获得其自己的行动回合。该精类生物服从你发出的所有语言命令（不需要你作动作），前提是该命令必须不违反其所属阵营。如果你不发出任何命令，该生物会在敌对生物前保护自己，如果没有敌对生物则不执行任何动作。
如果你的专注被打断，该精类生物并不会因此消失不见，但你会因此失去该生物的控制权。失去控制的精类生物对你和你的伙伴变为敌对，并随时准备发动攻击。不受控的精类生物无法被你解散，并在你的召唤开始算起1小时后消失不见。
该精类生物的具体数值由DM掌控。
升环施法效应：使用七环或更高法术位施展该法术时，你使用的法术位每比六环高一环，召唤生物挑战等级就增加1。</t>
  </si>
  <si>
    <t>触发术</t>
  </si>
  <si>
    <t>Contingency</t>
  </si>
  <si>
    <t>一尊你自己的塑像，其材质为象牙并以宝石作装饰，其价值至少为1500gp</t>
  </si>
  <si>
    <t>选择一个你可以施展的五环或更低环阶法术，该法术的施法时间必须为1动作，且必须能够以你自身为目标。你以“随因法术”的形式施展该法术，即将其作为所施展触发术的一部分，并且同时消耗该法术与触发术的法术位。该随因法术并不立即生效，而是在特定状况发生时才触发其效应。你在施展这两个法术时，必须描述该触发状况的细节。例如，触发术与水下呼吸一起施放可以确保水下呼吸可以在你被水或其他液体淹没时自动触发其效应。
随因法术的效应在相应状况第一次出现时立即生效，而无论你是否想要这么做，在这之后触发术终止。
随因法术只能对你起作用，哪怕它通常可以指定其他目标现在也无法再作指定。你一次只能使用一个触发术，如果你在已施放该法术时再次施展该法术，则前一个触发术的效应立即终止。另外，当触发术的材料成分不在你的角色身上时，其法术效应也将立即终止。</t>
  </si>
  <si>
    <t>唤起死灵</t>
  </si>
  <si>
    <t>Create Undead</t>
  </si>
  <si>
    <t>一个装满坟土的陶壶和一个装满苦水的陶壶，并为每具尸体准备一枚150gp的黑玛瑙</t>
  </si>
  <si>
    <t>在施法距离内指定至多三具中型或小型类人生物遗体，并使每具受术尸体变成一只受你控制的食尸鬼（这些生物的具体游戏资料由DM掌控）。该法术只能在夜晚施展。
在你的任一回合内，你可以使用一个附赠动作并以精神命令操纵120尺内任何你用此法术唤起的生物（如果你操纵多个生物，则你的命令可以同时传达给它们全部或是其中的某几个，不过只能使用同一种命令）。你决定被操纵的生物下回合的动作和移动。或者，你也可以选择下达宽泛的命令，例如守护某个房间或走廊。没有接受到你命令的生物则只会对敌对生物作出自卫的行为。一旦被下达命令，该生物会持续执行命令直到任务完成。
被操纵的生物只会在24小时内服从你的命令。若你在当前的24小时时间段终止前再次施展此法术，则你对该生物的操纵时间再延长24小时。法术的此种用法只能延长你对至多三个你使用此法术所创造生物的控制时间，不会造出新的生物。
升环施法效应：使用七环法术位施展该法术时，你可以唤起或者维持四只食尸鬼。使用八环法术位施展该法术时，你可以唤起或维持五只食尸鬼，或者两只妖鬼，或者两个尸妖。当你使用九环法术位施展该法术时，你可以唤起或维持六只食尸鬼，或者三只妖鬼，或者三个尸妖，或者两个木乃伊。</t>
  </si>
  <si>
    <t>解离术</t>
  </si>
  <si>
    <t>Disintegrate</t>
  </si>
  <si>
    <t>一块磁石和一撮灰尘</t>
  </si>
  <si>
    <t>一束纤细的绿射线从你的指尖射向施法距离内一个你能看见的目标。该目标可以是一个生物或一个物件，或者是一个魔法力场（比如由力场墙创造的墙壁）。
目标生物必须进行一次敏捷豁免，豁免失败则受10d6+40点力场伤害，若目标生命值因此降至0，则目标被解离。
除魔法物品外，被解离的生物连同其穿着携带的所有随身物品一起变成一堆灰尘。此后该生物只能通过完全复生术和祈愿术复活。
此法术会直接解离大型或更小的非魔法物件或魔法力场。如果目标是巨型或更大的物件或魔法力场，则此法术会解离其10尺立方大小的部分。魔法物品不受此法术影响。
升环施法效应：使用七环或更高法术位施展该法术时，你使用的法术位每比六环高一环，伤害就提高3d6。</t>
  </si>
  <si>
    <t>卓姆吉瞬间召唤</t>
  </si>
  <si>
    <t>Drawmij's Instant Summons</t>
  </si>
  <si>
    <t>一枚价值1000gp的蓝宝石</t>
  </si>
  <si>
    <t>你触碰一个重量至多10磅，长度至多6尺的物件。该法术将在该物品表面留下一个隐形的印记，并在你用以施法的蓝宝石上留下该物件的名称。你每次施展该法术时都必须使用不同的蓝宝石作为其材料成分。
在随后的时间里，你可以使用动作唤出该物件的名称并粉碎这颗蓝宝石，该物件将无视任何距离和位面的限制立即出现在你的手上。物件出现后该随即法术终止。
如果另一个生物正持握或携带着该物件，则粉碎蓝宝石的动作无法将该物品传送过来。不过你会知晓是谁占有了该物品，以及其此刻身处的何处。
解除魔法或成功生效的类似效应作用于这颗蓝宝石时，将提前终止该法术。</t>
  </si>
  <si>
    <t>摄心目光</t>
  </si>
  <si>
    <t>Eyebite</t>
  </si>
  <si>
    <t>在法术持续时间内，你的眼睛变成充满恐怖力量的漆黑空洞。指定一个60尺内你能看见的生物，并迫使其进行一次感知豁免，豁免失败者将承受下列效应之一（由你选择）。在法术终止前的每个自己回合，你都可以使用动作来指定一个目标。不过不能指定那些已经成功通过该豁免的生物：
沉睡：目标陷入昏迷。其在受到伤害，或另一个生物使用动作摇晃它时，即可再次醒来。
惊慌：目标因你而恐慌，它必须在每个其自己回合里执行疾走动作并移动，且以最短、最安全的路径尽可能的逃离你，直至其无路可逃为止。如果目标移至离你60尺远且看不见你的地方，则法术效应终止。
患病：目标发动攻击检定和进行能力检定时具有劣势。目标在每个其自己回合结束时都可以进行另一个感知豁免，豁免成功则该效应终止。</t>
  </si>
  <si>
    <t>寻路术</t>
  </si>
  <si>
    <t>Find The Path</t>
  </si>
  <si>
    <t>一套占卜用具，比如骨头、象牙、卡片、牙齿、雕刻符文等，其价值至少为100gp，此外还需要一个来自你所寻找地点的物件</t>
  </si>
  <si>
    <t>该法术可以搜寻同一位面的另一处你熟悉的特定地点，法术会找出通往该处最短、最直接的道路。如果你寻找的目的地在另一位面，或者其会不断移动（例如一座移动堡垒），或者描述不够具体（例如一个“绿龙的巢穴”），该法术失效。
你在法术持续时间内只要和目的地在同一位面，就知晓目的地的远近和所在方向。向目的地移动并遇到岔路时，你会本能的选择通往目的地最近、最直接的路（但不一定最安全）。</t>
  </si>
  <si>
    <t>石化术</t>
  </si>
  <si>
    <t>Flesh To Stone</t>
  </si>
  <si>
    <t>一小撮石灰、水和土壤</t>
  </si>
  <si>
    <t>你尝试将施法距离内一个你能看见的生物变为石头。如果该目标的身体由血肉组成，则其必须进行一次体质豁免。豁免失败者的肉体将变得生硬并因此而受到束缚。豁免成功者将不受该效应的影响。
因该法术受束缚的生物必须在其每回合结束时再进行一次体质豁免。在累计三次豁免成功后，该法术终止。在累计三次豁免失败后，该生物变为石头并在持续时间内视为陷入石化状态。成功或失败的检定不需要连续；只要记录各情况的次数直至其中一方累计三次为止。
如果该生物被石化的身体遭破坏，则其在恢复原形时将遭受同样的破坏。
如果你在为该法术维持了最长持续时间的专注，则该生物变为石头的效应将保持至被移除为止。</t>
  </si>
  <si>
    <t>禁制术</t>
  </si>
  <si>
    <t>Forbiddance</t>
  </si>
  <si>
    <t>少量圣水，稀有焚香，以及至少价值1000gp的红宝石粉末</t>
  </si>
  <si>
    <t>你创造一个对抗魔法旅行的结界，该结界区域至多覆盖40000平方尺地面及其上30尺高空。在法术持续时间内，生物无法传送进区域内或使用传送门（诸如法术异界之门的作用）进入其内。该法术使该区域无法进行位面旅行，因此生物无法通过星界位面，以太位面，妖精荒野，堕影冥界，或是通过法术异界传送来连接该区域。
此外，该法术可以对你所选定类别的生物造成伤害。从一下选项中选择一项或多项：天界生物、元素生物、精类生物、邪魔以及不死生物。所选定生物在一个回合内第一次进入法术区域或者在其内开始其回合时，将受到5d10点光耀伤害或黯蚀伤害（由你在施法时选择其一）。
施展该法术时，你可以设定一段密语。说出密语的生物就算进入区域也不会受到该法术的伤害。
该法术的效应区域不能与另一个禁制术的区域相重叠。你可以通过对同一区域连续30日每日施展禁制术来使其效应持续至被解除，并在最后一次施法时将该法术对材料成分消耗殆尽。</t>
  </si>
  <si>
    <t>法术无效结界</t>
  </si>
  <si>
    <t>Globe Of Invulnerability</t>
  </si>
  <si>
    <t>一个玻璃质或水晶质的珠子，其将在法术终止时破碎</t>
  </si>
  <si>
    <t>一个固定的微光屏障从你周围半径10尺区域内涌现并在法术持续时间内维持存在。
任何在屏障外施放的五环或更低环阶的法术无法影响其内的生物或物件，这些法术即使以升环施法施展也无法突破该限制。这些法术可以以屏障内的生物或物件为目标，但无法对其生效。其效果有如屏障内的区域被排除在法术效应范围之外。
升环施法效应：当你使用七环或更高法术位施展该法术时，你使用的法术位每比六环高一环，屏障能阻挡的法术就高一环。</t>
  </si>
  <si>
    <t>铜墙铁壁</t>
  </si>
  <si>
    <t>Guards And Wards</t>
  </si>
  <si>
    <t>燃烧的熏香，少许硫磺和油，一条打结的绳子，少量土巨怪的血和一把至少价值10gp的小型银权杖</t>
  </si>
  <si>
    <t>你制造一个保护区域覆盖至多2500平方尺地面面积（一个50尺的方形区域，或一百个5尺的方状区域，或二十五个10尺的方形区域）。保护区域至高可达20尺，并随你的意愿塑形。只要你施法时可以走进每一个连续区域，你就可以分割区域来护卫一座要塞的几个楼层。
施展该法术时，你可以指明特定个体以让其不受法术某些或全部效应的影响。你还可以指明一句口令，当其被大声说出时，即可让说出口令的人对这些效应免疫。
铜墙铁壁在保护区域内创造下列效应：
过道：浓雾充斥受保护的过道使其处于重度遮蔽。此外，除你以外的生物在过道上遇到需要选择方向的分叉路口时，有50%机会误认错的方向为正确的前进方向。
门：所有保护区域内的门都以魔法上锁，等同于使用法术秘法锁封门。此外，你还可以用一个幻象掩盖至多10扇门（相当于法术次级幻影的虚幻物件效果）来让其看起来有如平整的墙面。
楼梯：蛛网从上到下布满了保护区域内的楼梯，等同于法术蛛网术web的效应。铜墙铁壁法术持续时，即使这些蛛网被焚烧或撕毁，也可以在10分钟后重生。
其他法术效应。你可以在要塞的保护区域内布置你指定的下列魔法效应之一：
在四条走廊布置舞光术你可以安排一个简单的灯光舞动程序，使其在铜墙铁壁法术持续时反复运作。
在两个地点布置魔嘴术。
在两个地点布置臭云术。其云雾显现在由你安排的位置。在铜墙铁壁法术持续时，即使其云雾被风吹散也会在10分钟后重新生成。
在一条走廊或一个房间布置一个持续存在的造风术。
在一个地点布置一个暗示术。你指定一个至多5尺的方状区域，任何进入或穿过该区域的生物将受到法术的精神暗示。
整个保护区域辐射着魔法。对某个特定效应施展解除魔法时，如果法术成功则移除该特定效应。
当你在一年里对同一处每日连续施展该法术后，将创造出一个永久的铜墙铁壁效果。</t>
  </si>
  <si>
    <t>重伤术</t>
  </si>
  <si>
    <t>Harm</t>
  </si>
  <si>
    <t>你将致命的病害释放到施法距离内一个你能看见的生物身上。目标必须进行一次体质豁免，豁免失败则受到14d6的黯蚀伤害，豁免成功则伤害减半。该伤害不能将目标的生命值降至1以下。若目标体质豁免失败，则其生命值上限减损与该黯蚀伤害相等数值。减损效果维持一小时，且任何可移除疾病的效应均可在时限到达前将目标生命值上限恢复至正常值。</t>
  </si>
  <si>
    <t>医疗术</t>
  </si>
  <si>
    <t>Heal</t>
  </si>
  <si>
    <t>指定施法距离内一个你能看见的生物。汹涌澎湃的正能量将充盈该生物，使其恢复70点生命值。该法术也会终止正在影响目标的目盲、耳聋以及任何疾病效应。该法术对构装体与不死生物无效。
升环施法效应：使用七环或更高法术位施展该法术时，你使用的法术位每比六环高一环，治疗量就增加10点。</t>
  </si>
  <si>
    <t>英雄宴</t>
  </si>
  <si>
    <t>Hero's Feast</t>
  </si>
  <si>
    <t>一个价值至少1000gp的镶饰宝石的碗，作为该法术的耗材</t>
  </si>
  <si>
    <t>你创造出一席盛宴，其中包括了上等的食物和饮品。宴席需要1小时来享用，并会在这段时间结束后消失不见，而且下述增益效应在该小时结束前不会生效。你可以让至多十二个生物一同分享该大餐。
所有享用了大餐的生物都会获得几种增益。这些生物的所有疾病和中毒状态都会被治愈，并且免疫毒素和恐慌状态，其进行感知豁免时具有优势，生命值上限也将提高2d10点，并获得等量的生命值。这些增益将持续24小时。</t>
  </si>
  <si>
    <t>魔魂壶</t>
  </si>
  <si>
    <t>Magic Jar</t>
  </si>
  <si>
    <t>一块宝石或水晶，或者一个圣物匣，又或者他带装饰的容器，其价值不能低于500gp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</si>
  <si>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尺的距离，或者回到你仍活着的身体中去（并终止该法术），或者尝试占据另一个类人生物的身体。
你可以附身于任何距你100尺内你能看见的类人生物（受法术防护善恶或防护法阵所保护的生物无法被附身）。该目标必须进行一次魅力豁免。豁免失败，则你的灵魂进入目标的身体，而目标的灵魂被困在容器中；豁免成功，则目标抵抗了你的附身，而随后的24小时内你将无法再次尝试附身该生物。
附身成功后，目标生物的身体将由你控制。你的游戏资料将替换为该生物的属性数据，不过你将保留自己的阵营以及智力、感知、魅力属性值。你的职业特性增益也会在附身时维持，但你无法使用目标可能具有的任何职业特性。
此外，被附身生物的灵魂可以用它自己的感官从容器内部观察外部，但它既不能移动也不能使用动作。
附身于一具躯体时，如果容器处在你身边100尺内，则你可以用一个动作从宿主的身体回到容器中，并让宿主的灵魂回到它自己的身体里。在你处于宿主的身体中时，如果宿主的身体死亡，则你必须进行一次对抗该法术豁免DC的魅力豁免。豁免成功且容器距你不超过100尺时，你回归容器内。豁免失败则即时死亡。
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
该法术终止时，其容器将随之被摧毁。</t>
  </si>
  <si>
    <t>群体暗示术</t>
  </si>
  <si>
    <t>Mass Suggestion</t>
  </si>
  <si>
    <t>一条蛇的舌头外加一小块蜂窝或一滴橄榄油</t>
  </si>
  <si>
    <t>你以魔法影响施法距离内至多十二个你能看见的生物，并对其施以某种行动暗示（至多以一两句话的形式）。由你指定的受术目标必须能听到并理解你的话语。而不能被魅惑的生物也将免疫此效应。你的暗示言辞必须能让其行为听起来合乎情理。要求生物刺伤它自己，自己撞向矛尖上，让它自我牺牲，或是让它做任何明显有害的行为都会直接取消该法术所产生的效应。
每个目标必须进行一次感知豁免，豁免失败者将尽其所能地从事你所描述的行为。你所暗示的行为可能会在法术持续时间内始终一直进行。而如果你所暗示的活动可以用更短的时间完成，则该法术会在目标完成了你的要求后随即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升环施法效应：使用七环法术位施展该法术时，持续时间变为10日。使用八环法术位施展该法术时，持续时间变为30日。使用九环法术位施展该法术时，持续时间变为一年零一日。</t>
  </si>
  <si>
    <t>地动术</t>
  </si>
  <si>
    <t>Move Earth</t>
  </si>
  <si>
    <t>一把铁刃以及一个小袋子，袋内装着黏土、壤土、砂土等混成的泥土</t>
  </si>
  <si>
    <t>指定施法距离内边长不大于40尺的方状地形区域，并以任意的方式重塑区域内的泥土，沙土或黏土。你可以升高或降低区域内的地面高度，制造或填平一道沟渠，升起或夷平一座山丘，或者塑造一根立柱。被改变的地形范围在最长不得超过整个区域最长边长的一半。因此，如果你影响了40尺方状区域，则你可以创造一根至多20尺高的立柱，将地面升高或降低至多20尺，挖一条至多20尺深的壕沟，等等。这些改变需要花10分钟的时间来完成。
每为法术维持10分钟专注，你都可以选择一片新的地形区域再施以影响。
由于地形的变化发生得很缓慢，区域内的生物通常不会被地面的移动困住或者受伤。
该法术无法改变天然的岩石或石制建筑。但石头和建筑仍会因适应地形的变化而被改变。如果你改变地形的方式会使得建筑不稳定，则它有可能倒塌。
此外，该法术也无法直接影响植物生长。而被移走的土壤会带走任何生长在其上的植物。</t>
  </si>
  <si>
    <t>欧提路克冰封法球</t>
  </si>
  <si>
    <t>Otiluke's Freezing Sphere</t>
  </si>
  <si>
    <t>一个小水晶球</t>
  </si>
  <si>
    <t>一个冷冻能量形成的冰球从你的指尖射向施法距离内一处指定点，并在该处迸裂为一个半径60尺的球状区域。区域内的每个生物必须进行一次体质豁免。豁免失败者将受到10d6点冷冻伤害。豁免成功则伤害减半。
如果冰球击中某处水体或者某处以水分为主的液态表面（不包括由水组成的生物），其触及的水面将凝结出6寸厚、30尺宽的方形冻结区域。任何在其中游泳的生物将被冰面所困。受困的生物可以用一个动作进行一次对抗法术豁免DC的力量检定以破冰挣脱。
你可以在完成该法术后延迟发射冰。此时你手上将形成一个弹丸般大小，摸起来感觉冰冷的小冰球。你或者任意从你手上获得冰球的生物可以随时将冰球投出去（以40尺射程）或者用投石索将其弹射出去（以投石索的正常射程），并以冲击将其打破再产生正常施法时相同的效应。你还可以将冰球设置好，然后使其在不需要打破的情况下维持1分钟后自动迸裂。
升环施法效应：使用七环或更高法术位施展该法术时，你使用的法术位每比六环高一环，其伤害就增加1d6。</t>
  </si>
  <si>
    <t>奥图迷舞</t>
  </si>
  <si>
    <t>Otto's Irresistible Dance</t>
  </si>
  <si>
    <t>指定施法距离内一个你能看见的生物，并使目标生物会在原地跳起滑稽的舞蹈：它将在持续时间内不住的曳步、踏脚和蹦跳。不会被魅惑的生物将免疫该法术。
正在跳舞的生物必须用掉它全部的移动力在原地跳舞，其进行敏捷豁免和攻击检定时具有劣势。目标受该法术影响时，其它生物对其进行的攻击检定具有优势。正在跳舞的生物可以使用一个动作来进行一次感知豁免，豁免成功则法术终止。</t>
  </si>
  <si>
    <t>异界誓盟</t>
  </si>
  <si>
    <t>Planar Ally</t>
  </si>
  <si>
    <t>你祈求一个异界个体的援助。你必须对该存在个体有所了解，它可以是一个神祗，一位原祖，一名恶魔主君，或是其他界域级力量的存在。该存在将派遣一个效忠它的天界生物，元素生物或邪魔来援助你，并使该个生物显现在施法距离内一个未占据空间。如果你知道他们中某个特定生物的名字，则你可以在施展法术时说出其名字来请求指派该生物来援，但是你仍然有可能得到一个不同的生物（由DM选择）。
该生物出现时，你无法强迫它作任何事。你可以以报酬为交换请求其提供服务，只是它并没任何义务为你实现。请求的任务可以简单（帮我们飞越峡谷，或在一场战斗中提供协助），也可以复杂（暗中监视我们的敌人，或在我们扫荡地城时保护我们）。你必须能与该生物交流以为他服务的报酬讨价还价。
报酬的形式也可以各式各样。一个天界生物可能会要求为一座同盟的神殿捐献一份相当可观的金币或魔法物品，而一只邪魔可能会索要一次活祭或一份财宝作为礼物。一些生物可能会要求你进行一个任务来换取它们的服务。
粗略计算，一个可以按分钟计算的任务需要每分钟100gp的报酬。一个可以按小时计算的任务需要每小时1000gp的报酬。一个可以按日计算的任务（至多10日）需要每日10000gp的报酬。DM可以按你施放该法术的环境调整具体的报酬。如果任务与生物的行为准则一致，则报酬可能会被减半甚至放弃。没有风险的任务一般只需要建议报酬的一半，而特别危险的任务可能会需要更大的赠礼。生物极少接受看上去像自杀的任务。
生物完成任务后，或当协议服务时间结束后，如果任务合适并在可能的情况下，生物会在回来向你报告后再返回自己的家乡位面。如果你不能同意生物的服务价格，则其将立即返回其家乡位面。
应召加入你队伍的生物算作队伍成员，并正常分享获得的经验值。</t>
  </si>
  <si>
    <t>预置幻影</t>
  </si>
  <si>
    <t>Programmed Illusion</t>
  </si>
  <si>
    <t>一点羊毛和价值至少25gp的翡翠粉末</t>
  </si>
  <si>
    <t>你在施法距离内创造一个幻象，其外观为一个物件，一个生物或其他可视的现象，并使其在特定情况下激活。该幻象在被激活前无法被察觉。它必须不大于30尺立方区域，而你将在施放该法术时决定幻象该如何行动和发出什么声音。而这种按脚本执行的表演可以持续至多5分钟。
你所指定的情况发生时，幻象会迅速成型并按设定的方式表演。表演结束后，幻象将消失并潜伏10分钟。这段时间过后，幻象就可以再次被激活。
触发幻象的情况可以是一般事件，也可以按你的要求进行细化，但是它必须是发生在目标区域周边30尺范围内的能看到或听到的状况。例如，你可以制造一个自己的幻象，在其他人试图打开一扇设置了陷阱的门时出现并发出警告，或者你也可以设置一个在生物说出正确单词或短语才触发的幻象。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</si>
  <si>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阳炎射线</t>
  </si>
  <si>
    <t>Sunbeam</t>
  </si>
  <si>
    <t>一面放大镜</t>
  </si>
  <si>
    <t>一道耀眼的光芒从你手中射出并形成一条5尺宽、60尺长的线状区域。所有区域内的生物必须进行一次体质豁免。豁免失败者将受到6d8点光耀伤害，并且在你的下一回合前陷入目盲。豁免成功则伤害减半，且不会陷入目盲。不死生物和泥怪在进行该豁免时具有劣势。
你可以在法术终止前的任一回合内以一个动作重新创造一道线状光芒。
在法术持续时间内，你的手中一点散发出耀眼的光芒。其光耀为周围提供30尺的明亮光照，以及该范围外30尺的微光光照。这些光芒均视为等同于阳光。</t>
  </si>
  <si>
    <t>木遁术</t>
  </si>
  <si>
    <t>Transport Via Plants</t>
  </si>
  <si>
    <t>该法术将施法距离内一棵大型或更大的静态植物用魔法与同位面上任意距离外的另一棵植物相连接。施法时，你必须见过或触碰过出口植物至少一次。此后，任何生物都可以在法术持续时间内花费5尺移动力进入目标植物内，然后从出口植物处出来。</t>
  </si>
  <si>
    <t>真知术</t>
  </si>
  <si>
    <t>True Seeing</t>
  </si>
  <si>
    <t>由蘑菇粉、藏红花和油脂制成得眼药膏，价值为25gp，作为该法术的耗材</t>
  </si>
  <si>
    <t>你触碰一个自愿的生物，让该法术赋予其看到事物真实面目的能力。受术者在法术持续时间内拥有120尺的真实视觉，其能发现被魔法隐藏的暗门，也能看到以太位面。</t>
  </si>
  <si>
    <t>冰墙术</t>
  </si>
  <si>
    <t>Wall Of Ice</t>
  </si>
  <si>
    <t>一小块石英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</si>
  <si>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如果冰墙形成时穿过了某生物所占据的空间，则该生物会被推到冰墙的一侧且必须进行一次敏捷豁免。豁免失败者将受到10d6点冷冻伤害，豁免成功则伤害减半。
作为一个物件，冰墙可以因受到伤害而被打破。冰墙的AC为12，每段10尺长的冰墙有30点生命值，而且冰墙对火焰伤害具有易伤。当一段10尺长的冰墙的生命值降至0时，这段冰墙就会被摧毁，但原地会留下一片冰冷刺骨的空气。生物在一个回合内第一次通过这片寒气时，必须进行一次体质豁免。豁免失败者将受到5d6的冷冻伤害，成功则伤害减半。
升环施法效应：使用七环或更高法术位施展该法术时，你使用的法术位每比六环高一环，冰墙出现时造成的伤害就增加2d6，并且通过寒气时受到的伤害也增加1d6。</t>
  </si>
  <si>
    <t>棘墙术</t>
  </si>
  <si>
    <t>Wall Of Thorns</t>
  </si>
  <si>
    <t>一把荆棘</t>
  </si>
  <si>
    <t>你创造出一面坚韧、纠缠、长满锐利棘刺的灌木之墙。棘墙出现在施法距离内一处坚实的地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棘墙出现时所有位于其内的生物要进行一次敏捷豁免。豁免失败者将受到7d8点穿刺伤害，豁免成功则伤害减半。
生物可以移动穿过棘墙，但这是个十分缓慢且痛苦的过程。生物在棘墙中每移动1尺要消耗4尺的移动力。另外，生物在一个回合内第一次进入棘墙或在棘墙里结束其回合时，必须进行一次敏捷豁免。豁免失败者将受到7d8点挥砍伤害，豁免成功则伤害减半。
升环施法效应：使用七环或更高法术位施展该法术时，你使用的法术位每比六环高一环，两种类型的伤害就都增加1d8。</t>
  </si>
  <si>
    <t>御风而行</t>
  </si>
  <si>
    <t>Wind Walk</t>
  </si>
  <si>
    <t>明火和圣水</t>
  </si>
  <si>
    <t>你和施法距离内你能看见的至多十个自愿生物在法术持续时间内变为气化形态，其外观有如一团云雾。处于该云雾形态的生物具有300尺的飞行速度，并且对非魔法武器造成的伤害具有抗性。该形态下的生物除疾走和变回原形以外不能执行其他动作。变回原形需要花一分钟的时间，在这段时间内该生物处于失能状态且不能移动。在法术终止前，该生物还可以再次变成云雾形态，而再次进行变形同样要花一分钟时间。
如果法术终止时受术生物正以云雾形态飞行，则该生物将在1分钟内以每轮60尺的速度降落直至安全着陆。如果该生物降落1分钟后还没着陆，则在余下的距离中它将会如正常情况一样坠落。</t>
  </si>
  <si>
    <t>回返真言</t>
  </si>
  <si>
    <t>Word Of Recall</t>
  </si>
  <si>
    <t>你和你身边5尺内的至多五个自愿生物一起瞬间传送到一个你事先设置好的避难所。你和与你一起传送的生物将出现在你准备避难所时指定的地点旁边最近的未被占据位置。如果你在施放法术前没有事先准备好避难所，则该法术将不产生任何效应。
设置避难所时，你必须身处一个你所信仰神祇的神庙或与该神祇密切相关的地点，然后在该处施展此法术。如果你试图在一个并不供奉你所信仰神祇的地方施展此法术，则该法术将不产生任何效应。</t>
  </si>
  <si>
    <t>地之骨</t>
  </si>
  <si>
    <t>Bones Of The Earth</t>
  </si>
  <si>
    <t>你令距离内你能看见的地面处升起六根石柱。每根石柱为直径5尺，高度至多30尺的圆柱。升起石柱的地表必须具有足以容纳其直径的空间，你可以以一个体型不超过中型的生物的脚下作为目标。每根石柱的AC为5，具有30HP。当其HP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事物因为天花板或其他障碍未能达到其最大高度，在石柱上的生物受到6d6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升环施法效应：当你使用七环或更高的法术位施放该法术时，使用的法术位每高一环，你便能额外升起两根石柱。</t>
  </si>
  <si>
    <t>创造小人</t>
  </si>
  <si>
    <t>Create Homunculus</t>
  </si>
  <si>
    <t>价值1000gp的镶嵌宝石的匕首</t>
  </si>
  <si>
    <t>黏土，灰尘，曼德拉草根，以上材料作为该法术的耗材</t>
  </si>
  <si>
    <t>说出复杂咒语的同时，你用一把镶嵌宝石的匕首刺穿自己，并受到不能被任何方式降低的2d4穿刺伤害。随后你将血液滴落在法术的其他成分上并接触它们，将它们转变为一种名为造妖的特殊构装体。
造妖的数据参见怪物图鉴。它是你的忠实伙伴，并且会随着你死亡。每次你完成一次长休息，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息时还原，在那之前你的最大生命降低效果不能被移除，除非你的造妖死亡。
同一时间你只能拥有一只造妖。如果你在你的造妖还存活时施展，法术将会失败。</t>
  </si>
  <si>
    <t>德鲁伊林地</t>
  </si>
  <si>
    <t>Druid Grove</t>
  </si>
  <si>
    <t>一个在满月之光下以黄金镰刀收割的槲寄生，作为该法术的耗材</t>
  </si>
  <si>
    <t>你呼唤自然之灵来守护一块户外区域或者是地底。这片区域最小为边长30尺的立方体，最大则可达边长90尺的立方体。建筑物和其他构造物会被排除在受影响区域外。如果你在一年内每天对同一区域施展这个法术，法术将持续到被解除。
法术将在区域内产生如下效果。当你施展这个法术时，你可以指定生物作为友伴免疫这些效果。你也可以指定一个口令，大声说出口令的人也同样免疫这些效果。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你可以在没有被填充雾气的地面上分布纠缠的藤蔓和杂草填充任意数量的5尺方格，如同它们受到了纠缠术的影响。对免疫这个效果的生物而言这些野草和藤蔓都是柔软的，甚至可以重塑形态成为临时的座椅和床铺
林地守卫：你可以活化区域内最多四棵树木，使它们从地面上拔根而起。这些树木与怪物图鉴中的启蒙树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额外法术效果：你可以从以下魔法效果中选择其一放置在被保护的区域：
在你选择的两个位置布置持续的造风术效果。
在你选择的一个位置布置荆棘丛生效果。
在你选择的两个位置布置风墙术效果。
对免疫这个效果的生物而言，风是带着芳香的微风，而布置荆棘丛生的区域是无害的。</t>
  </si>
  <si>
    <t>炽焰赋权</t>
  </si>
  <si>
    <t>Investiture Of Flame</t>
  </si>
  <si>
    <t>火焰环绕着你的身体，照亮周围30尺半径的区域，并在外围30尺范围内产生微弱的亮光。这些火焰不会伤害到你。直到此法术终结，你得到如下的好处：
你免疫于火焰伤害并对冷冻伤害具有抗力。
任何在回合中第一次进入你周围5尺范围之内，或是在你周围5尺范围之内结束回合的生物受到1d10火焰伤害。
你可以使用你的动作以创造出一条以你为起始点，向由你选择的方向延伸的15尺长、5尺宽的火线。在线中的每个生物都必须进行一次敏捷豁免检定。豁免失败的生物受到4d8火焰伤害，豁免成功者受到上述伤害的一半。</t>
  </si>
  <si>
    <t>寒冰赋权</t>
  </si>
  <si>
    <t>Investiture Of Ice</t>
  </si>
  <si>
    <t>直到此法术终结，寒冰浸沐了你的躯体，你得到如下好处：
你免疫冷冻伤害，并对火焰伤害具有抗力。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寒冷伤害，若成功则受到上述伤害的一半。在对抗刺效应的豁免检定中失败的生物，直到你的下个回合开始，其速度减半。</t>
  </si>
  <si>
    <t>磐石赋权</t>
  </si>
  <si>
    <t>Investiture Of Stone</t>
  </si>
  <si>
    <t>直到法术终结，岩石颗粒布满了你的躯体，你得到如下好处：
你对于来自非魔法攻击的钝击，穿刺和挥砍伤害得到抗力。
你可以使用你的动作，在以你为中心周围15尺半径的地表创造出一阵小型地震。在地表上的其他生物必须通过一次敏捷豁免检定，否则会摔倒。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处于震慑状态。</t>
  </si>
  <si>
    <t>清风赋权</t>
  </si>
  <si>
    <t>Investiture Of Wind</t>
  </si>
  <si>
    <t>直到此法术终止，风在你的身旁回旋，而你得到下述好处：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钝击伤害，豁免成功者受到上述伤害的一半。若体型不超过大型的生物在此豁免中失败。该生物将在远离该空间中心的方向上被推离10尺。</t>
  </si>
  <si>
    <t>精神监狱</t>
  </si>
  <si>
    <t>Mental Prison</t>
  </si>
  <si>
    <t>你试图将目标生物束缚在一个只有他自己能感知的幻觉牢房中。在距离内你可见的一个生物必须进行智力豁免检定。如果目标免疫魅惑，它在这次豁免中自动成功。若豁免成功，目标受到5d10精神伤害，同时法术结束。若豁免失败，在造成5d10精神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精神伤害，然后法术结束。</t>
  </si>
  <si>
    <t>原初守护</t>
  </si>
  <si>
    <t>Primordial Ward</t>
  </si>
  <si>
    <t>你在本法术的持续时间内具有对强酸，寒冷，火焰，电击和雷鸣伤害的抗力
当你收到上述类型之一的伤害时，你可以使用你的反应来得到对该种类型伤害的免疫，这包括了对触发此效果的伤害。若你如此做，则抗力效果结束，而你在直到你的下个回合结束前具有对应的免疫，之后此法术终结。</t>
  </si>
  <si>
    <t>散射术</t>
  </si>
  <si>
    <t>Scatter</t>
  </si>
  <si>
    <t>你选择距离之内最多5个可见生物，震颤的空气将环绕他们周围。一个非自愿的生物必须成功进行感知豁免检定来抵抗这个法术。你将每个受影响的生物传送至120尺内任意你可以看见且未被占据的空间。这个空间必须在地面上或在地板上。</t>
  </si>
  <si>
    <t>灵魂牢笼</t>
  </si>
  <si>
    <t>Soul Cage</t>
  </si>
  <si>
    <t>1反应，当你看见60尺内类人生物死去时执行</t>
  </si>
  <si>
    <t>一个价值100gp的银笼子</t>
  </si>
  <si>
    <t>这个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窃取生命：你可以用一个附赠动作从灵魂中吸取活力并恢复2d8生命值。
灵魂质问：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借鉴经验：你可以使用一个附赠动作让灵魂的人生经验来支撑你，令你的下一次攻击检定，能力检定和豁免检定具有优势。如果在你的下个回合开始之前你没有使用这个增益，它将会丢失。
亡者之眼：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能看到这个传感器的生物（例如使用了识破隐形法术或是拥有真实视觉）将会看到被你关在笼中的受难者半透明的影像。</t>
  </si>
  <si>
    <t>谭森变形术</t>
  </si>
  <si>
    <t>Tenser'S Transformation</t>
  </si>
  <si>
    <t>一缕公牛毛发</t>
  </si>
  <si>
    <t>你以魔法为燃料赋予自己耐久和武艺。直到法术结束之前，你不能施展法术，并且得到如下增益：
你得到50点临时生命。如果这些临时生命保持到了法术结束，它们会失去
你在使用简易或军用武器时，攻击检定具有优势。
当你用武器攻击击中一个目标，它将受到额外2d12力场伤害。
你熟练于所有盔甲，盾牌，简易武器和军用武器。
你熟练于力量豁免和体质豁免。
当你在自己的回合采取攻击动作时，你可以攻击两次而非一次。如果已经有类似的能力给予你额外攻击，例如额外攻击，你无视这项增益。
在法术结束时你需要立即成功通过一次DC15的体质豁免检定，否则将承受一级力竭。</t>
  </si>
  <si>
    <t>重力分裂</t>
  </si>
  <si>
    <t>Gravity Fissure</t>
  </si>
  <si>
    <t>一把铁料</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</si>
  <si>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升环施法效应。当你使用七环或更高环位的法术位施展该法术时，每比六环高出一环的法术位能使该法术的伤害增加1d8。</t>
  </si>
  <si>
    <t>邪魔召唤术</t>
  </si>
  <si>
    <t>Summon Fiend</t>
  </si>
  <si>
    <t>装有类人生物血液的红宝石瓶，价值至少600gp</t>
  </si>
  <si>
    <t>你唤来一个邪魔灵魄。其在施法距离内你可见的一个未占据位置化为实体。这一实体使用下面的精类灵魄的数据。当你施展法术时，从恶魔，魔鬼或尤格罗斯魔中选择一种。此生物外形如同你所选择类型的邪魔，其资料表中的部分特性也受此影响。当其生命值降至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升环施法效应：使用七环或更高法术位施展该法术时，该生物数据中使用更高的法术环数。
邪魔灵魄
大型邪魔
AC：12+法术等级(天生护甲)
HP：50（仅限恶魔）或40（仅限魔鬼）或60（仅限尤格罗斯魔）+15每比六环高的法术等级
速度：40尺，攀爬40尺（仅限恶魔），飞行60尺（仅限魔鬼）
力量，敏捷，体质，智力，感知，魅力
13[+1]，16[+3]，15[+2]，10[+0]，10[+0]，16[+3]
伤害抗性：火焰
伤害免疫：毒素
状态免疫：中毒
感官：黑暗视觉60尺，被动察觉10
语言：深渊语，炼狱语，心灵感应60尺
熟练加值与你相等
焚身爆（仅限恶魔）：邪魔生命值降为0时或法术结束时将爆炸，其周围10尺内每个生物必须进行一次敏捷豁免对抗你的法术豁免DC，豁免失败则将受到2d10+法术环位的火焰伤害，豁免成功则伤害减半。
魔鬼视界（仅限魔鬼）：魔法黑暗不会阻碍邪魔的黑暗视觉。
魔法抗性：邪魔为抵抗法术和其他魔法效应而作的豁免检定具有优势。
动作：
多重攻击：邪魔发动等同于法术环数一半的次数的攻击（向下取整）。
啃咬（仅限于恶魔）：近战武器攻击：命中+你的法术攻击调整值，触及5尺，单一目标。伤害：1d12+3+法术环数的黯蚀伤害。
爪击（仅限于尤格罗斯魔）：近战武器攻击：命中+你的法术攻击调整值，触及5尺，单一目标。伤害：1d8+3+法术环数的挥砍伤害。发动攻击后，邪魔可以魔法性地传送至一处30尺内其可见且未被占据的空间。
投掷烈焰（仅限于魔鬼）：远程法术攻击：命中+你的法术攻击调整值，射程150尺，单一目标。伤害：2d6+3+法术环数的火焰伤害。如果目标时未被着装或携带的可燃物件，则将被点燃。</t>
  </si>
  <si>
    <t>塔莎超凡形态</t>
  </si>
  <si>
    <t>Tasha's Otherworldly Guise</t>
  </si>
  <si>
    <t>一件的镶嵌有外层位面标记的物件，价值至少500gp</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</si>
  <si>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当你在自己的回合进行攻击动作时，你可以攻击两次而非一次。如果已经有类似的能力给予你额外的攻击次数，例如额外攻击，你无视这项增益。</t>
  </si>
  <si>
    <t>费茨本铂金盾</t>
  </si>
  <si>
    <t>Fizban's Platinum Shield</t>
  </si>
  <si>
    <t>一枚镀上铂金的龙鳞，价值至少500金币</t>
  </si>
  <si>
    <t>你创造一道闪着银光的力场，环绕在施法距离内你所选择的一个生物周围（你可以选择你自己）。该力场散发5尺微光光照。被力场保护的生物获得以下好处：
掩护：该生物具有半身掩护。
伤害抗力：该生物获得对强酸，寒冷，火焰，闪电以及毒素伤害的抗性。
反射闪避：如果该生物受到可以由成功通过敏捷豁免来使伤害减半的效应影响，该生物在成功通过豁免时改为不受任何伤害，失败则受到一半伤害。
在之后的回合内以一个附赠动作，你可以将该力场移动至力场周围60尺内的另一个生物身上。</t>
  </si>
  <si>
    <t>召唤天界生物</t>
  </si>
  <si>
    <t>Conjure Celestial</t>
  </si>
  <si>
    <t>你召唤一个挑战等级4或更低的天界生物，并使其显现在施法范围内一处你能看见且未被占据的空间。该天界生物在生命值降至0时，或者法术终止时消失不见。
被召唤的天界生物对你和你的伙伴保持友善关系。你为召唤出来的天界生物骰先攻，它也依此获得其自己的行动回合。该天界生物服从你发出的所有语言命令（不需要你作动作），前提是该命令必须不违反其所属阵营。如果你不发出任何命令，该生物会在敌对生物前保护自己，如果没有敌对生物则不执行任何动作。
该天界生物的具体数值由DM掌控。
升环施法效应：使用九环法术位施展该法术时，你将召唤一个挑战等级5或者更低的天界生物。</t>
  </si>
  <si>
    <t>延迟爆裂火球</t>
  </si>
  <si>
    <t>Delayed Blast Fireball</t>
  </si>
  <si>
    <t>一颗蝙蝠粪和硫磺混合的小球</t>
  </si>
  <si>
    <t>一束黄光从你的指尖射向施法距离内你指定的一点，并在法术持续时间内在该点凝结成一颗赤红的珠子。当因专注被打断或自主决定导致法术终止时，珠子将伴着低吼炸裂成四窜的烈焰并绕过拐角扩散。此时，目标点周边半径20尺内的每个生物都必须进行一次敏捷豁免。豁免失败者将承受全部累积的火焰伤害，豁免成功则伤害减半。
该法术的基础伤害为12d6。如果你在回合结束时，珠子尚未引爆，则其伤害增加1d6。
如果珠子爆炸前被生物触碰到，则该生物必须进行一次敏捷豁免。豁免失败则法术立即终止并触发爆炸效应。豁免成功则该生物可将珠子抛开至多40尺。当珠子被生物或固态物件撞击时，法术立即终止并且触发爆炸效应。
火焰伤害区域内没被着装携带的易燃物品将被烈焰点燃。
升环施法效应：使用八环或更高法术位施展该法术时，你使用的法术位每比七环高一环，基础伤害就提高1d6。</t>
  </si>
  <si>
    <t>圣言术</t>
  </si>
  <si>
    <t>Divine Word</t>
  </si>
  <si>
    <t>你吟诵一句神圣的箴言，其中充盈了创世黎明的力量。在施法距离内指定任意数量的你能看见的生物，并迫使每个能够听到圣言的生物进行一次魅力豁免。豁免失败者基于其当前生命值承受以下效应：
生命值为50或更少：耳聋1分钟。
生命值为40或更少：耳聋并目盲10分钟。
生命值为30或更少：耳聋、目盲并被震慑1小时。
生命值为20或更少：即死。
对于受术的天界生物、元素生物、精类生物或邪魔，其豁免失败时不需考虑其当前生命值，并直接将其遣返回其原属位面（本来就处于原属位面则无效）。在随后24小时内，该生物不能通过任何方式回到当前位面，除非使用祈愿术的效应。</t>
  </si>
  <si>
    <t>以太化</t>
  </si>
  <si>
    <t>Etherealness</t>
  </si>
  <si>
    <t>你进入当前所处位面与以太位面边缘的重叠空间。你可以在法术持续时间内一直呆在该以太边缘，也可以使用动作解除法术。此时你可以向任意方向移动。如果向上或向下移动，则你移动的每尺距离需要额外消耗一尺的移动力。你可以看见并听见你原来的位面，但是所有事物都以灰度显示，而你也看不到60尺外的东西。
在以太位面时，只有同样处在以太位面的其他生物才能被你影响或影响你。不在以太位面的生物无法察觉你，也无法与你互动，除非其具相应的特殊能力或魔法。
你将无视所有不在以太位面的物品和效应，这使你可以穿越你能看见的原属位面物件。
法术终止时，你立刻回到原本所在的位面，占据当前所在的空间位置。如果你的位置已经有一件固体的物件或一个生物，则你立刻被转移到最近一处你可占据而未被占据的空间位置，并受到两倍于你移动尺数的力场伤害。
如果你正处于以太位面，或所在位面与以太位面不相连（比如某个外层位面），则该法术无效。
升环施法效应：使用八环或更高法术位施展该法术时，你使用的法术位每比七环高一环，你就可以多指定三个自愿生物作为法术目标（包括你在内）。这些生物在你施法时必须在你10尺内。</t>
  </si>
  <si>
    <t>死亡一指</t>
  </si>
  <si>
    <t>Finger Of Death</t>
  </si>
  <si>
    <t>你发出负能量并贯穿施法距离内你能看见的一个生物使其承受苦痛。该生物必须进行以此体质豁免。豁免失败则受到7d8+30点黯蚀伤害，豁免成功则伤害减半。
被该法术杀死的类人生物将在你下一回合开始时唤起为一只受你操控的僵尸，并在随后尽力遵循你的语言指令。</t>
  </si>
  <si>
    <t>火焰风暴</t>
  </si>
  <si>
    <t>Fire Storm</t>
  </si>
  <si>
    <t>一片由烈焰形成的风暴扫过施法距离内一处你指定的区域。该区域由至多十个10尺立方区域组成。你可以自行安排各立方区域的组合方式，而每个立方区域必须至少有一面与其他立方区域相连。区域内每个生物必须进行一次敏捷豁免。豁免失败者将受到7d10点火焰伤害，豁免成功则伤害减半。
风暴的烈焰将对区域内的物件造成伤害，并点燃区域内所有未被着装或携带的可燃物件。你可以选择让区域内的植物生命免受该法术效应的影响。</t>
  </si>
  <si>
    <t>魔力监牢</t>
  </si>
  <si>
    <t>Forcecage</t>
  </si>
  <si>
    <t>价值1500gp的红宝石尘</t>
  </si>
  <si>
    <t>你围绕施法距离内一处指定地点以魔力形成一个固定的立方状隐形监牢。你可以选择监牢的形式为笼状或密封体。
笼状监牢为各边长至多20尺的立方体，其墙体由½寸粗的力场栅栏杆组成，每杆指间相距½寸。
密封监牢为各边长至多10尺的立方体，其墙体为由力场墙密封，并阻隔一切物质和法术从牢笼里进出。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线进行一次魅力豁免。豁免成功则该生物可以用该魔法离开牢笼。豁免失败者将无法以此离开牢笼并浪费掉该法术或效应。该牢笼同时延伸至以太位面从而屏蔽掉从以太位面旅行逃脱。
该法术不能被法术解除魔法所解除。</t>
  </si>
  <si>
    <t>海市蜃楼</t>
  </si>
  <si>
    <t>Mirage Arcane</t>
  </si>
  <si>
    <t>你使至多1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或者反过来），甚至使之变成无法通行的区域。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</si>
  <si>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摩登肯豪宅术</t>
  </si>
  <si>
    <t>Mordenkainen's Magnificent</t>
  </si>
  <si>
    <t>一个象牙雕琢的拱门小模型、一块打磨过的大理石和一把微型银汤匙，每件物品至少价值5gp</t>
  </si>
  <si>
    <t>你在施法距离内创造出一个异次元的居所，并维持至法术持续时间结束。居所唯一的入口宽5尺，高10尺而微微发光，其具体位置由你指定。只要该入口保持开启，你和你施展该法术时指定的任意生物都可以进入该异次元居所中。你可以在距入口不超过30尺处开启或关闭入口。而入口关闭时即其处于隐形状态。
入口内是一个连接着许多房间的华丽大厅。其内空气洁净清新而温暖舒适。
你可以随意创造自己喜欢的房间构造，但其总体积不得超过50个边长10尺的立方体。房间内依你喜好配置好家具和装饰，其内储备的食材足以制作供100人享用的九道菜大餐。一组共100名的半透明仆从会招待任何进入房间的人。仆从的外观衣着由你决定，而它们会完全服从你的命令。每个仆从都可以完成一个普通人程度的工作，但它们不能攻击或者进行任何直接伤害其他生物的行动。因而仆从可以完成的工作包括：取来物品、清洁、修理、叠衣服、生火、上菜、倒酒等等。仆从可以去豪宅中的任何地方，但不能里开宅子。由该法术创造的家具和其他物品如果被移出豪宅，就会消散成烟雾。该法术终止时，任何处于该异次元空间内的生物都将被移出空间内，并出现在距离入口最近的开放空间内。</t>
  </si>
  <si>
    <t>摩登肯之剑</t>
  </si>
  <si>
    <t>Mordenkainen's Sword</t>
  </si>
  <si>
    <t>一把剑柄和柄端由铜与锌打造的微缩铂金剑，价值250gp</t>
  </si>
  <si>
    <t>你在施法距离内创造出一个闪闪发光的剑形力场，并使其在法术持续时间内维持存在。
秘法剑出现时，你可以对该剑5尺内的一个自选目标发动一次近战法术攻击。命中时，目标受到3d10点力场伤害。在法术持续时间内，你可以在自己回合使用一个附赠动作将剑移动至多20尺。移动的目的地你必须能够看见，而移动完成后你还可以对同一目标或不同的目标再发动一次该攻击。</t>
  </si>
  <si>
    <t>异界传送</t>
  </si>
  <si>
    <t>Plane Shift</t>
  </si>
  <si>
    <t>一根与某个位面完成同调，价值至少250gp的分叉金属短棒</t>
  </si>
  <si>
    <t>你和至多八个自愿生物手拉手站成一圈，然后被传送到一个不同的存在位面中。你可以概括地指名一个目的地（比如火元素位面的黄铜城，或者九层地狱第二层迪斯帕特的宫殿），然后你将出现在目的地里或其附近附近。假设你想到达黄铜城，按照DM的判断，你可能会传送到达它的钢铁大道上，或它的灰烬之门前，又或者与城市隔着火焰之海相望之处。
另外，如果你知道某个处于另一位面的传送法阵的印记序列，则该法术可以把你带到该法阵处。如果该传送法阵太小而装不下所有你传送的生物，则他们会出现在离传送法阵最近的未占据空间里。
你可以用该法术放逐一个非自愿的生物到另一位面。指定一个你触及范围内的生物并对它进行一次近战法术攻击。命中时，此生物必须进行一次魅力豁免。豁免失败者将被传送到你指定位面的一个随机地点。被这样传送走的生物必须自行寻找回到你现在位面的路。</t>
  </si>
  <si>
    <t>虹光喷射</t>
  </si>
  <si>
    <t>Prismatic Spray</t>
  </si>
  <si>
    <t>八条多彩射线从你的手上闪出。每条射线颜色不同且具有不同的威力和作用。在60尺锥状区域内的每个生物必须进行一次敏捷豁免同时掷一次d8决定生效哪种颜色的射线：
1、红：目标豁免失败时受10d6的火焰伤害，成功则伤害减半。
2、橙：目标豁免失败时受10d6的强酸伤害，成功则伤害减半。
3、黄：目标豁免失败时受10d6的闪电伤害，成功则伤害减半。
4、绿：目标豁免失败时受10d6的毒素伤害，成功则伤害减半。
5、蓝：目标豁免失败时受10d6的冷冻伤害，成功则伤害减半。
6、靛：目标豁免失败时受束缚。它必须在其每回合结束时进行一次体质豁免。三次豁免成功后法术终止。三次豁免失败后目标将永久陷入石化状态。成功或失败的豁免不需要连续，只需记下两边的数量直至其中一种达到三次。
7、紫：目标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
8、特殊：目标被两条射线打中。再掷两次，结果为8时再重掷。</t>
  </si>
  <si>
    <t>投影术</t>
  </si>
  <si>
    <t>Project Image</t>
  </si>
  <si>
    <t>价值至少5gp的材料制成的一个你自身的微缩模型</t>
  </si>
  <si>
    <t>你创造一个自己的幻象分身，并使其在法术持续时间内维持存在。该分身可以出现在施法距离内你曾见过的任何地点，而不论中间是否存在障碍物。该幻象外观和声音与你一样，只是没有现实形体。幻象受到伤害时会立即消失并终止法术。
你可以用你的动作移动该分身至多两倍于你速度的尺数，而其姿态、言语和行为均按照你的指定作表现。此外幻象还可以完美的模仿你的举止。
你可以通过分身的眼睛视物，用分身的耳朵聆听，如同你处于它的位置一样。你可以在自己回合内以一个附赠动作在自己与分身的感官间切换。而当你使用分身的感官时，本体周边的事物对你而言等同于处于目盲且耳聋的状态。
由于幻象无法被碰到，任何与该幻象进行的物理互动都会暴露其幻觉本质。一个生物用其动作调查幻象时，它可以进行一次对抗法术豁免DC的智力（调查）检定，以判定是否看穿幻象。辨出幻象的生物可以看穿该影像，其产生的声响对该生物而言显得虚假。</t>
  </si>
  <si>
    <t>再生术</t>
  </si>
  <si>
    <t>Regenerate</t>
  </si>
  <si>
    <t>一个转经筒和圣水</t>
  </si>
  <si>
    <t>你触碰一个生物并加快其自愈速度。目标恢复4d8+15点生命值。在法术持续时间内，目标在它的每回合开始时恢复1点生命值（每分钟10点）。
如果目标失去了某些身体部位（手指、腿、尾巴等等），则这些部位将在2分钟后会重新长出。如果你持有失去的身体部位并且将其手动固定到创口上，则该法术会使该身体部位和创口立即接合。</t>
  </si>
  <si>
    <t>复生术</t>
  </si>
  <si>
    <t>Resurrection</t>
  </si>
  <si>
    <t>一颗至少价值1000gp的钻石，作为该法术的耗材</t>
  </si>
  <si>
    <t>你触碰一个已死的生物，并使之复活。该目标的死亡时间必须没有超过一百年，其死因不能是老死，且不能是不死生物。此时，如果该生物的灵魂愿意并且能够回来，则受术生物以生命值全满的状态复活。
该法术同样会中和该生物生前体内的毒素以及罹患的普通疾病，但对于魔法造成的疾病、诅咒和类似的效应则无能为力；如果没有在复活前治愈这些效应，则该生物重获生命的时该效应将继续生效。
该法术能治愈致命的伤口，也能恢复失去的身体部位。
死而复生是一个痛苦的体验。复活的目标在随后进行攻击检定、豁免检定和属性检定时具有-4减值。该目标每完成一次长休，其减值就减少1，依次叠加直至减值完全消失。
使用该法术复活一个已死去一年或更久的生物会使你耗费大量精力。你将无法在完成一次长休前再施放任何法术，且此时你进行的一切攻击检定、属性检定和豁免检定具有劣势。</t>
  </si>
  <si>
    <t>反重力</t>
  </si>
  <si>
    <t>Reverse Gravity</t>
  </si>
  <si>
    <t>一块磁石和一些铁屑</t>
  </si>
  <si>
    <t>该法术以施法距离内一点为中心，创造一个半径50尺、高100尺柱状的重力反转区域。施展该法术时，区域内一切没有被固定在地面上的生物和物件都会向上落去，直到碰到该区域顶端为止。受术生物可以进行一次敏捷豁免以抓住一件他能触及的固定物件，从而避免向上坠落。
如果在坠落过程中遇到任何固体（比如天花板），则坠落的物体和生物会受到同样情况下正常坠落时所会受到的冲击。如果一个物体或生物到达该区域的顶部并且没有撞到任何实体，则它将停留在该处并微微振动，直至法术终止。法术持续时间结束后，受术物件和生物将重新坠落下来。</t>
  </si>
  <si>
    <t>隔离术</t>
  </si>
  <si>
    <t>Sequester</t>
  </si>
  <si>
    <t>钻石、绿宝石、红宝石、蓝宝石得粉尘混合而成的粉末，其价值至少5000gp，作为该法术的耗材</t>
  </si>
  <si>
    <t>该法术能够将一个自愿的生物或物体藏匿起来，使其在法术结束前都无法被侦测。施展该法术并且触碰目标时，目标变为隐形且不能被作为预言系法术的目标，也无法被预言系法术创造出的传感器所感知。
如果法术的目标是一个生物，则目标将进入假死状态。时间在受术者的世界中停止了流动，因此它不会衰老。
你可以设置一个让该法术提前终止的条件。该条件由你自由设定，但必须是发生在目标周围1里内或目标在周围一里内能看见的事件。例如：“1000年以后”或者“当泰拉斯奎巨兽觉醒时”。如果受术者受到任何伤害，则该法术立刻终止。</t>
  </si>
  <si>
    <t>拟像术</t>
  </si>
  <si>
    <t>Simulacrum</t>
  </si>
  <si>
    <t>一些雪或冰，用来给模拟对象制作一个真人大小的模型；放置在模型上的模拟对象身体的一部分，比如毛发或指甲；以及撒在分身上至少价值1500gp的红宝石粉，作为该法术的耗材</t>
  </si>
  <si>
    <t>你花费整段施法时间为施法距离内一个野兽或类人生物塑造出一个幻象分身。该分身是一个由冰雪构成的半真实生物，它可以执行动作，也能在其他方面如同正常生物一样受到各种影响。它与其本体生物看起来一样，但是其生命值上限只有本体一半，而且在成型时不带任何装备。除此之外，幻象分身的属性数据都与本体相同，不过生物类型是构装生物。
拟像对你和你所选定的生物保持友好关系。它会服从你说出的命令，按照你的愿望行动，在战斗中还会在你的回合行动。拟像无法学习，也不知道如何变得更强大，因此它永远不会升级，其他能力也不会变得更强，而它用掉的法术位也不能恢复。
拟像受损后，你可以在炼金实验室里修理它。拟像每恢复一点生命值就要消耗价值100gp的稀有矿物和药草。拟像会一直持续到其生命值降至0，随后就变回冰雪并立刻融化。
再次施放该法术时，任何你已用该法术创造出来并且正在活动中的分身都会立刻被摧毁。</t>
  </si>
  <si>
    <t>魔法徽记</t>
  </si>
  <si>
    <t>Symbol</t>
  </si>
  <si>
    <t>水银和磷，以及总计价值至少1000gp的钻石和蛋白石粉末，作为该法术的耗材</t>
  </si>
  <si>
    <t>施展该法术时，你在某个表面（诸如桌面、地板、墙等）或某个能被关闭以隐藏符纹的物件里（诸如书本、卷轴、宝箱等）刻画一个伤害其他生物的符纹。如果你指定某个表面，则此符纹可以覆盖周边不超过10尺直径的区域。如果你指定某个物件，则该物件必须待在其所在位置；如果该物件从被施法位置被移动超过10尺，则其符纹被破坏且法术不被触发即告终止。
该符纹近乎隐形，其需要以法术的豁免DC进行一次智力（调查）检定才能被发现。
你在施法时设定该符纹的触发条件。刻画于表面的符纹其最典型的触发条件包括：触碰或站立在符纹上；拿掉覆盖在符纹上的物件；进入符纹一定施法距离；操作符纹所在的物件等。刻画在物件内的符纹其最典型的触发条件包括：打开物件；靠近物件一定的距离；看到或阅读该符纹等。
你可以进一步细化触发条件，比如设定法术触发时符合特定的条件，或设定其触发者必须具备特定身体特征（身高体重等），特定生物种类（例如设定为只影响异怪或卓尔）或特定阵营。你还可以将特定条件者排除在符纹触发者之外，诸如某说出特定口令的人。
刻画符文时，你可以从下列选项中选择其一作为该法术的效应。符文一旦被触发就会开始发光，使其周围60尺半径的球状区域处于微光光照并持续10分钟。该时间段过后法术即告终止。符文生效时，所有位于球状区域内的生物即成为法术效应的目标。生物在其回合内第一次进入该区域内或在其中结束其回合时，也同样会成为符文效应的目标：
死亡：所有目标必须进行一次体质豁免，豁免失败者将受到10d10点黯蚀伤害，豁免成功则伤害减半。
争斗：所有目标必须进行一次体质豁免。豁免失败者将在接下来的1分钟内将不停地与其他生物争吵。该时间段内它无法进行任何有意义的沟通，并且其进行的所有攻击检定和属性检定都具有劣势。
恐惧：所有目标必须进行一次感知豁免，豁免失败者将陷入1分钟的恐慌状态。被恐慌时，该生物将丢弃其所有持握物，并在其每回合里尽力向远离符文的方向移动至少30尺。
绝望：所有目标必须进行一次魅力豁免，豁免失败者将陷入持续1分钟的绝望。该时间段内它不能进行攻击，也不能对任何生物使用伤害性的能力，法术或其他魔法效应。
错乱：所有目标必须进行一次智力豁免，豁免失败者将陷入持续1分钟的错乱。陷入错乱的生物不能执行动作，也听不懂其他生物的话语看不懂任何文字，而只会胡言乱语。此时将由DM来控制其胡乱的移动。
苦痛：所有目标必须进行一次体质豁免，豁免失败者将因极度的痛苦而陷入1分钟的失能状态。
睡眠：所有目标必须进行一次感知豁免，豁免失败者将陷入10分钟的昏迷状态。该睡眠者受到伤害时将会被惊醒，也可以被其他人用一个动作摇醒或打醒。
震慑：所有目标必须进行一次感知豁免，豁免失败则陷入1分钟的被震慑状态。</t>
  </si>
  <si>
    <t>传送术</t>
  </si>
  <si>
    <t>Teleport</t>
  </si>
  <si>
    <t>该法术将你以及施法距离内你能看见的至多八个自愿生物，或者施法距离内你能看见的一个物件传送到你指定的某处地点。如果你指定一个物件作为法术目标，则该物件必须能被整个放进一个边长10尺的立方体中，且必须没有被一个非自愿生物所着装或携带。
你只能指定你知道的地点作为传送目的地，而目的地必须与你位于同一个存在位面中。你对目的地的熟悉程度决定你是否能成功抵达。DM可以掷一个d100并查阅法术详细说明。
熟悉程度：“永久法阵”指你知道某永久传送法阵的相关符文序列。“相关物件”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偶尔见过”指你见过几次的地方，但你不是很熟悉。“见过一次”指你只见过一次的地方，包括通过魔法看到的地点。“听过描述”指一个你从别人那里听来位置和外观的地点，比如从地图上看来的地点。
“查无此地”指根本不存在的地点。也许你尝试探知敌人的密室但看到的只是幻象，或者是一个你曾经熟悉但如今已不再存在的地点。
正中目标：你和你的队伍（或目标物件）出现在你意料中的地点。
偏离目标：你和你的队伍（或目标物件）出现在目的地随机方向上随机距离的一点。距离误差等于原定移动距离×1d10×1d10×1%。例如，假设你尝试移动120里而不幸偏离目标，并且在掷距离误差时两个d10投出了5和3，那么你的传送距离误差是原定移动距离的15%，也就是18里。DM通过掷一次d8来判误差出现在目的地的哪个方向。1为正北，2为东北，3为正东，依此类推。如果你们想要传送到一个海滨城市但却出现在离岸18里远的海上，那你们可有麻烦了。
相似地区：你和你的队伍（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该法术的意外魔法效果导致这次旅行特别艰难。尝试传送的所有生物（或目标物件）受到3d10点力场伤害，随后DM重投d100并查阅上表来决定你们出现在哪里（你们可能再次遇难，而每次遇难都要承受该伤害）。</t>
  </si>
  <si>
    <t>众星冠冕</t>
  </si>
  <si>
    <t>Crown Of Stars</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</si>
  <si>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如果你还留存4个或更多的光点，它们会发出30尺半径的明亮照明和额外30尺的微亮照明。如果你还留存1至3个光点，它们只会发出30尺的微亮照明
升环施法效应：当你使用八环或更高的法术位施放该法术时，使用的法术位每高一环，你就可以多创造两枚额外的光点。</t>
  </si>
  <si>
    <t>律令痛苦</t>
  </si>
  <si>
    <t>Power Word Pain</t>
  </si>
  <si>
    <t>你说出饱含力量的真言，引发距离内一个你可见生物的剧痛波浪。如果目标的生命值为100点或更少，它将遭受强烈的痛苦。否则，法术将对它没有作用。免疫魅惑的生物同样不受这个法术影响。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</si>
  <si>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神庙术</t>
  </si>
  <si>
    <t>Temple Of The Gods</t>
  </si>
  <si>
    <t>一个价值至少5gp的圣徽</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</si>
  <si>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这个法术的时候，你选择数种生物类型被神庙所敌对。从以下列表中选择一项或更多：天界生物，元素生物，精类，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最后，每次在神庙里的任何生物从一环或更高环的法术中恢复生命时，它将恢复等同于你感知调整值的额外生命值（至少1点）。
神庙由不透明的魔法力场所创造并延伸至以太位面，因此会阻碍任何试图从以太旅行中进入神庙内部的行为。没有东西能物理性地穿过神庙的外部。它不会被解除魔法所解消，也不会受到反魔场的影响。一道解离术能立即摧毁神庙。
如果你在一年中每天都对同一地点施展这个法术，法术的效果将持续永久。</t>
  </si>
  <si>
    <t>旋风</t>
  </si>
  <si>
    <t>Whirlwind</t>
  </si>
  <si>
    <t>一根稻草</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</si>
  <si>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钝击伤害，豁免成功者只受到上述伤害的一半。此外，体型不超过大型Large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</si>
  <si>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系结本源</t>
  </si>
  <si>
    <t>Tether Essence</t>
  </si>
  <si>
    <t>一卷至少价值250金币的铂金丝线，在施法时被消耗</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</si>
  <si>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若其中一人受到伤害，另外一人也会受到等额的伤害。若其中一人恢复了生命值，另外一人也会恢复等额的生命值。如果被系结的双方中任意一方的HP减少到了0，那么该法术结束。该法术在任意一方身上结束时，另外一方的法术也结束。</t>
  </si>
  <si>
    <t>蓝纱一梦</t>
  </si>
  <si>
    <t>Dream Of The Blue Veil</t>
  </si>
  <si>
    <t>来自目标世界的一个魔法物品或一个自愿生物</t>
  </si>
  <si>
    <t>你与最多8个自愿生物在法术持续时间内进入昏迷，并梦见物质位面中的另一处世界，比如奥斯、托瑞尔、克莱恩或艾伯伦。如果这道法术达到了完整的持续时间，梦境会在你们所有人相遇，并拉开一面神秘的蓝色幕帘时停止。这道法术随后结束，并将你们物质和精神上传送到梦境所在的世界。
要施展这道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这道法术，但目的地变为该生物出生地1里内的安全地点。
如果有一个生物受到任何伤害，则此法术在该生物上提前结束，该生物不会被传送。如果你受到任何伤害，则你和其他所有生物上的此法术会提前结束，你们都不会被传送。</t>
  </si>
  <si>
    <t>龙类变形</t>
  </si>
  <si>
    <t>Draconic Transformation</t>
  </si>
  <si>
    <t>一个龙形小雕像，价值至少500金币</t>
  </si>
  <si>
    <t>伴随着一声怒吼，你用龙族的魔法变化自身，获得多种龙族特征。直至法术结束，你获得以下好处：
盲视：你获得30尺盲视。此范围内，任何不处于全身掩护后的东西对于你来说清晰可见，即使你处于目盲状态或黑暗中。此外，你可以看见隐形的生物，除非该生物对你处于躲藏状态。
吐息武器：当你施展此法术时，以及在持续时间内随后的回合以一个附赠动作，你可以在60尺锥形内呼出一道闪着光的能量。范围内的每个生物都必须成功通过一次敏捷豁免，否则受到6d8点力场伤害，成功则伤害减半。
飞翼：无形之翼从你背后长出，使你获得60尺飞行速度。</t>
  </si>
  <si>
    <t>动物形态</t>
  </si>
  <si>
    <t>Animal Shapes</t>
  </si>
  <si>
    <t>你施法把其他生物变成野兽。指定施法距离内任意数量的自愿生物，并使每个目标变形为一只挑战等级不超过4，体型不大于大型的野兽。你可以在法术持续时间内以一个动作将受术生物变成其他野兽形态。
每个受术生物的变形效应持续至法术终止，其生命值降至0或是死亡时，法术效应也将随之终止。你可以分别为每个目标选择不同的形态。而目标的游戏资料则以所选野兽的游戏资料作替换，并保留其本来的阵营，以及智力、感知和魅力值。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受术生物只能使用新形态的动作，且无法说话或施法。
目标的装备融入其新形态，而且不能激活或持用装备，也无法以其他任何方式从其装备上获益。</t>
  </si>
  <si>
    <t>反魔法力场</t>
  </si>
  <si>
    <t>Antimagic Field</t>
  </si>
  <si>
    <t>一撮铁粉或铁屑</t>
  </si>
  <si>
    <t>半径10尺的隐形球状反魔法能量环绕着你，将该区域与弥漫在多元宇宙间的魔法能量隔离开来。在该球状力场内：法术无法施放；召唤生物消失无踪；魔法物品也失去其效应。该力场以你为中心移动，直至法术终止。
除非其来自神器或神祇本身，否则任何法术和魔法效应都将在力场内受压制而无法波及力场内部。在力场内施放的法术，其效应被压制的同时其使用的法术位依然被消耗。被压制的魔法效应不会生效，但其持续时间仍然如常计算。
目标效应：法术或其他魔法效应以生物或物件为目标时（比如魔法飞弹和魅惑人类），无法对力场内的目标生效。
魔法区域：法术和其他魔法效应产生的区域影响（比如火球术），无法波及力场内部。如果力场与某一魔法效应重叠，则该效应在重叠部分被压制。例如，当力场与火墙术产生的火焰重叠时，重叠区域的火焰被压制。如果重叠区域够大，甚至可以将火墙从中间截断。
法术：力场中的生物或物件身上生效的法术或其他魔法效应会受到压制。
魔法物品：魔法物品的属性和威能在力场中受到压制。例如，一把长剑+1在力场中视为一把非魔法长剑。
用以攻击力场内目标，或被力场内攻击者持用的魔法武器，其属性和威力将受到压制。如果一把魔法武器或是一发魔法弹药完全离开力场范围（例如，你从力场内向力场外的某个目标发射一支箭矢或是投掷一把标枪），则其中的魔法将在离开力场的瞬间得以恢复。
魔法旅行：以力场内区域为起点或终点的传送或位面旅行效应无法生效。在力场内，通往某地、某世界或某位面的传送门，以及次元空间的入口（诸如魔绳术所创造的区域）都被暂时关闭。
生物和物件：在力场内，由魔法创造或召唤的生物或物件暂时消失。如此消失的生物，在力场不再覆盖其所占据空间时立刻在该处重新出现。
解除魔法：法术和其他魔法效应产生的类似法术解除魔法的效应对力场无效。另外，不同来源的反魔法力场之间不会相互抵消。</t>
  </si>
  <si>
    <t>嫌恶/关怀术</t>
  </si>
  <si>
    <t>Antipathy/Sympathy</t>
  </si>
  <si>
    <t>嫌恶术时用一小块醋浸湿的明矾；关怀术则为一滴蜂蜜</t>
  </si>
  <si>
    <t>此法术吸引或驱赶你指定的生物。在施法距离内指定一个巨型或更小体型的物件或生物，或是一处不超过200尺的立方区域。你指定一类智慧生物（例如红龙、地精、吸血鬼等），并为目标注入能吸引或是驱赶所选类型生物的灵光。你可以选择嫌恶或是关怀作为法术的效应：
嫌恶：法术的影响让你选定类型的生物不可遏止的想要远离被附魔目标。当符合条件的生物看到目标或是距离目标不足60尺时，该生物必须进行一次感知豁免并成功通过，否则将陷入恐慌。只要还能看到目标或是在目标60尺内，该生物就会维持恐慌状态。陷入该恐慌状态的生物必须自主移动至附近无法看到目标的安全地点。离开目标至少60尺且无法看到目标后，该生物的恐慌状态终止。但再次看到目标或是进入目标60尺内时他也将再次陷入恐慌。
关怀：法术的影响让你选定类型的生物不可遏止的想要接近被附魔目标。当符合条件的生物看到目标或是距离目标不足60尺时，该生物必须进行一次感知豁免并成功通过，否则便会每回合自主移动并靠近目标。靠近后，该生物不能自主的远离目标。若目标对该生物造成伤害或是以其他方式对其造成危害，则该生物可以再进行一次感知豁免以终止效应，详情见下节。
终止效应：如果受影响的生物在距离目标60尺外或是无法看到目标的地方终止其回合，则其可以进行一次感知豁免，豁免成功则不再受法术影响并意识到厌恶感或诱惑力是来自魔法的影响。另外，在法术持续时间内，受影响的生物每24小时可以再进行一次感知豁免。
对该法术效应豁免成功的生物在1分钟内免疫该效应，但随后仍会受该效应影响。</t>
  </si>
  <si>
    <t>克隆术</t>
  </si>
  <si>
    <t>Clone</t>
  </si>
  <si>
    <t>一副至少价值2000gp的带密封功能的大容器，其尺寸必须足以存放一个中型生物，例如一个巨大的瓮或灵柩，或是立在地上充满浆状物质的卵囊，又或者充满盐水的水晶棺</t>
  </si>
  <si>
    <t>一枚至少价值1000gp的钻石以及被克隆生物1立方寸的肉，作为该法术的耗材。</t>
  </si>
  <si>
    <t>此法术用以培养一个活体生物的无意识复制体作为其死亡时的保险措施。该克隆体在一个密封容器中成长，并在120日后成熟；你还可以为同一个生物制作较年轻版本的肉体。在未被使用前，该躯体会一直保持无意识的静止状态。
克隆体成长成熟后，如果本体生物死亡，则其灵魂转移到克隆体中，前提是该灵魂必须保持自由且自愿复活。克隆体的肉体特质与本体相同，并具有相同的个性、记忆和能力，但并不拥有本体随身的装备。由于灵魂已经转移到别处，该生物原本的遗体（如果依然存在）失去活力，且不能被复活</t>
  </si>
  <si>
    <t>操控天气</t>
  </si>
  <si>
    <t>Control Weather</t>
  </si>
  <si>
    <t>点燃的焚香和一点混有泥土和木屑的水</t>
  </si>
  <si>
    <t>你在法术持续时间内控制自身5里范围内的天气状况。施展该法术时你必须身处户外，而一旦移动到无法直接看到天空的地点时，法术也会随即终止。
本来由DM基于季节和气候所决定的天气状况，在你施展此法术时可以由你随意操控。你可以改变降水、气温以及风势等状况。新的天气状况生效需要经过1d4×10分钟的时间才能完成。状况改变完成后，你可以再次对当前对天气状况作改变。法术终止时，天气将渐渐恢复成平常状态。
改变天气状况时，你可以从以下表格查明与目前对应的等级，再选择同一表格中高一级或第一级的状况作为其改变结果。改变风势时，你还可以同时改变其风向：
降水：
等级，状况
1，天晴
2，薄云
3，多云、有雾
4，有雨、冰雹、有雪
5，暴雨、冰暴、暴雪
气温：
等级，状况
1，酷热
2，炎热
3，暖和
4，清凉
5，寒冷
6，极寒
风势：
等级，状况
1，无风
2，和风
3，强风
4，狂风
5，暴风</t>
  </si>
  <si>
    <t>创造半位面</t>
  </si>
  <si>
    <t>Demiplane</t>
  </si>
  <si>
    <t>你在施法距离内一处能看见的平面上创造一扇形状模糊的门。门的大小足以让中型生物在其间通行无阻。门开启时，其通向一个边长30尺，由木质或石质组成的空房间半位面。法术终止时，门消失不见，而半位面中的门也消失不见，并把任何还在半位面的生物或物件困在其内。
你每次施展此法术时都可以创造一个新的半位面，也可以连向用此法术创造的旧有的半位面。另外，如果你知晓了某个其他生物用此法术创造的半位面，则你也可以通过此法术连接到那里。</t>
  </si>
  <si>
    <t>支配怪物</t>
  </si>
  <si>
    <t>Dominate Monster</t>
  </si>
  <si>
    <t>你试图安抚一个施法距离内你能看见的生物，必须成功通过一次感知豁免，否则将在法术持续时间内被你魅惑。若它正与你或你的友方生物战斗，则其进行该豁免时具有优势。
该生物被魅惑时，只要你与其处于同一位面就可以与之保持心灵感应。你在有意识时，可以通过心灵感应命令该生物（不需要作动作），而它则会尽量服从。你可以描述一个简单具体的行为指令，比如“攻击那个生物”“跑到那个位置”或是“去拿那个物品”。生物完成一项指令却未收到你的进一步指示时，将会使用其本身的能力尽可能的保护自己。
你可以使用动作以彻底而精确的控制目标。而该生物则只能作你选择的动作，且不能作任何你没有允许的动作，并持续至你下回合结束。在此期间，你还可以要求该生物作一个反应，但这需要你使用自己的反应来实现。
每次目标受到伤害时，都可以尝试进行一次感知豁免，豁免成功则法术终止。
升环施法效应：使用九环法术位施展该法术时，持续时间变为：专注，至多8小时。</t>
  </si>
  <si>
    <t>地震术</t>
  </si>
  <si>
    <t>Earthquake</t>
  </si>
  <si>
    <t>一撮泥土、一块岩石和一坨粘土</t>
  </si>
  <si>
    <t>你在施法距离内一处能看见的地面上指定一点，并在其上制造地震扰动。在法术持续时间内，一阵强烈的震颤在震源周边半径100尺的圆形范围内传递，并使区域内地上的生物和建筑都受到震动影响。
受影响区域内的地面变为困难地形。而区域地面上的每个正在进行专注的生物都必须进行一次体质豁免，豁免失败则其专注被打断。
在你施展此法术以及随后保持专注的每回合结束时，区域地面上的每个生物都必须进行一次敏捷豁免，豁免失败则生物应击倒地。
根据施法区域的地形，DM可以决定是否应用额外的效应：
裂缝：在施展此法术的下一个回合开始时，法术影响区域会撕开一道道裂缝。1d6条裂缝在DM安排的位置出现。每条裂缝深1d10×10尺，宽10尺，并由影响区域的一边向另一边延伸。裂缝撕开时，将处于其位置上的生物必须成功通过一次敏捷豁免，否则将坠落其中。豁免成功则该生物移动到裂缝旁边。
裂缝上的建筑会直接崩塌，详情如下：
建筑：在你施展此法术及法术终止前你的每个回合开始时，地震对影响区域内的所有建筑都造成50点钝击伤害。建筑生命值降为0时立即崩塌，且可能对附近生物造成伤害。与该建筑距离不大于该建筑高度一半的生物，都必须进行一次敏捷豁免。豁免失败则受5d6的钝击伤害并应击倒地且埋于废墟之下。该生物可用一个动作来进行一次DC20的力量（运动）检定来尝试逃离废墟。DM可根据废墟的情况调整DC高低。豁免成功时伤害减半，且不会倒地或被掩埋。</t>
  </si>
  <si>
    <t>弱智术</t>
  </si>
  <si>
    <t>Feeblemind</t>
  </si>
  <si>
    <t>一把粘土，水晶，玻璃或矿物球</t>
  </si>
  <si>
    <t>指定施法距离内一个你能看见的生物，并尝试摧毁其理智与人格。目标受4d6点心灵伤害且须进行一次智力豁免。
豁免失败时，该生物的智力和魅力变为1。受术生物将不能施法，也不能启动魔法物品，甚至不能听懂语言或以智慧方式沟通。但该生物仍可以辨识、跟随伙伴，甚至保护他们。
受术生物每过30日即可在当日结束时重新进行一次豁免，豁免成功则该法术效应终止。
另外，高等复原术，医疗术或者祈愿术可直接终止该法术的效应。</t>
  </si>
  <si>
    <t>花言巧语</t>
  </si>
  <si>
    <t>Glibness</t>
  </si>
  <si>
    <t>直至法术终止前，你每次进行魅力检定时可以用15代替你掷出的数值。此外，无论你说什么，判断你是否说谎的魔法都会将你的话视为真实。</t>
  </si>
  <si>
    <t>圣洁灵光</t>
  </si>
  <si>
    <t>Holy Aura</t>
  </si>
  <si>
    <t>一个价值至少1000gp的小圣物箱，内含一件圣遗物，例如某位圣者长袍上的一片碎布，或者某本宗教典籍中的一张羊皮纸</t>
  </si>
  <si>
    <t>神圣的光芒从你身体中奔涌而出，在你身边汇聚成半径30尺的柔光。施展该法术时，你指定处于柔光范围内的若干生物。被指定生物散发出半径5尺的微光光照，且其进行的所有豁免均具有优势，而其他生物对它们进行的攻击检定具有劣势。该效应将持续至法术终止。另外，当一个邪魔或不死生物以近战攻击命中受术生物时，其灵光将产生耀眼的爆发，而攻击者必须进行一次体质豁免，豁免失败者将陷入目盲直至法术终止。</t>
  </si>
  <si>
    <t>焚云术</t>
  </si>
  <si>
    <t>Incendiary Cloud</t>
  </si>
  <si>
    <t>一片充满了炽热灰烬的旋转烟云显现，并以施法距离内一点为中心的蔓延至半径20尺的球状区域。烟云会绕过拐角扩散并使整个区域处于重度遮蔽，并在法术终止前持续存在。此外烟云还可以被和风或强度等级更高的风势（风速至少每小时10里）所吹散。
烟云出现时，每个处在其内的生物都必须进行一次敏捷豁免，豁免失败者将受到10d8的火焰伤害，豁免成功则伤害减半。生物在一个回合内第一次进入烟云内，或者在烟云内结束其回合时，也必须进行该豁免。
在你的每回合开始时，烟云会向你指定的方向直线移动10尺。</t>
  </si>
  <si>
    <t>迷宫术</t>
  </si>
  <si>
    <t>Maze</t>
  </si>
  <si>
    <t>你将施法距离内一个你能看见的生物放逐到一个迷宫般错综复杂的半位面。目标将一直留在该处直至法术持续时间结束，或者直到它逃出该迷宫。
目标可以使用其动作尝试逃出迷宫。此时它可以进行一次DC20的智力检定，检定成功者将逃出迷宫，而该法术随之终止。牛头人和巨牛魔进行该检定时直接成功。
法术终止时，目标将重新出现在它之前消失的位置。如果该位置被占据，则目标出现在最近的未占据位置。</t>
  </si>
  <si>
    <t>心灵屏障</t>
  </si>
  <si>
    <t>Mind Blank</t>
  </si>
  <si>
    <t>直至法术终止前，你所触碰的一个自愿生物对下列项目具有免疫：心灵伤害；任何可以感知到其情绪或阅读其思想的效应；预言法术；魅惑状态。当目标受祈愿术或者其他威力相当的法术或效应影响心智或窃获信息时，其也能以该法术进行阻挡。</t>
  </si>
  <si>
    <t>律令震慑</t>
  </si>
  <si>
    <t>Power Word Stun</t>
  </si>
  <si>
    <t>你说出一蕴含威力的单词，其足以使施法距离内一个你能看见的生物意志受压迫而震惊。如果你所指定的生物现有生命值为150或更少，则其被震慑。否则该法术不产生任何效应。
被震慑目标必须在其每回合结束时进行一次体质豁免。豁免成功，则此震慑效果终止。</t>
  </si>
  <si>
    <t>阳炎爆</t>
  </si>
  <si>
    <t>Sunburst</t>
  </si>
  <si>
    <t>一块猫眼石和一团明火</t>
  </si>
  <si>
    <t>灿烂的阳光照耀施法距离内指定的一点为中心周围60尺半径的区域。所有位于该光芒中的生物必须进行一次体质豁免。豁免失败者将受到12d6点光耀伤害，并陷入1分钟的目盲状态。豁免成功则伤害减半，且不会陷入目盲。不死生物和泥怪进行该豁免时具有劣势。
因该法术陷入目盲的生物在其每回合结束时都可以再进行一次体质豁免。豁免成功则不再目盲。
该法术将驱散法术区域内所有由法术所创造的黑暗。</t>
  </si>
  <si>
    <t>心灵感应</t>
  </si>
  <si>
    <t>Telepathy</t>
  </si>
  <si>
    <t>一对相连的银戒指</t>
  </si>
  <si>
    <t>你与一个你熟识的自愿生物建起心灵连接。该生物可以身处你所在的位面的任意位置。一旦你与目标生物不再位于同一位面则该法术随即终止。
直至法术终止前，你可以和目标生物通过心灵连接即时共享任何言语、图像、声音以及其他形式的感官信息，而目标也能够辨认出与之交流的对象正是你本人。该法术可以让智力值至少为1的目标生物理解你的言语并接收任何你所发送的感官信息。</t>
  </si>
  <si>
    <t>海啸术</t>
  </si>
  <si>
    <t>Tsunami</t>
  </si>
  <si>
    <t>你指定施法距离内一点并从中升起一面水墙。水墙长不过300尺，高不过300尺，厚不过50尺，且持续存在至法术终止。
水墙出现时，所有位于水墙内的生物都要进行一次力量豁免。豁免失败者将受到6d10点钝击伤害，豁免成功则伤害减半。
水墙出现后，将在你每一回合开始时带着其内的所有生物一起向远离你的方向移动50尺。当水墙进入一个巨型或更小体型生物所占据空间，或他们原本就处于墙内时，该生物必须进行一次力量豁免，豁免失败则受到5d10点钝击伤害。该伤害一轮里对同一个生物只生效一次。在你的回合结束时，水墙的高度减少50尺，且其随后每轮对生物造成的伤害也减少1d10。当水墙高度变为0尺时法术终止。
淹没在水墙中的生物可以用游泳的方式移动，由于波涛阻力影响，该生物必须要进行一次对抗该法术DC的力量（运动）检定以决定起能否成功移动，而检定失败者则无法移动。通过移动离开水墙区域的生物会直接掉到地上。</t>
  </si>
  <si>
    <t>亚比达奇凋死术</t>
  </si>
  <si>
    <t>Abi-Dalzim's Horrid Wilting</t>
  </si>
  <si>
    <t>一小块海绵</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</si>
  <si>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黯蚀伤害，而豁免成功则只受到上述伤害的一半。
在这个区域内的非魔法、非生物植物，例如树木和灌木，会立即死亡。</t>
  </si>
  <si>
    <t>幻影巨龙</t>
  </si>
  <si>
    <t>Illusory Dragon</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</si>
  <si>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寒冷，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</si>
  <si>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疯狂之暗</t>
  </si>
  <si>
    <t>Maddening Darkness</t>
  </si>
  <si>
    <t>一滴沥青与一滴水银的混合物</t>
  </si>
  <si>
    <t>魔法黑暗从范围内你指定的一点延伸至半径60尺的球形范围，直到法术结束。黑暗会蔓延过拐角。生物的黑暗视觉不能看穿这片黑暗。非魔法的光源，以及八环和八环以下法术创造的光亮不能照亮这片区域。
尖叫声，低语声，以及疯狂的大笑声时不时能从球形范围内听见。每当一名生物在范围内开始回合，它必须进行一次感知豁免，失败时将受到8d8精神伤害，成功则只承受一半。</t>
  </si>
  <si>
    <t>坚固堡垒</t>
  </si>
  <si>
    <t>Mighty Fortress</t>
  </si>
  <si>
    <t>一颗价值至少500gp的钻石，作为该法术的耗材</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</si>
  <si>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寸，室内房间的门户式样（石门或者开放式拱门）由你选择。城堡内部的家具和装潢以你喜欢的方式布置，它每天可以提供足够100人享用的、包含九道菜肴的盛宴。从堡垒中被带走的家具、食物和其他由这个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x10尺的岩石部件都有AC15，以及每寸厚度30的生命值。它免疫毒素和精神伤害。将某一部分的岩石生命值降低至0会摧毁它，并且也许会引起与它连接的部分变形和垮塌，具体由你的DM裁量。
在7天之后，或当你在别处再次施展这个法术，堡垒会无害地坍塌并沉入地面，把其中的任何生物安全地留在地上。
在一年之间，每7天一次在相同的位置施展这个法术会让堡垒永久存在。</t>
  </si>
  <si>
    <t>暗黑星辰</t>
  </si>
  <si>
    <t>Dark Star</t>
  </si>
  <si>
    <t>一小块碎玛瑙与一滴施法者的血液，在施法时被消耗</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</si>
  <si>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这个法术降低到0时，该生物被解离。被解离的生物与其身上穿着的，携带着的一切，除了魔法物品外，都会化为一缕灰色的烟尘。</t>
  </si>
  <si>
    <t>崩坏现实</t>
  </si>
  <si>
    <t>Reality Break</t>
  </si>
  <si>
    <t>一个水晶棱镜</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</si>
  <si>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效果
1–2，遥远国度之瞥。目标受到6d12点心灵伤害并且陷入震慑到本轮结束。
3–5，崩碎裂缝。目标必须通过一个敏捷豁免，若失败则受到8d12点力场伤害，若豁免成功则受到一半伤害。
6–8，虫洞。该目标与其身上所着装、携带的一切东西被传送到他30尺内你能看到的未被占据的空间。目标受到12d10点力场伤害并倒地。
9–10，暗虚之冻。目标受到12d10点冷冻伤害并且目盲到本回合结束。</t>
  </si>
  <si>
    <t>星界投影</t>
  </si>
  <si>
    <t>Astral Projection</t>
  </si>
  <si>
    <t>你必须为此法术影响的每个生物准备一枚至少价值1000gp的红锆石jacinth，以及一根做工精细，至少价值100gp的银棒，作为该法术的耗材</t>
  </si>
  <si>
    <t>你和施法距离内至多八名自愿的生物将躯体投影到星界（如果你已经在星界，则法术失败且被消耗）。你原本的躯体昏迷并进入静止状态，即其不需要空气和食物也不会衰老。
你的星界躯体几乎完美的保持了原本的形态，并保留你本体的游戏资料和随身物。星界躯体和你本体的主要区别是从你肩胛骨间向后伸出的一条银线。这条可见长度仅有一尺的银线是你星界躯体和本体间的联系。只要银线保持完好，你总能找到回原本世界的路。只有明确注明可以切断这种银线的效应才可以将其切断。切断银线会将你的灵魂和躯体分离，并将你杀死。
你的星界躯体可以在星界任意旅行，并能穿过星界的传送门到达其他位面。如果你到达一个新位面，或是回到你施法时所在的位面，你的本体和物品将沿着银线被传送，使你以本体的形态到达新位面。你的星界躯体是单独的实体。星界躯体承受的伤害或效应不会反映在你的本体上，也不会在你回到本体时保持。
你可以使用一个动作来解散法术，并终止其对你与同伴产生的效应。法术终止时，受术的生物回到其原本的躯体并苏醒。
你或你的某位同伴会存在提前终止法术效应的情况。对某生物的本体或星界躯体成功施展解除魔法将终止生物的投影效应。如果某生物的本体或星界躯体的生命值降至0，则该生物自身的投影效应终止。如果法术终止时银线依然保持连接，则受术生物会被拉回原本的躯体，并脱离静止状态。
如果你在法术终止前被送回本体，你的同伴将被留在星界，只能自行返回（通常通过生命值降至0的方式）。</t>
  </si>
  <si>
    <t>预警术</t>
  </si>
  <si>
    <t>Foresight</t>
  </si>
  <si>
    <t>一根蜂鸟的羽毛</t>
  </si>
  <si>
    <t>你触碰一个自愿生物，并授予其预示最近未来事件的有限能力。该目标在法术持续时间内无法被突袭，并且其进行的攻击检定、属性检定和豁免检定均具有优势。而其他生物对其进行攻击检定时具有劣势。
如果你在法术持续时间结束前再施展该法术，则原法术效应即时终止。</t>
  </si>
  <si>
    <t>异界之门</t>
  </si>
  <si>
    <t>Gate</t>
  </si>
  <si>
    <t>一枚价值至少5000gp的钻石</t>
  </si>
  <si>
    <t>你召唤一扇传送门将施法距离内你能看到的一处未被占据空间与一个不同位面的特定地点连接在一起。传送门是你打开的一个直径5到20尺的圆形开口。其开口朝向你指定的任意方向，并持续至法术终止。
传送门在某个位面显现时有着明确的正反面。只有从正面穿过传送门的事物才能实现其传送功能，从而传送至另一位面，并在离传送门最近的未占据空间中显现。
神祗和其他位面统治者可以阻止该法术在其所在或属于其领域的任何地点创造传送门。
施展该法术时，你可以说出某个特定生物的名字（不能是假名、头衔、绰号等）。如果该生物在与你不同的位面，则传送门会紧挨被指名生物打开并将该生物吸进传送门。此时该生物会从你所在的传送门另一头出现，并显现在距传送门最近的未被占据空间。你不会获得任何被传送生物的特殊能力，而它此时可以自由的作任何DM认为合适的行动。它可能离开，也可以攻击你或协助你。</t>
  </si>
  <si>
    <t>禁锢术</t>
  </si>
  <si>
    <t>Imprisonment</t>
  </si>
  <si>
    <t>一张写有对目标详细描述的牛皮纸或者一个与目标相似的小雕像，以及对应所选择法术版本的特殊材料，其价值为对应目标每粒生命骰至少花费500gp</t>
  </si>
  <si>
    <t>你创造一个魔法监牢，将施法距离内一个你能看见的生物监禁于其内。目标必须进行一次感知豁免，豁免失败则被该法术禁锢；对于成功通过豁免的生物，若你再次对其施展该法术，则它对该法术免疫。被该法术禁锢时，目标生物不需要呼吸，不需要吃喝，也不会变老。预言法术也无法定位或感知到该目标。你在施展该法术时从下列选项中选择一种监牢的形式：
埋葬：目标被深埋在远离地表的球状魔法力场内，其大小刚好能包覆住目标。任何事物均无法穿过该力场，且任何生物均无法通过传送或位面旅行进出该力场。
此版本法术需要的特殊材料为一个秘银小球。
锁链：沉重的锁链牢固地深植于大地，将目标禁锢在原地。目标被束缚至法术终止，其间它不能移动或以任何方式被移动。
此版本法术需要的特殊材料为一截精美的贵金属链。
避世监牢：该法术将目标传送至一个隔绝了传送和位面旅行的小型半位面。该半位面可以是一个迷宫，一间牢房，一座塔楼，或是任意由你选择的幽闭建筑或区域。
此版本法术需要的特殊材料为一个玉制的监牢微缩模型。
微缩牢笼：目标被缩小到1寸高，并囚禁于一块宝石或是类似的物件里。光线可以正常地穿透宝石（这让目标可以看到外面，其他生物也可以看到里面），但其他任何事物均无法在其内进出，即使是通过传送或位面旅行等手段也不行。只要法术仍然生效，该宝石就无法被切开或打碎。
该版本法术需要的特殊材料为一大块透明的宝石，例如刚玉，钻石或红宝石。
沉睡：目标陷入昏睡且无法被唤醒。
该版本法术需要的特殊材料为稀有的催眠药草。
终止法术：无论是法术的哪个版本，你都可以在施法过程中设定一个使法术终止并释放目标的条件。此条件可以按你的意愿设定其明确或复杂的程度，但必须经由DM认可该条件的合理性及可实现性。此条件可以根据一个生物的名字，身份或神格来设定，但在其他方面必须基于可观察到的行为或特性，而不能基于诸如等级，职业或生命值这类无形之物。
法术解除魔法可以终止该法术，但只有使用九环法术位并针对监牢或针对创造监牢效果的特殊物质施展时才有效。
你在同一时间内，使用同一种特殊材料只能创造一个监牢。如果你使用了同样的材料再次施展该法术，则先前被监禁的生物立刻从禁锢中解脱摆脱恢复自由。</t>
  </si>
  <si>
    <t>群体医疗术</t>
  </si>
  <si>
    <t>Mass Heal</t>
  </si>
  <si>
    <t>泉涌般的治愈能量从你流向你周围受伤的生物。你为施法距离内任意数量你能看见的生物恢复总计至多700点生命值，而具体治疗量则由你随意分配。受该法术所治疗的生物其所有疾病以及导致它们目盲或耳聋的效应也一并被治愈。该法术对不死生物和构装生物无效。</t>
  </si>
  <si>
    <t>流星爆</t>
  </si>
  <si>
    <t>Meteor Swarm</t>
  </si>
  <si>
    <t>指定施法距离内四个你能看见的不同地点，并使熊熊燃烧的流星垂直坠落其地面。爆破的流星影响以指定点为中心，周边40尺半径的球状区域，区域影响会绕过拐角扩散。区域内的每个生物必须进行一次敏捷豁免。豁免失败者将受到20d6的火焰伤害和20d6的钝击伤害，豁免成功则伤害减半。另外，同时处于多个爆炸范围内的生物仍只受一次效应影响。
该法术会对区域内的物件造成伤害，并点燃所有未被着装或携带的易燃物。</t>
  </si>
  <si>
    <t>律令医疗</t>
  </si>
  <si>
    <t>Power Word Heal</t>
  </si>
  <si>
    <t>一波治疗能量覆盖你所触碰的生物，并使目标恢复其所有的生命值。如果该生物正处于魅惑，惊惧，麻痹或震慑状态，则终止相应状态。如果该生物正处于倒地状态，则他可以执行其反应站起。该法术无法对不死生物和构装生物生效。</t>
  </si>
  <si>
    <t>律令死亡</t>
  </si>
  <si>
    <t>Power Word Kill</t>
  </si>
  <si>
    <t>你读出一威力满溢的单词，其足以使施法距离内一个你能看见的生物立即死亡。如果你所指定的生物现有生命值为100或更少，则其立即死亡。否则该法术不产生任何效应。</t>
  </si>
  <si>
    <t>虹光法墙</t>
  </si>
  <si>
    <t>Prismatic Wall</t>
  </si>
  <si>
    <t>由光构成的闪光多彩平面形成一幅不透光的墙壁。墙壁垂直于地面，其至多长90尺，高30尺，厚1寸，并以施法距离内你能看见的一点为源点。你也可以将此墙塑造成一个直径30尺的球体，并以施法距离内你能看到的一点为中心。法墙在法术持续时间内维持在原地。如果定位法墙位置时可能使其穿过有生物占据的空间，则本次施法失败，而你的动作和法术位仍然会被浪费。
法墙延伸出100尺的明亮光照外加100尺的微光光照。你和施放该法术时指定的生物可以穿过法墙或停留在法墙附近而不受伤害。如果其他能看见法墙的生物移动到距墙20尺内区域或在该处开始其回合，则该生物必须进行一次体质豁免，豁免失败则陷入1分钟的目盲状态。
法墙由七层组成，每层都有不同颜色。生物试图进入或穿过法墙时，将一层层穿过法墙所有的光层。其每穿过一层就必须进行一次敏捷豁免，豁免失败则受下列光层特性影响。
法墙可以被摧毁，不过也必须由红到紫的顺序一次一个光层的通过具体每层。某个光层一旦被摧毁则其在法术持续时间内保持被摧毁状态。反魔法力场无法对法墙生效，法术解除魔法只对紫墙有效：
红：生物豁免失败时受到10d6的火焰伤害，豁免成功则伤害减半。此光层存在时，非魔法远程攻击无法穿过法墙。光层受至少25点冷冻伤害时被摧毁。
橙：生物豁免失败时受到10d6的强酸伤害，豁免成功则伤害减半。此光层存在时，魔法远程攻击不能穿过法墙。光层受强风吹袭后被摧毁。
黄：生物豁免失败时受到10d6的闪电伤害，豁免成功则伤害减半。光层受至少60点力场伤害时被摧毁。
绿：生物豁免失败时受到10d6的毒素伤害，豁免成功则伤害减半。光层在受法术穿墙术，或者其它相同或更高环阶法术在固态表面开口的效应影响时被摧毁。
蓝：生物豁免失败时受到10d6的冷冻伤害，豁免成功则伤害减半。光层受至少25点火焰伤害时被摧毁。
靛：生物豁免失败时受束缚。其每回合结束时进行一次体质豁免。三次豁免成功后法术终止。三次豁免失败后目标将永久陷入石化状态。成功或失败的豁免不需要连续，只需记下两边的数量直至其中一种达到三次。此光层存在时法术无法穿过。光层受日光术，或者其他相同或更高环阶法术发出的明亮光线照射时被摧毁。
紫：生物豁免失败时陷入目盲。其必须在你下一回合开始时进行一次感知豁免。豁免成功则目盲状态终止。豁免失败则该生物被传送到另一个DM指定的位面并且不再目盲。（典型情况是不在家乡位面的生物被驱逐回家，而其他生物通常会被传送到星界或以太位面。）该光层在受法术解除魔法，或者其他类似的相同或更高环阶法术所产生的终止法术魔法效应的影响时被摧毁。</t>
  </si>
  <si>
    <t>形体变化</t>
  </si>
  <si>
    <t>Shapechange</t>
  </si>
  <si>
    <t>至少价值1500gp的玉环，施法时将环戴在头上</t>
  </si>
  <si>
    <t>你在法术持续时间内变形为另一个生物。你的新形态可以是任何挑战等级小于等于你等级的生物。该类生物不能是构装生物或不死生物，而且你必须见过该类生物至少一次。你变形成该类生物中一个普通的个体，没有任何职业等级，也不具有施法特性。
你的游戏资料以目标生物的数据代替，但你的阵营，以及智力、感知和魅力值不变。你同样保留你的所有技能和豁免的熟练项，并且还能获得目标生物的技能和豁免的熟练项。如果目标生物和你都具有某熟练项，且目标生物在这该项的熟练加值比你高，则你在该项检定时使用较高的熟练加值而非自己的原加值。你不能使用新形态的传奇动作和巢穴动作。
你的生命值和生命骰变成和新形态一样。当你变回原形时，你的生命值恢复变形前的状态。如果你因为生命值降至0以下而变回原形，则你的正常形态将承受所有溢出的伤害。只要该伤害不足以把你在正常形态下的生命值也降至0，你就不会因此陷入昏迷。
你依然可以获得你的职业特性、种族特性和其他特性带来的增益，前提是你的新形态在物理上必须能够做到这些事。你不能使用任何之前享有的特殊感官（例如黑暗视觉），除非你的新形态也有这种感官。如果你变形成的生物通常不能说话，那么你也不能说话。
变形时，你可以选择你的装备掉到地上、融入新的形态中还是继续着装。继续着装的装备依然拥有正常情况下的功能。DM要根据新形态的外形和大小来判断你在新形态下是否能够继续着装你身上的每件装备。你的装备不会改变形状和尺寸以适应你的新形态，而新形态下不能着装的装备只能掉到地上或融入新的形态中。融入新形态的装备将不会产生任何效应。
在法术持续时间内，你可以用你的动作转换为另一形态。重新变形的规则与限制与第一次变形相同，只有一点不同：如果新形态的生命值比你当前的形态要多，那么你的生命值将保持为当前值不变。</t>
  </si>
  <si>
    <t>复仇风暴</t>
  </si>
  <si>
    <t>Storm Of Vengeance</t>
  </si>
  <si>
    <t>一团翻腾搅动的乌云并以你能看见的一点为中心一直扩散至半径360尺的区域，并使该区域内充斥着电闪雷鸣与狂风呼啸。所有位于云团下的生物（处于云团下方5000尺内）必须进行一次体质豁免。豁免失败者将受到2d6点雷鸣伤害，并陷入持续5分钟的耳聋状态。
你每维持一轮该法术的专注，风暴就会在你的回合里产生不同的效应：
第2轮：云层中降下酸雨。所有位于云团下方的生物和物件受到1d6点强酸伤害。
第3轮：你从云中召下六束闪电击向你指定的六个位于云团下的生物或物件，其中任一生物或物件都只能被该闪电击中一次。遭电击的生物必须进行一次敏捷豁免，豁免失败者将受到10d6点闪电伤害，豁免成功则伤害减半。
第4轮：冰雹从云团中倾泻而下。所有位于云团下方的生物将受到2d6点钝击伤害。
第5~10轮：狂风和冰雨冲袭着云团下的区域，使该区域变为困难地形并造成重度遮蔽。该区域内的所有生物受到1d6点冷冻伤害。该区域内无法进行远程武器攻击。而其内的强风和暴雨将对维持法术专注造成严重干扰。此外，区域内的强风（风速在每小时20到50里）会自动吹散区域内的一切魔法或非魔法的烟雾以及其他类似现象。</t>
  </si>
  <si>
    <t>时间停止</t>
  </si>
  <si>
    <t>Time Stop</t>
  </si>
  <si>
    <t>你使时间在除你之外所有生物的世界中暂时停止流动。你一次性进行1d4+1个回合，在这段过程内时间对于其他生物来说是静止的，但你可以像正常一样移动和使用动作。
在法术持续时间内，如果你的一个动作或任何你创造出来的效应影响到除你之外的任何生物，或影响到其他生物着装或携带的物件时，该法术将立即终止。此外，如果你在施法后移动离开施法位置超过1000尺，则法术也将因此终止。</t>
  </si>
  <si>
    <t>完全变形术</t>
  </si>
  <si>
    <t>True Polymorph</t>
  </si>
  <si>
    <t>一滴水银，一团阿拉伯胶以及一缕烟</t>
  </si>
  <si>
    <t>你指定施法距离内一个你能看见的生物或物件并使其变形。该法术无法对0生命值目标生效。你可以将目标生物变成另一个不同的生物，或将目标生物变成一个非魔法物件，又或者将目标物件变成一个生物（该物件必须没有被任何生物着装或携带）。变形效应持续到法术持续时间结束，或直至目标生命值降至0或目标死亡。如果你在法术持续时间内一直保持该法术的专注，则该变形得以永久持续。
该法术对变形生物以及生命值为0的目标无效。而不愿被变形的生物可以进行一次感知豁免，豁免成功则不受该法术影响：
生物变生物：如果你将一个生物变形成另一种生物，则它的新形态可以是你选择的挑战等级等于或低于受术者挑战等级（如果受术者没有挑战等级则按其角色等级）的任意物种。受术者的游戏资料（包括各精神属性值）将被新形态的数据取代，而其阵营和性格则保持不变。
目标将使用新形态的生命值。而当其变回通常形态时，该目标的生命值也恢复为变形前的数值。如果目标是因为生命值降至0而变回通常形态，则由通常形态承受溢出的伤害。只要溢出伤害不足以将通常形态生命值降至0，他就不会因此而昏迷。
该生物所能实施的行为因其新形态的特征而受限，除非其新形态的身体特征允许，否则该生物不能说话，施法或者执行任何需要手和言语的动作。
目标的装备融入其新形态，而且不能激活或持用装备，也无法以其他任何方式从其装备上获益。
物件变生物：你可以将一个物件变成任何一种符合下列要求的生物：生物的体积不能大于原物件，且生物的挑战等级必须低于等于9。变形出的生物对你和你的同伴保持友善。而战斗中它将会在你的回合内，由你决定其如何行动。该生物的数据由DM掌控，并由DM来判定其行动结果如何。
如果该法术变成永久有效，则你将不再控制该生物。此后，该生物将根据你对待他的方式决定是否对你保持友善。
生物变物件：如果你将一个生物变形成一个物件，则它连同其穿着携带物一起变成新的形态。变成物件的体型不能比原生物大。受术者的数据变成和该物件一样，在法术终止而受术者变回原形后，它将不会记得在变成物件时所发生的任何事情。</t>
  </si>
  <si>
    <t>完全复生术</t>
  </si>
  <si>
    <t>True Resurrection</t>
  </si>
  <si>
    <t>少量圣水和至少价值25000gp的钻石，作为该法术的耗材</t>
  </si>
  <si>
    <t>你触碰一个已死的生物使其复活。该生物的死亡时间必须不超过200年，且死因不能是老死。如果该生物的灵魂愿意并且能够回到其身体中，则它将以生命值全满的状态复活。
该法术能治愈所有致命伤，中和一切毒素与疾病，并解除其生前所受的一切诅咒。该法术甚至能恢复其损伤或失去的器官和肢体。若生物曾经是不死生物，则它恢复至其非不死生物形态。
如果受术生物的遗体已经不再存在，该法术甚至能给它再造一个新的身体。此时，你必须喊出该生物的名字，随后该生物便出现在你指定点周围10尺内一处未被占据的空间。</t>
  </si>
  <si>
    <t>怪影杀手</t>
  </si>
  <si>
    <t>Weird</t>
  </si>
  <si>
    <t>你利用一群生物最恐惧的事物，在它们的心中创造出一个只有它们自己能看见的虚幻生物。指定施法距离内一点为中心，其周边半径30尺球状区域内的所有生物必须进行一次感知豁免。豁免失败者将在法术终止前陷入恐慌。该法术造出的幻象能唤起受术者心中最深的恐惧，使它最恐怖的噩梦显现为一个永远无法摆脱的威胁。如果生物因该法术陷入恐慌，则它在自己每回合结束时必须进行一次感知豁免，豁免失败则受到4d10点心灵伤害。豁免成功则此法术在该生物身上的效应终止。</t>
  </si>
  <si>
    <t>祈愿术</t>
  </si>
  <si>
    <t>Wish</t>
  </si>
  <si>
    <t>祈愿术是凡间生物所能施展的最强大法术。你只需要大声说出自己的愿望就能将现实世界的根基操弄于手中。此法术最基础的用法是用来模仿任意一个八环或更低环阶的法术。你不需要满足目标法术所需的任何前提条件（包括昂贵的材料成分）就可以让该法术生效。
除此之外，你也可以选择创造下列效应其中之一：
你创造出一个价值不超过25000gp的物件。该物件不能是魔法物品。该物件最长尺寸不能超过300尺，并随法术出现在地面上你能看见的一处未被占据位置。
你让至多二十个你能看见的生物恢复其全部生命值，并且终止它们身上一切在高等复原术中描述过的效应。
你让至多十个你能看见的生物对你所指定的一种伤害类型具有抗性。
你让最多十个你能看见的生物在八小时内免疫某种法术或其他魔法效应。例如，你可以使你自己和你的所有同伴免疫巫妖的吸取生命攻击。
你改变一件刚刚发生的事件。重掷前一轮的任意一次掷骰（包括你前一回合进行的掷骰），并让现实随着你的新掷骰结果改变。例如，祈愿术可以撤销对手的成功豁免，敌人的重击或同伴的失败豁免。你可以迫使重新进行的掷骰具有优势或劣势，并且可以选择是使用重投后的结果还是使用原来的结果。
上述范例效应之外，你也许还能达成其他某些结果。你可以详细的跟DM说明你的愿望，并由DM对其作出判定。不过你的愿望越大，出错的概率就越大。法术可能会直接失败，也可能部分的达成你想要的结果，你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
施放该法术来达成除了模仿其他法术外的任何目的都会使你承受极大的负担。承受这种负担之后，直到你完成一次长休息之前，你每次施放法术时都将受到一定伤害（伤害数值与施放法术的环阶相关，每环1d10的黯蚀伤害）。你无法以任何方式减轻或防止这种伤害，而你的力量值在也将在2d4日内降至3（除非它已经是3或更低）。在这段时间里，你每花一整日休息（不从事任何费力的工作），恢复需要的日数就减少2日。最后，如果你承受了这种负担，你将有33%的概率再也无法施放祈愿术。</t>
  </si>
  <si>
    <t>无敌术</t>
  </si>
  <si>
    <t>Invulnerability</t>
  </si>
  <si>
    <t>一小块价值至少500gp的精金，作为该法术的耗材</t>
  </si>
  <si>
    <t>你免疫所有伤害直到法术结束。</t>
  </si>
  <si>
    <t>群体变形术</t>
  </si>
  <si>
    <t>Mass Polymorph</t>
  </si>
  <si>
    <t>一个毛毛虫的茧</t>
  </si>
  <si>
    <t>你可以转变施法距离内最多10个由你选择的可见生物。非自愿的目标必须通过一次感知豁免检定来对抗变形。非自愿的变形者在这次豁免中自动成功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</si>
  <si>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心灵尖啸</t>
  </si>
  <si>
    <t>Psychic Scream</t>
  </si>
  <si>
    <t>你释放你的心灵力量，轰击施法距离内至多10个由你选择的可见生物的心智。智力值为2或更低的生物不受影响。
每个目标都必须进行一次智力豁免检定。若豁免失败，目标受到14d6精神伤害并且被震慑。豁免成功则只承受一半且不被震慑。如果一个有头的目标被这个伤害杀死，它的头会爆炸。
一个被震慑的生物可以在它每个回合结束时重新进行智力豁免。若豁免成功，震慑效果将结束。</t>
  </si>
  <si>
    <t>饕餮虚空</t>
  </si>
  <si>
    <t>Ravenous Void</t>
  </si>
  <si>
    <t>一只铁制的小九芒星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</si>
  <si>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</si>
  <si>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时光蹂躏</t>
  </si>
  <si>
    <t>Time Ravage</t>
  </si>
  <si>
    <t>一个装满了钻石粉尘的沙漏，其价值至少为5000金币，会在施法时消耗</t>
  </si>
  <si>
    <t>你选定一个施法距离内的目标，使他的身体形态受到飞速衰老的破坏。目标必须进行一个体质豁免并在豁免失败时受到12D10点黯蚀伤害，或在豁免成功时只受到一半的伤害。若其豁免失败，目标还会快速老化至离老死只有三十天的时间点。在这个年龄段，目标在攻击掷骰上，属性检定上与豁免检定上承受劣势，其步行速度也减少一半。只有祈愿术或以九环法术位施展的高等复原术才能使这些效果消除并使其恢复原先的年龄。</t>
  </si>
  <si>
    <t>灾厄之刃</t>
  </si>
  <si>
    <t>Blade Of Disaster</t>
  </si>
  <si>
    <t>你在法术范围内你能看见的一个未被占据的创造出一把形态如同剑一般的，长约3尺的位面裂缝。该剑刃持续存在，直至法术结束。当你施展此法术时，你可以用该剑刃进行至多两次近战法术攻击，每次攻击的目标为位于剑刃5尺内的一个生物、未被携带的物件或建筑。若命中，则目标受到4d12力场伤害。该攻击在d20投出18或更高时造成重击，并在重击时造成额外8d12力场伤害（共计12d12力场伤害）。
你可以在自己回合内以一个附赠动作让该武器移动至多30尺到一个你可以看见的未被占据的空间，随后再用其进行两次近战法术攻击。
该剑刃可以无害地通过任何屏障，包括一道力场墙。</t>
  </si>
  <si>
    <t>备选赠礼</t>
  </si>
  <si>
    <t>超自然赠礼</t>
  </si>
  <si>
    <t>我崇敬，并从龙神处汲取力量——最有可能的是巴哈姆特与提亚马特，但也有可能是萨迪沃或其他具备高度实力的巨龙，如阿丝特莱雅，阿莎德隆或库若尼普斯。</t>
  </si>
  <si>
    <t>我崇敬或被某个龙类精魂所寄宿着，就如同自然或先祖之魂一般。</t>
  </si>
  <si>
    <t>生物特点</t>
  </si>
  <si>
    <t>一位在普罗烽斯的熔炉工作的山灵是我最为接近父母的人。</t>
  </si>
  <si>
    <t>普罗烽斯制造出我为祂服务。</t>
  </si>
  <si>
    <t>我在数十年前被创造出来，由于害怕自己将要被废弃，我在最近逃出了维鲁斯山。</t>
  </si>
  <si>
    <t>普罗烽斯后悔创造出了我，并想要将我重新铸造成更优秀的东西。</t>
  </si>
  <si>
    <t>普罗烽斯希望我能继续祂的工作，并创造出一件我自己的、更加伟大的作品。</t>
  </si>
  <si>
    <t>维鲁斯山中的某人为我灌输了一个可怕的秘密，并希望我能将它带到这个世界上。</t>
  </si>
  <si>
    <t>我是某个传承巨龙师祖教诲的教团之一员。</t>
  </si>
  <si>
    <t>天命</t>
  </si>
  <si>
    <t>我注定会成为一门技术或行业中最精湛的行家。</t>
  </si>
  <si>
    <t>我注定会在尼兹的星辰中间赢得自己的一席之地。</t>
  </si>
  <si>
    <t>我注定成为一位神灵。</t>
  </si>
  <si>
    <t>我注定要将我的挚爱从冥界的桎梏中解放。</t>
  </si>
  <si>
    <t>我在一只克拉肯袭击迈勒提斯的时候出生，而我注定要将它毁灭。</t>
  </si>
  <si>
    <t>我注定会发现诸神力量的秘密。</t>
  </si>
  <si>
    <t>我有一位巨龙导师或宗主。</t>
  </si>
  <si>
    <t>我将一位所挂念之人的死亡归咎于诸神。</t>
  </si>
  <si>
    <t>多个神灵都想要利用我达到他们的目的，因此我尽力避开和神的纠葛。</t>
  </si>
  <si>
    <t>显然，变化无常的诸神不值得崇拜。</t>
  </si>
  <si>
    <t>我知晓世界的未来在于凡人，而非诸神。</t>
  </si>
  <si>
    <t>我认为诸神希望我死去。</t>
  </si>
  <si>
    <t>我拒绝成为神灵计划中的棋子。</t>
  </si>
  <si>
    <t>我使用我的职业特性时会表现出某些龙类特征。</t>
  </si>
  <si>
    <t>我在达克拉群岛上受过一只斯芬克斯教育。</t>
  </si>
  <si>
    <t>我是一个迈勒提斯哲学学派的虔诚追随者。</t>
  </si>
  <si>
    <t>我说话的时候总是用过去式，就像我说的一切都已经发生了一样。</t>
  </si>
  <si>
    <t>我发誓绝不让活人看到我脸上面具之后的样子。</t>
  </si>
  <si>
    <t>为什么我不用问句来说每一句话呢？</t>
  </si>
  <si>
    <t>我作为一只斯芬克斯而出生，但一位神灵诅咒了我，将我化作凡人，限制在凡人的知识中。在打破这个诅咒之前，我绝不放弃。</t>
  </si>
  <si>
    <t>我拥有一件龙牙、龙角、龙爪或龙鳞，并用它们作为我的法器。</t>
  </si>
  <si>
    <t>伴侣关系</t>
  </si>
  <si>
    <t>另一位角色是我的爱人或最为亲密的朋友。</t>
  </si>
  <si>
    <t>另一位角色是我的手足。</t>
  </si>
  <si>
    <t>另一位角色是我的父母或孩子。</t>
  </si>
  <si>
    <t>另一位角色我的神灵的斗士。</t>
  </si>
  <si>
    <t>在远远欣赏另一位角色之后，我终于赢得了一个他们身边的位置。</t>
  </si>
  <si>
    <t>我只想另一位角色能认识到我的奉献，并回报以爱。</t>
  </si>
  <si>
    <t>某位巨龙先祖，或给予我先祖的巨龙赋礼，让我获得了力量。</t>
  </si>
  <si>
    <t>我的父母之一是一位天裔，一位宁芙，或者其他超自然的生物。</t>
  </si>
  <si>
    <t>我作为神的使者在尼兹被一位神灵所创造。</t>
  </si>
  <si>
    <t>我是一种其他神性行为的副产物。</t>
  </si>
  <si>
    <t>一位神灵见证了我的出生，并造就了我。</t>
  </si>
  <si>
    <t>我被从冥界解救出来，当重获新生之时，我获得了一些超自然的特性。</t>
  </si>
  <si>
    <t>我是一支歌谣，或者其他被赋予了生命的艺术作品。</t>
  </si>
  <si>
    <t>异象</t>
  </si>
  <si>
    <t>每当我的武器击中什么东西，我的武器上就会洒落闪亮的火花。</t>
  </si>
  <si>
    <t>我的头发像是在不息的微风中一样飘扬。</t>
  </si>
  <si>
    <t>我生气时闻起来像是燃烧的秋日落叶。</t>
  </si>
  <si>
    <t>当阳光照到我的时候，我的身体上会有斑斓的光芒在闪烁。</t>
  </si>
  <si>
    <t>我的笑声会让周围的鸟儿歌唱。</t>
  </si>
  <si>
    <t>在我身旁睡觉的人总是会梦到海洋。</t>
  </si>
  <si>
    <t>我与自然的连结让我与某条龙建立了奇异的链接，因其存在改变了周遭自然环境的结构。</t>
  </si>
  <si>
    <t>诅咒</t>
  </si>
  <si>
    <t>我明确地知道我的死期，而我不打算说或做任何事来阻止它的到来。</t>
  </si>
  <si>
    <t>来向我咨询消息的人很少相信我给予他们的回答。</t>
  </si>
  <si>
    <t>我为噩梦所扰，在梦中，我预见到素昧平生之人的死亡。</t>
  </si>
  <si>
    <t>我常常因为他人看不见的事物的景象和声音而分散注意力。</t>
  </si>
  <si>
    <t>一只尼兹的可怕怪物监视着我，每当我冒险外出时都会看到它。</t>
  </si>
  <si>
    <t>每当我和某人关系变得密切时，我就会看到他们逐渐年长、衰老和死去。</t>
  </si>
  <si>
    <t>每当我受到神灵的预示时，我都会有强烈的头疼或胸痛。</t>
  </si>
  <si>
    <t>无论我是否想听到，众神中的一位都想要使用我作为祂的先知。</t>
  </si>
  <si>
    <t>我最近发现我某位所爱之人或所信之人的真身是头巨龙。</t>
  </si>
  <si>
    <t>我经常偶然以我的神灵（或另一个神灵）的名字称呼他人。</t>
  </si>
  <si>
    <t>我熬夜观察星空，希望我的神灵能给予我信息。</t>
  </si>
  <si>
    <t>我非常嫉妒我的神灵的先知，他们似乎和神之间有比我希望得到的更加密切的关系。</t>
  </si>
  <si>
    <t>我梦想有朝一日能进入尼兹，在我的神灵身旁有一处永恒的席位。</t>
  </si>
  <si>
    <t>我唯一的家是我的神的庙宇。</t>
  </si>
  <si>
    <t>我无法证明这一点，但我猜测我的神可能真的是我的生身父母中的一位。</t>
  </si>
  <si>
    <t>我从巨龙的宝库中偷得了某件看似平平无奇的玩意儿，但当我把它带在身上时就会发生不可思议的事情。</t>
  </si>
  <si>
    <t>还是一个婴儿的时候，我曾经被沐浴在多头龙的血液中，而我的伤口很快就会愈合，不会演变成致命的伤害。</t>
  </si>
  <si>
    <t>我吞下过一块来自尼兹的魔法石头，它让我的皮肤如同岩石一般坚硬。</t>
  </si>
  <si>
    <t>当我是个孩子的时候，我曾经受过一次伤，而一位神灵治愈了我。如今伤痕都不愿意让祂的成果消失。</t>
  </si>
  <si>
    <t>我被从冥界解救出来，而不确定我是真的完整复活了——我总是感到很冰冷。</t>
  </si>
  <si>
    <t>我出生在达克拉群岛中的一座。我的同胞们生而坚韧，而直到我背井离乡，在世界上流浪的时候才意识到这一点。</t>
  </si>
  <si>
    <t>我不知道我我双亲中的一位或两位是何许人也，但我的韧性（和其他迹象）为他们的不朽身份提供线索。</t>
  </si>
  <si>
    <t>灵魂回荡</t>
  </si>
  <si>
    <t>我的灵魂与其他地方的人相连——那个人或许是另外个领域，世界乃至于位面。</t>
  </si>
  <si>
    <t>我已经活了很多次了。每次当我死亡的时候我的灵魂都会转换到另外个身体里——而不是投胎转世</t>
  </si>
  <si>
    <t>我原本的意识已经从我原本的身体中移除并植入到了这个新的身体</t>
  </si>
  <si>
    <t>我在身体和精神上已经和另外个人合为一体了</t>
  </si>
  <si>
    <t>我与一种无形而又超凡脱俗的力量共享一具身体</t>
  </si>
  <si>
    <t>时空在我身边被撕裂，我有的时候会与自己的过去和未来发生些冲突</t>
  </si>
  <si>
    <t>低语之灵</t>
  </si>
  <si>
    <t>一群我已故的，正在注视着我的先祖。</t>
  </si>
  <si>
    <t>争夺我灵魂的邪恶存在们。</t>
  </si>
  <si>
    <t>被我吸引而来，寻求安宁的不安亡魂。</t>
  </si>
  <si>
    <t>滞留在我身边的刀下鬼。</t>
  </si>
  <si>
    <t>一个侵入我的思想的外星智慧。</t>
  </si>
  <si>
    <t>一个已经被我排斥出去，不再拥有这个身体占据权利的另外一个人格</t>
  </si>
  <si>
    <t>影子怪癖</t>
  </si>
  <si>
    <t>我的影子经常持有武器或承受了不存在的创伤</t>
  </si>
  <si>
    <t>当我分心的时候，我的影子会惊慌失措，试图引起别人的注意，好像它拼命地想逃离我。</t>
  </si>
  <si>
    <t>当我的影子不被注视的时候，它会做出威胁性的手势或者向人们爬去。</t>
  </si>
  <si>
    <t>我的影子的动作和我呈镜像——当我举起左手时，我的影子会举起右手。</t>
  </si>
  <si>
    <t>我的影子会不断摆弄小东西或偶尔打破微小的，非磁性的物体。</t>
  </si>
  <si>
    <t>在我的动作和我的影子之间有一个轻微但明显的延迟。</t>
  </si>
  <si>
    <t>迷雾穿梭</t>
  </si>
  <si>
    <t>你得知了一个秘密，关于雾的性质。从此以后，你可以操纵它们，但是你脚下的土地会与你作对。</t>
  </si>
  <si>
    <t>你为了逃离一个正在狩猎你的人或事物，来到雾中。你不能休息太长时间，因为你知道你仍被追赶着。</t>
  </si>
  <si>
    <t>你属于一个组织，一个家族，或是一个巡回团体，他们拥有着穿梭于雾中的经验。他们传授你如何以相同的方式对待。</t>
  </si>
  <si>
    <t>雾将你从你的家中窃出，并将关于你从何处来的记忆切断。从那之后，你的要求便是找到一个回去的路。</t>
  </si>
  <si>
    <t>形式</t>
  </si>
  <si>
    <t>夸张夸大，矫揉造作的你</t>
  </si>
  <si>
    <t>人兽混血儿</t>
  </si>
  <si>
    <t>天使，恶魔或者畸形的形体</t>
  </si>
  <si>
    <t>一种由粘液构成的模糊不清的人形生物</t>
  </si>
  <si>
    <t>有妖精一样的形状，性格不是险恶阴森就是怒不可遏</t>
  </si>
  <si>
    <t>由金属，石头，或者机械构成的身体</t>
  </si>
  <si>
    <t>因素</t>
  </si>
  <si>
    <t>看到月亮的某一阶段</t>
  </si>
  <si>
    <t>某种花的香味</t>
  </si>
  <si>
    <t>寺院的钟声</t>
  </si>
  <si>
    <t>听到特定的旋律</t>
  </si>
  <si>
    <t>用裸露的皮肤触摸纯银</t>
  </si>
  <si>
    <t>看到某个人正在和某个特定的人谈话</t>
  </si>
  <si>
    <t>共生体</t>
  </si>
  <si>
    <t>如同人类面庞的特征突显在你的躯干，手掌，或是你的后脑勺。</t>
  </si>
  <si>
    <t>一个在尚未愈合的伤口中的外来寄生物</t>
  </si>
  <si>
    <t>一个掘洞的，如同蠕虫一般的生物。</t>
  </si>
  <si>
    <t>一个困扰着你的想法，它栖息于你的脑海中</t>
  </si>
  <si>
    <t>一个拥有生命的纹身。</t>
  </si>
  <si>
    <t>你身体的一部分被成长中的结晶替代。</t>
  </si>
  <si>
    <t>共生体契约</t>
  </si>
  <si>
    <t>共生体寻求去毁灭一个特定的存在，比如恶魔，巨魔或圣武士。</t>
  </si>
  <si>
    <t>共生体渴求知识，并决意要解开一个奥秘或理解一个秘密。</t>
  </si>
  <si>
    <t>共生体想要带一个使一个预言的结果成真亦或是挫败这个预言让它变得子虚乌有</t>
  </si>
  <si>
    <t>共生体寻求去保护属于一个强大存在的组织的随从以及他的利益。</t>
  </si>
  <si>
    <t>共生体想要竭尽全力使你避免危险并让你相信它知道什么是对你好的。</t>
  </si>
  <si>
    <t>共生体寻求体验全新的感觉，越怪异越好。</t>
  </si>
  <si>
    <t>致命触摸表现</t>
  </si>
  <si>
    <t>你的身体被炼金术或生物实验所改变，实验给你注入了致命的化学物质。</t>
  </si>
  <si>
    <t>当你出现时，堕落德鲁伊或妖精的魔法让小植物更苦，你周边的昆虫死掉</t>
  </si>
  <si>
    <t>你是邪恶预言的预告者。任何被你触摸所伤害的生物都会用暂时性的伤痕被一个团体，恶魔，神灵或其他对你感兴趣的力量所标记</t>
  </si>
  <si>
    <t>你本该死在一次会让你死掉的经历里，但你幸存了下来。从那次之后，死亡和邪恶就常伴你身。</t>
  </si>
  <si>
    <t>你与时间或现实不同步。你所解除的任何东西都会被扭曲。</t>
  </si>
  <si>
    <t>每次你触摸一个生物，你都会听到你曾经所伤害过的人的讥笑声</t>
  </si>
  <si>
    <t>注视者</t>
  </si>
  <si>
    <t>食腐生物：豺狼、乌鸦、秃鹫</t>
  </si>
  <si>
    <t>不可赦的审判：活化刑具、漂浮的眼球、宗教相关的图像标志</t>
  </si>
  <si>
    <t>夜间飞行物：蝙蝠、飞蛾、猫头鹰</t>
  </si>
  <si>
    <t>鼠疫携带者：跳蚤、老鼠、松鼠</t>
  </si>
  <si>
    <t>非自然的观察者：活动的物体、发条装置、世外的窥视者</t>
  </si>
  <si>
    <t>海上生物：螃蟹、鳗鱼、水母</t>
  </si>
  <si>
    <t>迷失的灵魂：鬼珠、阴影、星质的小束</t>
  </si>
  <si>
    <t>毒虫：蝎子、蛇、蜘蛛</t>
  </si>
  <si>
    <t>空洞者</t>
  </si>
  <si>
    <t>不老</t>
  </si>
  <si>
    <t>紧拥生命</t>
  </si>
  <si>
    <t>还魂</t>
  </si>
  <si>
    <t>不安存在</t>
  </si>
  <si>
    <t>你不会变老，那些会导致你变老的效应也对你没有作用</t>
  </si>
  <si>
    <t>当你进行死亡豁免，并骰出16或更高时，你恢复1点生命值</t>
  </si>
  <si>
    <t>你保留你的生物种类。但你对侦测不死生物种类存在的法术或其他效应显示为不死生物</t>
  </si>
  <si>
    <t>以一个动作，你可以使15英尺范围内一个你能看见的生物不安。目标在接下来一分钟内进行的下一次豁免骰有劣势。构装生物，不死生物和不会被恐慌的生物对该特性免疫。一旦你使用了该特性，直到你完成了一次长休你不能再次使用它</t>
  </si>
  <si>
    <t>锻砧生物</t>
  </si>
  <si>
    <t>你进行对抗毒素的豁免时具有优势，并且拥有毒素伤害的抗性
你不需要吃、喝和呼吸
你对疾病免疫
你不需要睡眠，也不会因为魔法效果而陷入睡眠</t>
  </si>
  <si>
    <t>当你进行长休时，你必须花费6小时处于一种静止的、非激活的状态，以代替睡眠。处于该状态时，你变得迟缓，但不会失去意识，并能够保持正常的视力和听力</t>
  </si>
  <si>
    <t>英雄天命</t>
  </si>
  <si>
    <t>抗拒死亡</t>
  </si>
  <si>
    <t>难以杀死</t>
  </si>
  <si>
    <t>你在死亡豁免中具有优势</t>
  </si>
  <si>
    <t>当你的生命值被降低到0而没有直接死亡时，你可以改为将生命值降低到1。当你使用该特质时，直到你完成一次长休以前你无法再次使用</t>
  </si>
  <si>
    <t>启化防护</t>
  </si>
  <si>
    <t>反抗诸神</t>
  </si>
  <si>
    <t>你能以该特性仅以你自己为目标施展防护善恶，而不需要任何材料成分。旦你这么做，直到结束一次长休以前你无法再次以这种方式施展它
感知是你该特性的施法关键属性</t>
  </si>
  <si>
    <t>你无法获得或失去任何神灵的献力。作为替代，你随着角色等级获得其他特质</t>
  </si>
  <si>
    <t>5级起，你能以该特性施展解除魔法，而不需要任何材料成分。旦你这么做，直到结束一次长休以前你无法再次以这种方式施展它</t>
  </si>
  <si>
    <t>11级起，你能以该特性施展反制善恶，而不需要任何材料成分。旦你这么做，直到结束一次长休以前你无法再次以这种方式施展它。感知是你以特性施展法术时的关键属性。此外，当你以反逆英雄特质施展解除魔法时，你可以以四环施展</t>
  </si>
  <si>
    <t>17级起，你能以该特性施展反魔法力场，而不需要任何材料成分。旦你这么做，直到结束一次长休以前你无法再次以这种方式施展它。此外，当你以反逆英雄特质施展解除魔法时，你可以以五环施展</t>
  </si>
  <si>
    <t>莫测者</t>
  </si>
  <si>
    <t>心灵之盾</t>
  </si>
  <si>
    <t>斯芬克斯之帷</t>
  </si>
  <si>
    <t>你具有心灵伤害的抗性</t>
  </si>
  <si>
    <t>你免疫让其他生物感知你的情绪或想法的效果。为了揣测你的意图或诚意而做出的感知（洞悉）检定具有劣势</t>
  </si>
  <si>
    <t>毕生伙伴</t>
  </si>
  <si>
    <t>助益灵光</t>
  </si>
  <si>
    <t>友伴保护</t>
  </si>
  <si>
    <t>只要你不陷入失能，你5尺内的盟友在对抗魅惑和恐慌的豁免骰上具有优势</t>
  </si>
  <si>
    <t>当一个5尺内你能看见的生物被一次攻击击中时，你可以以使用你的反应动作让攻击改为命中你，一旦你使用了该特性，直到你完成一次长休前你无法再次使用</t>
  </si>
  <si>
    <t>天裔生物</t>
  </si>
  <si>
    <t>星辰荫蔽</t>
  </si>
  <si>
    <t>天裔抗性</t>
  </si>
  <si>
    <t>以一个动作，你能以星光的遮蔽掩藏身形，让自己看起仿佛一块夜空的剪影。当你如此做时，对你进行的攻击检定具有劣势。直到你解除它（不需要动作）或死亡之前，荫蔽会存在一分钟。一旦你使用该特性，直到结束一次长休以前你无法再次使用</t>
  </si>
  <si>
    <t>你具有对黯蚀和光耀伤害的抗性</t>
  </si>
  <si>
    <t>先知</t>
  </si>
  <si>
    <t>聆听神谕</t>
  </si>
  <si>
    <t>神谕洞察</t>
  </si>
  <si>
    <t>先知献力</t>
  </si>
  <si>
    <t>占卜者</t>
  </si>
  <si>
    <t>预言者</t>
  </si>
  <si>
    <t>神谕者</t>
  </si>
  <si>
    <t>神之先知</t>
  </si>
  <si>
    <t>你能说、读和写天界语。此外，一位神灵可能会通过你来传播信息，而你可以选择是使用你自己的声音还是让神灵的声音通过你的口中送出信息，并翻译为你所说的任何语言</t>
  </si>
  <si>
    <t>当你进行属性鉴定时，你可以投一个d10并将结果加到检定中。你可以在投d20之后，但必须在dm宣布成功还是失败之前决定是否添加d10。一旦你使用了该特质，直到你完成一次长休或短休前你无法再次使用</t>
  </si>
  <si>
    <t>你的先知能力随着你的献力值提升而提升。你获得先知特质替换你从神灵那里获得的献力增益
感知是你以这些特性施展的所有法术的施法关键属性</t>
  </si>
  <si>
    <t>献力3
你可以通过该特质以仪式施展卜筮术。一旦你这么做，直到结束一次长休以前你无法再次以这种方式施展它</t>
  </si>
  <si>
    <t>献力10
你可以通过该特质以仪式施展预言术。一旦你这么做，直到结束一次长休以前你无法再次以这种方式施展它</t>
  </si>
  <si>
    <t>献力25
你可以通过该特质以仪式施展通神术。一旦你这么做，直到结束一次长休以前你无法再次以这种方式施展它
只要你没有陷入失能，你无法被突袭</t>
  </si>
  <si>
    <t>献力50
你的智力或感知增加2，你所选择那项属性的上限也增加2</t>
  </si>
  <si>
    <t>虔敬者</t>
  </si>
  <si>
    <t>虔信护盾</t>
  </si>
  <si>
    <t>宗教学习</t>
  </si>
  <si>
    <t>起始献力</t>
  </si>
  <si>
    <t>如果你在一次豁免检定中失败，你可以重新掷骰，但必须使用新的结果。一旦你使用了该特质，直到你完成一次长休前你无法再次使用</t>
  </si>
  <si>
    <t>你在任何关于你所选择的神的智力（宗教）检定上具有优势</t>
  </si>
  <si>
    <t>你一开始具有3点你所选神灵的献力</t>
  </si>
  <si>
    <t>无伤者</t>
  </si>
  <si>
    <t>无伤坚韧</t>
  </si>
  <si>
    <t>当你受到伤害时，你可以使用你的反应并投一个d12。并把你的体质调整值加到投出的数值上，从伤害中减去总和。在你使用该特质后，直到一次短休或长休结束你无法再次使用</t>
  </si>
  <si>
    <t>通灵能力</t>
  </si>
  <si>
    <t>原初之声</t>
  </si>
  <si>
    <t>恼人回音</t>
  </si>
  <si>
    <t>你可以额外选择两项熟练技能</t>
  </si>
  <si>
    <t>你可以说，读，写你选择的另外一门语言</t>
  </si>
  <si>
    <t>当你在进行攻击检定，属性检定或豁免检定的d20上骰出1时，骰一个恼人回音表获得回声带来的记忆，直到你完成一个短休或一个长休前你都无法再次使用该能力
1：你被一个你能看到的生物魅惑1分钟直到该生物伤害你
2：你被一个你能看到的生物所恐慌1分钟直到该生物伤害你
3：在你的下一个回合结束之前，你感官会感知到你周围另外一个时空或地点，在此期间你对你周围的实际环境处于目盲状态
4：你感知到另外一个不同的时空或地点与你周围的环境重叠在一起。你的速度减半直到你的下个回合结束
5：直到你的下个回合开始前你处于失能状态
6：你可以重骰这次攻击检定，属性检定或豁免检定。你必须使用新的掷骰结果</t>
  </si>
  <si>
    <t>汇灵低语</t>
  </si>
  <si>
    <t>灵魂低语</t>
  </si>
  <si>
    <t>意外杂音</t>
  </si>
  <si>
    <t>悠远之声</t>
  </si>
  <si>
    <t>你将学会传讯术，如果它不是你的已知法术，且释放不需要成分。在你释放法术时，这份信息会被你其中一个低语之灵传递，而不是你或者目标的声音。你释放这个法术的施法关键属性是智力，感知或是魅力（你在得到暗黑赠礼时进行选择）</t>
  </si>
  <si>
    <t>当你被一次攻击命中，你可以使用你的反应动作引导你的祟灵，让它们的嚎叫由你发出。如果敌人没有陷入耳聋，将你的熟练加值增加到你抵御这次攻击的ac，有导致攻击落空的可能性。当这个特性导致一次攻击失败，你将不能再使用这个特性直到完成一次长休</t>
  </si>
  <si>
    <t>在你进行攻击检定，施法检定，或豁免检定，并在d20的骰中掷出1时，参照悠远之声的表格，投掷骰子来决定声音的效果。当其中一个效果出现，其他的声音便不会再显现，直到你完成一次短休或长休
1：你在下一次攻击检定，属性检定或豁免检定上具有劣势
2：你持续耳聋一分钟。期间你听不到周围的声音
3：你将会对离你最近的生物感到恐慌，除了你自己。直到你的下一个回合。如果有多个生物距离你最近，由DM来选择一个你所恐慌的生物
4：在接下来的十分钟内，你可以询问你身边的低语之灵关于接下来30分钟你想做的事情的结果。你会像释放了法术卜筮术一样收到一个预兆，这个预兆表现为只有你才能察觉到的灵魂低语</t>
  </si>
  <si>
    <t>活性阴影</t>
  </si>
  <si>
    <t>攫取之影</t>
  </si>
  <si>
    <t>暗影打击</t>
  </si>
  <si>
    <t>不祥意志</t>
  </si>
  <si>
    <t>如果你还未学习法术法师之手，你可以学习它，并且不需要任何成分来施展它。该法术创造的手是暗影，但并不绑定到你的影子上。这个法术的关键属性是智力、感知或魅力（当你获得这个黑暗赠礼由你选择）</t>
  </si>
  <si>
    <t>当你进行近战攻击掷骰时，你可以增加你的触及范围10英尺。你的影子会像你一样展开攻击，你可以使用这个能力的使用次数等于你的熟练加值，当你完成一次长休时，你恢复所有的使用次数</t>
  </si>
  <si>
    <t>当你在进行攻击检定，属性检定或豁免检定的d20上骰出1时。在下一次当你或你能看到的30英尺范围内的生物进行攻击检定、属性检定或豁免检定时，掷一个d4。如果数值是奇数，则掷骰总数减少该骰值。如果数字是偶数，则将掷骰总数增加该骰值。一旦这种效应发生，它不会再被启用，直到你完成一次短休或长休</t>
  </si>
  <si>
    <t>薄雾行者</t>
  </si>
  <si>
    <t>迷雾穿行者</t>
  </si>
  <si>
    <t>已被毒害的根源</t>
  </si>
  <si>
    <t>你可以使用法术迷踪步，不需要法术位，你需要完成一次长休后，才能再次以此特性施展迷踪步。这项法术需要的施法属性是智力，感知，或魅力（你在获得这份黑暗赠礼时进行选择）。如果你拥有二环或以上的法术位，你可以使用更高的法术位来施展这个法术</t>
  </si>
  <si>
    <t>当你进入雾中，意图抵达一片特定的地域时，你将会像是拥有一个与那片地域相符的迷雾护身符一般。当你使用这个特性时，你必须知道你所选择的目的地区域的名字，但是你并不需要曾抵达过那片土地。这个特性不会允许你绕过因为一位暗黑领主的意愿，而封闭的地域边境</t>
  </si>
  <si>
    <t>你可以安全地在一片区域停留与你体质调整值相同数值的周数（最少一周）。之后，每次你在那片区域完成一次长休，你必须成功通过一次DC15的体质豁免检定，或是获得一层当你在那片区域内，不可被移除的力竭</t>
  </si>
  <si>
    <t>第二形态</t>
  </si>
  <si>
    <t>变形</t>
  </si>
  <si>
    <t>被迫改变</t>
  </si>
  <si>
    <t>你可以施放法术变身术，使其以你的第二形态出现。当你这么做时，你获得了该法术的“改变外貌”选项的效果，并且不能结束它来获得其他选项的好处。以这种方式施法不消耗法术位，并且你必须在一次长休之后才能再次以这种方式施法。该法术的关键属性是智力、感知或魅力（当你获得这个黑暗赠礼时由你选择）。如果你有2环或更高的法术位，你可以用它们来再次使用该特性
当你使用这个特性施放变身术时，你的第二个形体的一些装饰性的部分会在法术结束后保留下来。除非你主动隐藏或伪装，否则这会明显地标记你的位置。这种痕迹是一种明显的变化，如鳞状皮肤、翅膀发育不良、眼睛没有瞳孔或角。这种痕迹在你长休后会消失</t>
  </si>
  <si>
    <t>某些情况会激活你的黑暗赠礼。在你经历了你的变化因素后，在你的下一个回合开始时，你必须成功通过一次DC15的魅力豁免，否则你将使用你的动作来施展变形特质中描述的变身术，即使你已经使用了这个特性</t>
  </si>
  <si>
    <t>共生存在</t>
  </si>
  <si>
    <t>不缠不休的存在</t>
  </si>
  <si>
    <t>永不完结的共生</t>
  </si>
  <si>
    <t>共生契约</t>
  </si>
  <si>
    <t>你的共生体是一个单独的实体，它自己的物理形态与你的绑定。它不是一个独立的生物，而是依靠你生存。它有智力、感知和魅力属性。由DM设置共生体的属性或随机决定（每个属性掷4d6，取三者最高）。共生体可以通过你的感官来观察或听闻事情
共生体可以说、读、懂两种语言；其中一门是你所说的，另一门则是适合于他的性质的语言
选择以下技能之一：奥秘、欺骗、历史、恐吓、洞悉、调查、自然、宗教、察觉或说服。如果你还没有熟练熟于这项技能，你就可以拥有这项技能的熟练，代表共生体给予你的知识或帮助
如果你死了，你的共生体也会跟随你死去。如果你随后恢复了生命，你的共生体也会随之复活</t>
  </si>
  <si>
    <t>当你的豁免检定失败时，你可以选择让你的共生体消耗你的一个生命骰并将骰值加到豁免检定中，这可能会让失败变的成功。如果你在死亡豁免中使用此功能，则你的死亡豁免必定成功，并且无论这次d20的骰值多少，你都会获得1点生命值
一旦你因为这个特性成功的进行了一次豁免，这个特性就不能再次使用除非你完成一次长休</t>
  </si>
  <si>
    <t>你的共生体有一个使他为你服务的契约。它希望你能协助它实现这些目标。它在实现它的契约时的宽容程度或耐心程度取决于它的个性（与您的DM合作确定这些细节）。如果你有机会完成契约或推进契约的进度却不采取行动，共生体可以尝试操控你的身体来迫使你去实现。你必须成功通过一次魅力豁免（DC为12+共生体的魅力调整值），否则你会被共生体所魅惑1d12小时。当你被魅惑时，你必须听从共生体的命令。如果你受到了伤害且该伤害不是你自己造成的，你可以重复这次豁免掷骰，如果成功则将结束它对你的影响</t>
  </si>
  <si>
    <t>死亡之触</t>
  </si>
  <si>
    <t>无法逃避的死亡</t>
  </si>
  <si>
    <t>枯萎之触</t>
  </si>
  <si>
    <t>你可以集中你的致命的触摸攻击你的敌人。以一个动作，你进行一次徒手攻击。命中时，目标会额外受到1d10黯蚀伤害。当你达到5级（2d10），11级（3d10）,17级（4d10）时，此伤害增加1d10</t>
  </si>
  <si>
    <t>当你用攻击骰命中目标并造成黯蚀伤害时，你忽略目标对该伤害的抗力</t>
  </si>
  <si>
    <t>你的回合开始时，若你擒抱住一个生物，或你被一个生物所擒抱，该生物会受到1d10的黯蚀伤害</t>
  </si>
  <si>
    <t>借目</t>
  </si>
  <si>
    <t>恐惧存在</t>
  </si>
  <si>
    <t>以一个动作，你可以影响并操控注视者1小时。在这段时间里，你在智力（调查）和感知（察觉）检定上获得优势，在此期间你不会被目盲。一旦你使用了这个能力，你就不能再使用它，直到你完成一个长休</t>
  </si>
  <si>
    <t>你在对能看到注视者的生物的欺骗、表演和说服检定上具有劣势。并且你在豁免探知法术时具有劣势
你可以通过一些努力暂时驱散或隐藏注视者。通过一分钟的工作（个人理解：驱逐或者采用其他手段赶走）和一次成功的DC 15魅力（驯兽）检定，你可以抑制借目和恐惧存在1小时。一旦成功地抑制了这些特性，在你完成一个长休之前你都不能再这样做了</t>
  </si>
  <si>
    <t>法术速查工具</t>
  </si>
  <si>
    <t>感谢各位翻译人员的伟大贡献，在你们努力的基础上，我才能做出这份东西来让大家更好地偷懒。
另外还有一句话，这份东西做出来是为了方便大家用的，如果你有更好或者更习惯的方法，你可以不用这个，但是不要说给我听，这没有任何逼格。谢谢
BY:做一个好条条</t>
  </si>
  <si>
    <t>查询条件</t>
  </si>
  <si>
    <t>查询结果</t>
  </si>
  <si>
    <t>同样感谢所有翻译人员的贡献，以及不全书的整理者们，我才能在前者的基础上继续进行更新
因为这个东西做出来就是为了方便大家用的，所以如果你有更好的方法，非常欢迎说给我听，我争取学会之后下个版本方便更多人，谢谢！
By：喵拜</t>
  </si>
  <si>
    <t>关键词1</t>
  </si>
  <si>
    <t>关键词2</t>
  </si>
  <si>
    <t>关键词3</t>
  </si>
  <si>
    <t>言语</t>
  </si>
  <si>
    <t>姿势</t>
  </si>
  <si>
    <t>购点计算器</t>
  </si>
  <si>
    <t>法力值计算器</t>
  </si>
  <si>
    <t>冒险物品价格计算器</t>
  </si>
  <si>
    <t>英制单位换算器</t>
  </si>
  <si>
    <t>属性值</t>
  </si>
  <si>
    <t>花费点数</t>
  </si>
  <si>
    <t>最大法力值</t>
  </si>
  <si>
    <t>购买总价</t>
  </si>
  <si>
    <t>英尺</t>
  </si>
  <si>
    <t>英寸</t>
  </si>
  <si>
    <t>=</t>
  </si>
  <si>
    <t>米</t>
  </si>
  <si>
    <t>剩余法力值</t>
  </si>
  <si>
    <t>商品</t>
  </si>
  <si>
    <t>单价</t>
  </si>
  <si>
    <t>环位</t>
  </si>
  <si>
    <t>生成数</t>
  </si>
  <si>
    <t>1环</t>
  </si>
  <si>
    <t>磅</t>
  </si>
  <si>
    <t>千克</t>
  </si>
  <si>
    <t>2环</t>
  </si>
  <si>
    <t>3环</t>
  </si>
  <si>
    <t>4环</t>
  </si>
  <si>
    <t>总花费</t>
  </si>
  <si>
    <t>5环</t>
  </si>
  <si>
    <t>6环</t>
  </si>
  <si>
    <t>7环</t>
  </si>
  <si>
    <t>8环</t>
  </si>
  <si>
    <t>总施法等级</t>
  </si>
  <si>
    <t>9环</t>
  </si>
  <si>
    <t>数据密码：goddessfantasy</t>
  </si>
  <si>
    <t>更新记录</t>
  </si>
  <si>
    <t>↓更新想做的东西（大概）↓</t>
  </si>
  <si>
    <t>联系方式</t>
  </si>
  <si>
    <t>Q&amp;A</t>
  </si>
  <si>
    <t>v0版本：初代目作者——猫斯基（留下NekoWorks标记的作者）版本，Nekoworks最晚记录为x2.1版本，此卡也是在该版本上进行修改的</t>
  </si>
  <si>
    <t>异界传送翻译完成之后补充数据</t>
  </si>
  <si>
    <t>?</t>
  </si>
  <si>
    <t>猫斯基（初代目作者）</t>
  </si>
  <si>
    <t>Q：这张卡免费使用吗？</t>
  </si>
  <si>
    <t>补充种族可选项</t>
  </si>
  <si>
    <t>联系方式暂缺</t>
  </si>
  <si>
    <t>A：当然，如果你是付费拿到的，请立马去追回自己的小钱钱！</t>
  </si>
  <si>
    <t>v1版本：AC最大敏捷结算订正</t>
  </si>
  <si>
    <t>补充赠礼特性</t>
  </si>
  <si>
    <t>v2版本：法术速查整合，法术书添加</t>
  </si>
  <si>
    <t>微波叮桃子（微改人物卡的家伙）</t>
  </si>
  <si>
    <t>v3：NMD，WSM……咳咳！</t>
  </si>
  <si>
    <t>QQ：2900829948</t>
  </si>
  <si>
    <t>Q：我找到了更早一代的作者诶</t>
  </si>
  <si>
    <t>v4版本：排版更改为竖排</t>
  </si>
  <si>
    <t>A：请尽可能快的联系现在的几位作者！拜托了！拜托了！拜托了！</t>
  </si>
  <si>
    <t>v4.2版本：添加角色描述</t>
  </si>
  <si>
    <t>做一个好条条（法术速查工具作者）</t>
  </si>
  <si>
    <t>v4.3版本：人物血量计算小工具添加</t>
  </si>
  <si>
    <t>v4.3.2版本：下拉菜单添加</t>
  </si>
  <si>
    <t>Q：更新频率是多少啊？</t>
  </si>
  <si>
    <t>v4.3.4版本：主要页面施法栏变更</t>
  </si>
  <si>
    <t>欧阳天麟（参与修订的作者）</t>
  </si>
  <si>
    <t>A：看官方更新数据速度
      ……以及用户的报错频率（？）</t>
  </si>
  <si>
    <t>v4.3.5版本：属性下拉菜单更改为复选框</t>
  </si>
  <si>
    <t>QQ：895445383</t>
  </si>
  <si>
    <t>v4.3.6版本：额外添加两本法术书</t>
  </si>
  <si>
    <t>v4.3.7版本：添加准备法术菜单</t>
  </si>
  <si>
    <t>雷猫如此慵懒（参与修订的作者）</t>
  </si>
  <si>
    <t>Q：有bug或者更新建议要反馈怎么办</t>
  </si>
  <si>
    <t>v4.3.8版本：种族属性查询工具添加</t>
  </si>
  <si>
    <t>部分作者找不到联系方式了呜呜呜呜……</t>
  </si>
  <si>
    <t>QQ：906555822</t>
  </si>
  <si>
    <t>A：按顺序找最新的作者名单里的各个作者</t>
  </si>
  <si>
    <t>v4.3.9版本：装备同调选项添加</t>
  </si>
  <si>
    <t>有人知道的话请联系可以新的作者们</t>
  </si>
  <si>
    <t>v4.3.10版本：修复Bug</t>
  </si>
  <si>
    <t>拜托了！拜托了！拜托了！</t>
  </si>
  <si>
    <t>喵拜（对着表格乱改的猫）</t>
  </si>
  <si>
    <t>v4.3.11版本：法术重复项提示功能加入</t>
  </si>
  <si>
    <t>QQ：423523960</t>
  </si>
  <si>
    <t>↓↓人物卡更新及资料整理链接↓↓</t>
  </si>
  <si>
    <t>v4.3.12版本：专注法术绿标功能加入</t>
  </si>
  <si>
    <t>这张卡不禁止二次修改</t>
  </si>
  <si>
    <t>天麟网盘</t>
  </si>
  <si>
    <t>喵拜百度盘</t>
  </si>
  <si>
    <t>v4.3.13版本：灵巧武器攻击骰调整</t>
  </si>
  <si>
    <t>也欢迎联系作者反馈bug或增加新功能</t>
  </si>
  <si>
    <t>v4.3.14版本：技能修正值统合</t>
  </si>
  <si>
    <t>修订组增加成员</t>
  </si>
  <si>
    <t>v new0.1版本：融合太易人物卡1.67功能，完善法术书，修改经验条及AC公式</t>
  </si>
  <si>
    <t>v4.3.15版本：负重判定Bug修正</t>
  </si>
  <si>
    <t>v new0.2版本：重做种族数据，补充到完整不全书</t>
  </si>
  <si>
    <t>v4.3.16版本：小优化</t>
  </si>
  <si>
    <t>v new0.3版本：再次重做种族数据，调整版式，重做职业数据，补充到完整不全书</t>
  </si>
  <si>
    <t>v4.3.17版本：武器伤害预设添加</t>
  </si>
  <si>
    <t>v new0.4版本：重做背景数据，调整版式，补充到完整不全书，增添个人翻译内容</t>
  </si>
  <si>
    <t>v4.3.18版本：加值武器结算功能追加（仅命中），背包重量修正</t>
  </si>
  <si>
    <t>v new0.5版本：修复过往版本各项bug，重做装备数据，修改装备算法，调整版式</t>
  </si>
  <si>
    <t>v4.3.19版本：添加了部分职业能力预设</t>
  </si>
  <si>
    <t>v new0.6版本：重做专长数据，补充到完整不全书，增加职业特性判定</t>
  </si>
  <si>
    <t>v4.3.20版本：添加了部分专长能力预设</t>
  </si>
  <si>
    <t>v new0.7版本：重做法术数据及法术书，增加异常状态模块，调整版式</t>
  </si>
  <si>
    <t>v4.3.21版本：Bug修复</t>
  </si>
  <si>
    <t>v new0.8版本：增加版本选择模块，再次重做装备数据，调整下拉菜单项目</t>
  </si>
  <si>
    <t>v4.3.22版本：主要界面改版</t>
  </si>
  <si>
    <t>v new0.9版本：修复过往版本各项bug，预备赠礼数据，去除种族查询页</t>
  </si>
  <si>
    <t>v4.3.23版本：额外法术添加功能试作</t>
  </si>
  <si>
    <t>v new1.0版本：修复过往版本各项bug，增加计算器，参考卡德加3R卡重做法术查询</t>
  </si>
  <si>
    <t>v4.3.24版本：Bug修复</t>
  </si>
  <si>
    <t>v4.4.0版本：个人据点信息独立成页，主要页大幅修改，恢复种族查询页
版权信息修正及更改，此卡由喵拜基于该版本进行修改</t>
  </si>
  <si>
    <t>v4.4.1版本：塔莎书部分数据添加，公式函数优化</t>
  </si>
  <si>
    <t>v4.4.2版本：修正错误数据</t>
  </si>
  <si>
    <t>额外法术 Additional Spell</t>
  </si>
  <si>
    <t>成分</t>
  </si>
  <si>
    <t>效果描述</t>
  </si>
  <si>
    <t>10天</t>
  </si>
  <si>
    <t>１小时</t>
  </si>
  <si>
    <t>幻术(仪式)</t>
  </si>
  <si>
    <t>咒法(仪式)</t>
  </si>
  <si>
    <t>500英里</t>
  </si>
  <si>
    <t>预言(仪式)</t>
  </si>
  <si>
    <t>变化(仪式)</t>
  </si>
  <si>
    <t>附魔(仪式)</t>
  </si>
  <si>
    <t>即时</t>
  </si>
  <si>
    <t>死灵(仪式)</t>
  </si>
  <si>
    <t>90英尺</t>
  </si>
  <si>
    <t>塑能(仪式)</t>
  </si>
  <si>
    <t>立即或1个小时</t>
  </si>
  <si>
    <t>防护(仪式)</t>
  </si>
  <si>
    <t>接触</t>
  </si>
  <si>
    <t>直到被解除</t>
  </si>
  <si>
    <t>直至被解除或被触发</t>
  </si>
  <si>
    <t>直至被驱散</t>
  </si>
  <si>
    <t>自身(100尺线状)</t>
  </si>
  <si>
    <t>自身(10尺半径)</t>
  </si>
  <si>
    <t>自身(10尺半径半球状)</t>
  </si>
  <si>
    <t>专注，至多10分钟</t>
  </si>
  <si>
    <t>自身(10尺半径球状)</t>
  </si>
  <si>
    <t>专注，至多1分钟</t>
  </si>
  <si>
    <t>自身(15尺立方)</t>
  </si>
  <si>
    <t>专注，至多１分钟</t>
  </si>
  <si>
    <t>自身(15尺锥状)</t>
  </si>
  <si>
    <t>专注，至多1轮</t>
  </si>
  <si>
    <t>自身(30尺半径)</t>
  </si>
  <si>
    <t>专注，至多1日</t>
  </si>
  <si>
    <t>自身(30尺锥状)</t>
  </si>
  <si>
    <t>专注，至多1小时</t>
  </si>
  <si>
    <t>自身(5尺半径)</t>
  </si>
  <si>
    <t>专注，至多2小时</t>
  </si>
  <si>
    <t>自身(60尺线状)</t>
  </si>
  <si>
    <t>专注，至多6轮</t>
  </si>
  <si>
    <t>自身(60尺直线)</t>
  </si>
  <si>
    <t>专注，至多8小时</t>
  </si>
  <si>
    <t>自身(60尺锥状)</t>
  </si>
  <si>
    <t>专注，至多一小时</t>
  </si>
  <si>
    <t>自身(半径15尺)</t>
  </si>
  <si>
    <t>专注，最多10分钟</t>
  </si>
  <si>
    <t>自身(半径30尺)</t>
  </si>
  <si>
    <t>专注，最长1分钟</t>
  </si>
  <si>
    <t>自身(半径5里)</t>
  </si>
  <si>
    <t>专注、至多1小时</t>
  </si>
  <si>
    <t>专注、至多24小时</t>
  </si>
  <si>
    <t>最长8小时</t>
  </si>
  <si>
    <t>DND 5E 人物卡 &lt;NekoWorks ver2.0&gt;</t>
  </si>
  <si>
    <t>个人据点</t>
  </si>
  <si>
    <t>据点名称</t>
  </si>
  <si>
    <t>据点位置</t>
  </si>
  <si>
    <t>据点描述</t>
  </si>
  <si>
    <t>物品名称</t>
  </si>
  <si>
    <t>物品描述</t>
  </si>
  <si>
    <t>币种</t>
  </si>
  <si>
    <t>来源</t>
  </si>
  <si>
    <t>飞掠Flyby。飞蛇飞出敌人的触及范围时不会引起借机攻击。</t>
    <phoneticPr fontId="83" type="noConversion"/>
  </si>
  <si>
    <t>荒野形态</t>
    <phoneticPr fontId="83" type="noConversion"/>
  </si>
  <si>
    <t>1×D8</t>
  </si>
  <si>
    <t>当达到第4、8、12、16、19级时，你可以选择一项属性值提升2点，或是选择两项属性各提升1点。不过你不能通过此特性让属性值超过20</t>
    <phoneticPr fontId="83" type="noConversion"/>
  </si>
  <si>
    <t>人心比痔疮更可怕</t>
    <phoneticPr fontId="83" type="noConversion"/>
  </si>
  <si>
    <t>1</t>
    <phoneticPr fontId="83" type="noConversion"/>
  </si>
  <si>
    <t>瑞茵.戴派</t>
    <phoneticPr fontId="83" type="noConversion"/>
  </si>
  <si>
    <t>拉文克劳</t>
    <phoneticPr fontId="83" type="noConversion"/>
  </si>
  <si>
    <t>女</t>
    <phoneticPr fontId="83" type="noConversion"/>
  </si>
  <si>
    <t>秘学士</t>
    <phoneticPr fontId="83" type="noConversion"/>
  </si>
  <si>
    <t>神奇动物</t>
    <phoneticPr fontId="83" type="noConversion"/>
  </si>
  <si>
    <t>运动</t>
    <phoneticPr fontId="83" type="noConversion"/>
  </si>
  <si>
    <t>体操</t>
    <phoneticPr fontId="83" type="noConversion"/>
  </si>
  <si>
    <t>魔杖</t>
    <phoneticPr fontId="83" type="noConversion"/>
  </si>
  <si>
    <t>智力</t>
    <phoneticPr fontId="83" type="noConversion"/>
  </si>
  <si>
    <t>智力、敏捷</t>
    <phoneticPr fontId="83" type="noConversion"/>
  </si>
  <si>
    <t>神奇动物，生存</t>
    <phoneticPr fontId="83" type="noConversion"/>
  </si>
  <si>
    <t>施法关键属性</t>
    <phoneticPr fontId="83" type="noConversion"/>
  </si>
  <si>
    <t>智力，感知和任选一个属性值加1</t>
    <phoneticPr fontId="83" type="noConversion"/>
  </si>
  <si>
    <t>每当你进行智力或感知相关的属性检定时，若你在该检定上拥有熟练，那么你可以将小于等于5的D20掷骰原值视为6。</t>
    <phoneticPr fontId="83" type="noConversion"/>
  </si>
  <si>
    <t>深厚学识</t>
    <phoneticPr fontId="83" type="noConversion"/>
  </si>
  <si>
    <t xml:space="preserve">罗伊纳的图书馆
</t>
    <phoneticPr fontId="83" type="noConversion"/>
  </si>
  <si>
    <t>你可以通过寻求室友的帮助的同时浏览拉文克劳公共休息室内找到的书籍来研究某个难题。</t>
    <phoneticPr fontId="83" type="noConversion"/>
  </si>
  <si>
    <t>你选择并获得一个专长。</t>
    <phoneticPr fontId="83" type="noConversion"/>
  </si>
  <si>
    <t>额外专长</t>
    <phoneticPr fontId="83" type="noConversion"/>
  </si>
  <si>
    <t>变形天赋</t>
    <phoneticPr fontId="83" type="noConversion"/>
  </si>
  <si>
    <t>生存，神奇动物，草药工具</t>
    <phoneticPr fontId="83" type="noConversion"/>
  </si>
  <si>
    <t>草药工具</t>
    <phoneticPr fontId="83" type="noConversion"/>
  </si>
  <si>
    <t xml:space="preserve">以一个动作你可以随意改变自己的外表，你可以自由决定你的容姿，身高，体重，声音，发色与发长。但你的属性，体型与大体外形不会因此而改变，例如若你变形前是两足生物，那么你无法用该天赋变为四足生物。
·你可以使你成为水生生物，并在指尖长出蹼。以一个动作，你获得等同于你步行速度的游泳速度。
</t>
    <phoneticPr fontId="83" type="noConversion"/>
  </si>
  <si>
    <t>安定施法</t>
    <phoneticPr fontId="83" type="noConversion"/>
  </si>
  <si>
    <t>你身上肩负的压力使你在危急时刻冷静无比，你总能保持专注。当你受到伤害时，你无需进行体质豁免检定也能保持专注</t>
    <phoneticPr fontId="83" type="noConversion"/>
  </si>
  <si>
    <t>园丁</t>
    <phoneticPr fontId="83" type="noConversion"/>
  </si>
  <si>
    <t>洞背村</t>
    <phoneticPr fontId="83" type="noConversion"/>
  </si>
  <si>
    <t>浅咖色</t>
    <phoneticPr fontId="83" type="noConversion"/>
  </si>
  <si>
    <t>绿色</t>
    <phoneticPr fontId="83" type="noConversion"/>
  </si>
  <si>
    <t>白</t>
    <phoneticPr fontId="83" type="noConversion"/>
  </si>
  <si>
    <t>凤凰羽毛、梧桐木，13.5英寸，刚硬</t>
    <phoneticPr fontId="83" type="noConversion"/>
  </si>
  <si>
    <t>戴着大眼镜片的短头发浅咖发色少女，喜欢把头发变成小辫，留着雷霆齐刘海，校服不太喜欢好好穿，眼底有黑圆圈是因为偶尔宿醉。</t>
    <phoneticPr fontId="83" type="noConversion"/>
  </si>
  <si>
    <t>喜欢喝酒，不拘小节</t>
    <phoneticPr fontId="83" type="noConversion"/>
  </si>
  <si>
    <t>吃苦耐劳，时常为了寻找神奇生物四处乱跑去乡下的树林</t>
    <phoneticPr fontId="83" type="noConversion"/>
  </si>
  <si>
    <t>成为纽特那样的神奇动物学家</t>
    <phoneticPr fontId="83" type="noConversion"/>
  </si>
  <si>
    <t>父母被食死徒折磨疯了，还在icu，所以是由外婆外公带大的</t>
    <phoneticPr fontId="83" type="noConversion"/>
  </si>
  <si>
    <t>邋遢，不修边幅</t>
    <phoneticPr fontId="83" type="noConversion"/>
  </si>
  <si>
    <t>很神必，一个喜欢神奇动物学的人被分到了拉文克劳</t>
    <phoneticPr fontId="83" type="noConversion"/>
  </si>
  <si>
    <t>喜欢研究不同种类的神奇动物知识，还想把它们按照某个体系分类</t>
    <phoneticPr fontId="83" type="noConversion"/>
  </si>
  <si>
    <t>英语</t>
    <phoneticPr fontId="83" type="noConversion"/>
  </si>
  <si>
    <t>同纳威，但是区别是家里确实家底十分雄厚，并且由外公外婆带大，生长于英国郊外的一个小村庄，叫做洞背村，家里是做酒厂的，酒的质量非常高，在巫师界十分出名，导致小时候瑞茵就成了半个酒鬼，酒量很好，经常喝完酒一拍脑袋即兴出门去观察动物，为此挨过不少揍，因为家里有钱，在村里算是街头一霸，孩子王，会用魔法烟花点燃乡下农户养的猪屁股，长大了之后稍微收敛了一点，但是依旧死性不改。</t>
    <phoneticPr fontId="8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</si>
</sst>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L\v\ 0"/>
    <numFmt numFmtId="177" formatCode="0&quot;岁&quot;"/>
    <numFmt numFmtId="178" formatCode="General&quot;厘&quot;&quot;米&quot;"/>
    <numFmt numFmtId="179" formatCode="General&quot;千&quot;&quot;克&quot;"/>
    <numFmt numFmtId="180" formatCode="0&quot;尺&quot;"/>
    <numFmt numFmtId="181" formatCode="General&quot;磅&quot;"/>
    <numFmt numFmtId="182" formatCode="0&quot;个&quot;"/>
    <numFmt numFmtId="183" formatCode="&quot;×&quot;0"/>
    <numFmt numFmtId="184" formatCode="00"/>
    <numFmt numFmtId="185" formatCode="General&quot;GP&quot;"/>
    <numFmt numFmtId="186" formatCode="0.00_ "/>
  </numFmts>
  <fonts count="84" x14ac:knownFonts="1">
    <font>
      <sz val="11"/>
      <name val="宋体"/>
    </font>
    <font>
      <sz val="10"/>
      <color rgb="FF000000"/>
      <name val="微软雅黑"/>
      <family val="2"/>
      <charset val="134"/>
    </font>
    <font>
      <sz val="10"/>
      <color rgb="FFFFFFFF"/>
      <name val="微软雅黑"/>
      <family val="2"/>
      <charset val="134"/>
    </font>
    <font>
      <b/>
      <sz val="10"/>
      <color rgb="FFFFFF00"/>
      <name val="微软雅黑"/>
      <family val="2"/>
      <charset val="134"/>
    </font>
    <font>
      <sz val="11"/>
      <color rgb="FF000000"/>
      <name val="宋体"/>
      <family val="3"/>
      <charset val="134"/>
    </font>
    <font>
      <sz val="8"/>
      <color rgb="FFFFFFFF"/>
      <name val="微软雅黑"/>
      <family val="2"/>
      <charset val="134"/>
    </font>
    <font>
      <sz val="8"/>
      <color rgb="FF7F7F7F"/>
      <name val="微软雅黑"/>
      <family val="2"/>
      <charset val="134"/>
    </font>
    <font>
      <sz val="10"/>
      <name val="微软雅黑"/>
      <family val="2"/>
      <charset val="134"/>
    </font>
    <font>
      <sz val="8"/>
      <color rgb="FF000000"/>
      <name val="微软雅黑"/>
      <family val="2"/>
      <charset val="134"/>
    </font>
    <font>
      <b/>
      <sz val="12"/>
      <name val="微软雅黑"/>
      <family val="2"/>
      <charset val="134"/>
    </font>
    <font>
      <sz val="12"/>
      <color rgb="FFBFBFBF"/>
      <name val="微软雅黑"/>
      <family val="2"/>
      <charset val="134"/>
    </font>
    <font>
      <sz val="10"/>
      <name val="微软雅黑"/>
      <family val="2"/>
      <charset val="134"/>
    </font>
    <font>
      <sz val="10"/>
      <name val="微软雅黑"/>
      <family val="2"/>
      <charset val="134"/>
    </font>
    <font>
      <b/>
      <sz val="16"/>
      <color rgb="FF2F75B6"/>
      <name val="微软雅黑"/>
      <family val="2"/>
      <charset val="134"/>
    </font>
    <font>
      <sz val="10"/>
      <color rgb="FF7F7F7F"/>
      <name val="微软雅黑"/>
      <family val="2"/>
      <charset val="134"/>
    </font>
    <font>
      <sz val="8"/>
      <color rgb="FFA5A5A5"/>
      <name val="微软雅黑"/>
      <family val="2"/>
      <charset val="134"/>
    </font>
    <font>
      <sz val="10"/>
      <color rgb="FFA5A5A5"/>
      <name val="微软雅黑"/>
      <family val="2"/>
      <charset val="134"/>
    </font>
    <font>
      <sz val="5"/>
      <color rgb="FFF7F7EB"/>
      <name val="微软雅黑"/>
      <family val="2"/>
      <charset val="134"/>
    </font>
    <font>
      <sz val="12"/>
      <color rgb="FF000000"/>
      <name val="微软雅黑"/>
      <family val="2"/>
      <charset val="134"/>
    </font>
    <font>
      <b/>
      <sz val="11"/>
      <color rgb="FFBF8F00"/>
      <name val="微软雅黑"/>
      <family val="2"/>
      <charset val="134"/>
    </font>
    <font>
      <sz val="12"/>
      <color rgb="FF7F7F7F"/>
      <name val="微软雅黑"/>
      <family val="2"/>
      <charset val="134"/>
    </font>
    <font>
      <b/>
      <sz val="12"/>
      <color rgb="FFBF8F00"/>
      <name val="微软雅黑"/>
      <family val="2"/>
      <charset val="134"/>
    </font>
    <font>
      <b/>
      <sz val="12"/>
      <color rgb="FF2F75B6"/>
      <name val="微软雅黑"/>
      <family val="2"/>
      <charset val="134"/>
    </font>
    <font>
      <b/>
      <sz val="10"/>
      <color rgb="FFFFFFFF"/>
      <name val="微软雅黑"/>
      <family val="2"/>
      <charset val="134"/>
    </font>
    <font>
      <b/>
      <sz val="12"/>
      <color rgb="FFFFFFFF"/>
      <name val="微软雅黑"/>
      <family val="2"/>
      <charset val="134"/>
    </font>
    <font>
      <b/>
      <sz val="16"/>
      <color rgb="FF70AD46"/>
      <name val="微软雅黑"/>
      <family val="2"/>
      <charset val="134"/>
    </font>
    <font>
      <sz val="9"/>
      <color rgb="FFFFFFFF"/>
      <name val="微软雅黑"/>
      <family val="2"/>
      <charset val="134"/>
    </font>
    <font>
      <b/>
      <sz val="12"/>
      <color rgb="FF70AD46"/>
      <name val="微软雅黑"/>
      <family val="2"/>
      <charset val="134"/>
    </font>
    <font>
      <sz val="10"/>
      <color rgb="FFF7F7EB"/>
      <name val="微软雅黑"/>
      <family val="2"/>
      <charset val="134"/>
    </font>
    <font>
      <b/>
      <sz val="14"/>
      <color rgb="FF70AD46"/>
      <name val="微软雅黑"/>
      <family val="2"/>
      <charset val="134"/>
    </font>
    <font>
      <sz val="12"/>
      <name val="微软雅黑"/>
      <family val="2"/>
      <charset val="134"/>
    </font>
    <font>
      <sz val="9"/>
      <color rgb="FF000000"/>
      <name val="微软雅黑"/>
      <family val="2"/>
      <charset val="134"/>
    </font>
    <font>
      <b/>
      <sz val="12"/>
      <color rgb="FF5C9BD5"/>
      <name val="微软雅黑"/>
      <family val="2"/>
      <charset val="134"/>
    </font>
    <font>
      <b/>
      <sz val="10"/>
      <color rgb="FFBF8F00"/>
      <name val="微软雅黑"/>
      <family val="2"/>
      <charset val="134"/>
    </font>
    <font>
      <b/>
      <sz val="9"/>
      <color rgb="FF5C9BD5"/>
      <name val="微软雅黑"/>
      <family val="2"/>
      <charset val="134"/>
    </font>
    <font>
      <sz val="10"/>
      <color rgb="FFBFBFBF"/>
      <name val="微软雅黑"/>
      <family val="2"/>
      <charset val="134"/>
    </font>
    <font>
      <sz val="10"/>
      <color rgb="FFBF8F00"/>
      <name val="微软雅黑"/>
      <family val="2"/>
      <charset val="134"/>
    </font>
    <font>
      <b/>
      <sz val="11"/>
      <color rgb="FF5C9BD5"/>
      <name val="微软雅黑"/>
      <family val="2"/>
      <charset val="134"/>
    </font>
    <font>
      <u/>
      <sz val="8"/>
      <color rgb="FF000000"/>
      <name val="微软雅黑"/>
      <family val="2"/>
      <charset val="134"/>
    </font>
    <font>
      <b/>
      <sz val="10"/>
      <color rgb="FFFFFCEB"/>
      <name val="微软雅黑"/>
      <family val="2"/>
      <charset val="134"/>
    </font>
    <font>
      <b/>
      <sz val="10"/>
      <color rgb="FFF2F2F2"/>
      <name val="微软雅黑"/>
      <family val="2"/>
      <charset val="134"/>
    </font>
    <font>
      <b/>
      <sz val="10"/>
      <color rgb="FF2F75B6"/>
      <name val="微软雅黑"/>
      <family val="2"/>
      <charset val="134"/>
    </font>
    <font>
      <b/>
      <sz val="10"/>
      <color rgb="FFFEEF00"/>
      <name val="微软雅黑"/>
      <family val="2"/>
      <charset val="134"/>
    </font>
    <font>
      <b/>
      <sz val="10"/>
      <color rgb="FFB87333"/>
      <name val="微软雅黑"/>
      <family val="2"/>
      <charset val="134"/>
    </font>
    <font>
      <sz val="9"/>
      <name val="微软雅黑"/>
      <family val="2"/>
      <charset val="134"/>
    </font>
    <font>
      <sz val="11"/>
      <color rgb="FF000000"/>
      <name val="微软雅黑"/>
      <family val="2"/>
      <charset val="134"/>
    </font>
    <font>
      <sz val="11"/>
      <color rgb="FF7F7F7F"/>
      <name val="微软雅黑"/>
      <family val="2"/>
      <charset val="134"/>
    </font>
    <font>
      <sz val="24"/>
      <color rgb="FF000000"/>
      <name val="微软雅黑"/>
      <family val="2"/>
      <charset val="134"/>
    </font>
    <font>
      <b/>
      <sz val="11"/>
      <color rgb="FF000000"/>
      <name val="微软雅黑"/>
      <family val="2"/>
      <charset val="134"/>
    </font>
    <font>
      <b/>
      <sz val="11"/>
      <color rgb="FFFF0000"/>
      <name val="微软雅黑"/>
      <family val="2"/>
      <charset val="134"/>
    </font>
    <font>
      <sz val="11"/>
      <color rgb="FF000000"/>
      <name val="宋体"/>
      <family val="3"/>
      <charset val="134"/>
    </font>
    <font>
      <sz val="11"/>
      <name val="宋体"/>
      <family val="3"/>
      <charset val="134"/>
    </font>
    <font>
      <sz val="11"/>
      <name val="宋体"/>
      <family val="3"/>
      <charset val="134"/>
    </font>
    <font>
      <b/>
      <i/>
      <u/>
      <sz val="11"/>
      <color rgb="FFFF0000"/>
      <name val="宋体"/>
      <family val="3"/>
      <charset val="134"/>
    </font>
    <font>
      <b/>
      <sz val="11"/>
      <name val="宋体"/>
      <family val="3"/>
      <charset val="134"/>
    </font>
    <font>
      <sz val="11"/>
      <color rgb="FF00B0F0"/>
      <name val="宋体"/>
      <family val="3"/>
      <charset val="134"/>
    </font>
    <font>
      <sz val="11"/>
      <color rgb="FFFF0000"/>
      <name val="宋体"/>
      <family val="3"/>
      <charset val="134"/>
    </font>
    <font>
      <sz val="11"/>
      <color rgb="FFFF0000"/>
      <name val="宋体"/>
      <family val="3"/>
      <charset val="134"/>
    </font>
    <font>
      <sz val="11"/>
      <color rgb="FF0070C0"/>
      <name val="宋体"/>
      <family val="3"/>
      <charset val="134"/>
    </font>
    <font>
      <b/>
      <i/>
      <sz val="11"/>
      <color rgb="FF000000"/>
      <name val="宋体"/>
      <family val="3"/>
      <charset val="134"/>
    </font>
    <font>
      <b/>
      <sz val="11"/>
      <color rgb="FF000000"/>
      <name val="宋体"/>
      <family val="3"/>
      <charset val="134"/>
    </font>
    <font>
      <sz val="11"/>
      <color rgb="FFFFFFFF"/>
      <name val="宋体"/>
      <family val="3"/>
      <charset val="134"/>
    </font>
    <font>
      <b/>
      <sz val="12"/>
      <color rgb="FF000000"/>
      <name val="宋体"/>
      <family val="3"/>
      <charset val="134"/>
    </font>
    <font>
      <sz val="12"/>
      <color rgb="FF000000"/>
      <name val="宋体"/>
      <family val="3"/>
      <charset val="134"/>
    </font>
    <font>
      <sz val="11"/>
      <color rgb="FF00B050"/>
      <name val="宋体"/>
      <family val="3"/>
      <charset val="134"/>
    </font>
    <font>
      <sz val="11"/>
      <color rgb="FF00B0F0"/>
      <name val="宋体"/>
      <family val="3"/>
      <charset val="134"/>
    </font>
    <font>
      <sz val="11"/>
      <color rgb="FFC55911"/>
      <name val="宋体"/>
      <family val="3"/>
      <charset val="134"/>
    </font>
    <font>
      <sz val="11"/>
      <color rgb="FF009F00"/>
      <name val="宋体"/>
      <family val="3"/>
      <charset val="134"/>
    </font>
    <font>
      <sz val="11"/>
      <color rgb="FF000000"/>
      <name val="宋体"/>
      <family val="3"/>
      <charset val="134"/>
    </font>
    <font>
      <b/>
      <i/>
      <sz val="11"/>
      <color rgb="FFFF0000"/>
      <name val="宋体"/>
      <family val="3"/>
      <charset val="134"/>
    </font>
    <font>
      <sz val="14"/>
      <color rgb="FF000000"/>
      <name val="微软雅黑"/>
      <family val="2"/>
      <charset val="134"/>
    </font>
    <font>
      <b/>
      <sz val="10"/>
      <color rgb="FFFF0000"/>
      <name val="微软雅黑"/>
      <family val="2"/>
      <charset val="134"/>
    </font>
    <font>
      <sz val="9"/>
      <color rgb="FF7F7F7F"/>
      <name val="微软雅黑"/>
      <family val="2"/>
      <charset val="134"/>
    </font>
    <font>
      <b/>
      <sz val="10"/>
      <color rgb="FF5C9BD5"/>
      <name val="微软雅黑"/>
      <family val="2"/>
      <charset val="134"/>
    </font>
    <font>
      <b/>
      <sz val="28"/>
      <color rgb="FF000000"/>
      <name val="微软雅黑"/>
      <family val="2"/>
      <charset val="134"/>
    </font>
    <font>
      <b/>
      <sz val="12"/>
      <color rgb="FFFF0000"/>
      <name val="微软雅黑"/>
      <family val="2"/>
      <charset val="134"/>
    </font>
    <font>
      <b/>
      <sz val="10"/>
      <color rgb="FF000000"/>
      <name val="微软雅黑"/>
      <family val="2"/>
      <charset val="134"/>
    </font>
    <font>
      <u/>
      <sz val="11"/>
      <color rgb="FF0463C1"/>
      <name val="宋体"/>
      <family val="3"/>
      <charset val="134"/>
    </font>
    <font>
      <b/>
      <sz val="22"/>
      <color rgb="FF00B0F0"/>
      <name val="微软雅黑"/>
      <family val="2"/>
      <charset val="134"/>
    </font>
    <font>
      <sz val="8"/>
      <color rgb="FF7F7F7F"/>
      <name val="微软雅黑"/>
      <family val="2"/>
      <charset val="134"/>
    </font>
    <font>
      <sz val="7"/>
      <color rgb="FF000000"/>
      <name val="微软雅黑"/>
      <family val="2"/>
      <charset val="134"/>
    </font>
    <font>
      <sz val="11"/>
      <color rgb="FF000000"/>
      <name val="MS Gothic"/>
      <family val="3"/>
      <charset val="128"/>
    </font>
    <font>
      <b/>
      <sz val="9"/>
      <name val="宋体"/>
      <family val="3"/>
      <charset val="134"/>
    </font>
    <font>
      <sz val="9"/>
      <name val="宋体"/>
      <family val="3"/>
      <charset val="134"/>
    </font>
  </fonts>
  <fills count="39">
    <fill>
      <patternFill patternType="none"/>
    </fill>
    <fill>
      <patternFill patternType="gray125"/>
    </fill>
    <fill>
      <patternFill patternType="solid">
        <fgColor rgb="FFF7F7EB"/>
        <bgColor indexed="64"/>
      </patternFill>
    </fill>
    <fill>
      <patternFill patternType="solid">
        <fgColor rgb="FF833B0B"/>
        <bgColor indexed="64"/>
      </patternFill>
    </fill>
    <fill>
      <patternFill patternType="solid">
        <fgColor rgb="FF7F7F7F"/>
        <bgColor indexed="64"/>
      </patternFill>
    </fill>
    <fill>
      <patternFill patternType="solid">
        <fgColor rgb="FFFFFFFF"/>
        <bgColor indexed="64"/>
      </patternFill>
    </fill>
    <fill>
      <patternFill patternType="solid">
        <fgColor rgb="FFF2F2F2"/>
        <bgColor indexed="64"/>
      </patternFill>
    </fill>
    <fill>
      <patternFill patternType="solid">
        <fgColor rgb="FFFFF2CB"/>
        <bgColor indexed="64"/>
      </patternFill>
    </fill>
    <fill>
      <patternFill patternType="solid">
        <fgColor rgb="FFE6E4E4"/>
        <bgColor indexed="64"/>
      </patternFill>
    </fill>
    <fill>
      <patternFill patternType="solid">
        <fgColor rgb="FFDEEAF6"/>
        <bgColor indexed="64"/>
      </patternFill>
    </fill>
    <fill>
      <patternFill patternType="solid">
        <fgColor rgb="FFDDEBF7"/>
        <bgColor indexed="64"/>
      </patternFill>
    </fill>
    <fill>
      <patternFill patternType="solid">
        <fgColor rgb="FFBFBFBF"/>
        <bgColor indexed="64"/>
      </patternFill>
    </fill>
    <fill>
      <patternFill patternType="solid">
        <fgColor rgb="FFD8D8D8"/>
        <bgColor indexed="64"/>
      </patternFill>
    </fill>
    <fill>
      <patternFill patternType="solid">
        <fgColor rgb="FFF7CAAC"/>
        <bgColor indexed="64"/>
      </patternFill>
    </fill>
    <fill>
      <patternFill patternType="solid">
        <fgColor rgb="FFFFE598"/>
        <bgColor indexed="64"/>
      </patternFill>
    </fill>
    <fill>
      <patternFill patternType="solid">
        <fgColor rgb="FFB4C7E7"/>
        <bgColor indexed="64"/>
      </patternFill>
    </fill>
    <fill>
      <patternFill patternType="solid">
        <fgColor rgb="FFC5E0B3"/>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rgb="FF7030A0"/>
        <bgColor indexed="64"/>
      </patternFill>
    </fill>
    <fill>
      <patternFill patternType="solid">
        <fgColor rgb="FFC55911"/>
        <bgColor indexed="64"/>
      </patternFill>
    </fill>
    <fill>
      <patternFill patternType="solid">
        <fgColor rgb="FFFBE4D5"/>
        <bgColor indexed="64"/>
      </patternFill>
    </fill>
    <fill>
      <patternFill patternType="solid">
        <fgColor rgb="FFBF8F00"/>
        <bgColor indexed="64"/>
      </patternFill>
    </fill>
    <fill>
      <patternFill patternType="solid">
        <fgColor rgb="FFC6E0B4"/>
        <bgColor indexed="64"/>
      </patternFill>
    </fill>
    <fill>
      <patternFill patternType="solid">
        <fgColor rgb="FFEDEDED"/>
        <bgColor indexed="64"/>
      </patternFill>
    </fill>
    <fill>
      <patternFill patternType="solid">
        <fgColor rgb="FFD9E3F3"/>
        <bgColor indexed="64"/>
      </patternFill>
    </fill>
    <fill>
      <patternFill patternType="solid">
        <fgColor rgb="FFE2EFD9"/>
        <bgColor indexed="64"/>
      </patternFill>
    </fill>
    <fill>
      <patternFill patternType="solid">
        <fgColor rgb="FFCFCDCD"/>
        <bgColor indexed="64"/>
      </patternFill>
    </fill>
    <fill>
      <patternFill patternType="solid">
        <fgColor rgb="FF0C0C0C"/>
        <bgColor indexed="64"/>
      </patternFill>
    </fill>
    <fill>
      <patternFill patternType="solid">
        <fgColor rgb="FFFFBF00"/>
        <bgColor indexed="64"/>
      </patternFill>
    </fill>
    <fill>
      <patternFill patternType="solid">
        <fgColor rgb="FFB4C6E7"/>
        <bgColor indexed="64"/>
      </patternFill>
    </fill>
    <fill>
      <patternFill patternType="solid">
        <fgColor rgb="FFED7B30"/>
        <bgColor indexed="64"/>
      </patternFill>
    </fill>
    <fill>
      <patternFill patternType="solid">
        <fgColor rgb="FF000000"/>
        <bgColor indexed="64"/>
      </patternFill>
    </fill>
    <fill>
      <patternFill patternType="solid">
        <fgColor rgb="FF9DC3E5"/>
        <bgColor indexed="64"/>
      </patternFill>
    </fill>
    <fill>
      <patternFill patternType="solid">
        <fgColor rgb="FFFF0000"/>
        <bgColor indexed="64"/>
      </patternFill>
    </fill>
    <fill>
      <patternFill patternType="solid">
        <fgColor rgb="FFFF9999"/>
        <bgColor indexed="64"/>
      </patternFill>
    </fill>
    <fill>
      <patternFill patternType="solid">
        <fgColor rgb="FF5C9BD5"/>
        <bgColor indexed="64"/>
      </patternFill>
    </fill>
    <fill>
      <patternFill patternType="solid">
        <fgColor rgb="FFBDFFBD"/>
        <bgColor indexed="64"/>
      </patternFill>
    </fill>
  </fills>
  <borders count="9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thin">
        <color rgb="FF833B0B"/>
      </left>
      <right/>
      <top style="thin">
        <color rgb="FF833B0B"/>
      </top>
      <bottom style="thin">
        <color rgb="FF833B0B"/>
      </bottom>
      <diagonal/>
    </border>
    <border>
      <left/>
      <right/>
      <top style="thin">
        <color rgb="FF833B0B"/>
      </top>
      <bottom style="thin">
        <color rgb="FF833B0B"/>
      </bottom>
      <diagonal/>
    </border>
    <border>
      <left/>
      <right style="thin">
        <color rgb="FF833B0B"/>
      </right>
      <top style="thin">
        <color rgb="FF833B0B"/>
      </top>
      <bottom style="thin">
        <color rgb="FF833B0B"/>
      </bottom>
      <diagonal/>
    </border>
    <border>
      <left style="thin">
        <color rgb="FF833B0B"/>
      </left>
      <right/>
      <top/>
      <bottom/>
      <diagonal/>
    </border>
    <border>
      <left/>
      <right/>
      <top style="thin">
        <color rgb="FF833B0B"/>
      </top>
      <bottom style="thin">
        <color indexed="64"/>
      </bottom>
      <diagonal/>
    </border>
    <border>
      <left style="thin">
        <color indexed="64"/>
      </left>
      <right/>
      <top style="thin">
        <color rgb="FFFFFFFF"/>
      </top>
      <bottom/>
      <diagonal/>
    </border>
    <border>
      <left/>
      <right style="thin">
        <color indexed="64"/>
      </right>
      <top style="thin">
        <color rgb="FFFFFFFF"/>
      </top>
      <bottom/>
      <diagonal/>
    </border>
    <border>
      <left style="thin">
        <color indexed="64"/>
      </left>
      <right style="thin">
        <color indexed="64"/>
      </right>
      <top style="thin">
        <color indexed="64"/>
      </top>
      <bottom/>
      <diagonal/>
    </border>
    <border>
      <left style="thin">
        <color rgb="FFFFFFFF"/>
      </left>
      <right/>
      <top style="thin">
        <color indexed="64"/>
      </top>
      <bottom/>
      <diagonal/>
    </border>
    <border>
      <left/>
      <right style="thin">
        <color rgb="FFFFFFFF"/>
      </right>
      <top style="thin">
        <color indexed="64"/>
      </top>
      <bottom/>
      <diagonal/>
    </border>
    <border>
      <left/>
      <right style="thin">
        <color rgb="FFFFFFFF"/>
      </right>
      <top style="thin">
        <color indexed="64"/>
      </top>
      <bottom style="thin">
        <color indexed="64"/>
      </bottom>
      <diagonal/>
    </border>
    <border diagonalDown="1">
      <left style="thin">
        <color rgb="FFFFFFFF"/>
      </left>
      <right style="thin">
        <color rgb="FFFFFFFF"/>
      </right>
      <top style="thin">
        <color rgb="FFFFFFFF"/>
      </top>
      <bottom style="thin">
        <color indexed="64"/>
      </bottom>
      <diagonal style="thin">
        <color indexed="64"/>
      </diagonal>
    </border>
    <border>
      <left style="thin">
        <color rgb="FFFFFFFF"/>
      </left>
      <right/>
      <top style="thin">
        <color rgb="FFFFFFFF"/>
      </top>
      <bottom style="thin">
        <color indexed="64"/>
      </bottom>
      <diagonal/>
    </border>
    <border>
      <left/>
      <right/>
      <top style="thin">
        <color rgb="FFFFFFFF"/>
      </top>
      <bottom style="thin">
        <color indexed="64"/>
      </bottom>
      <diagonal/>
    </border>
    <border>
      <left/>
      <right style="thin">
        <color rgb="FFFFFFFF"/>
      </right>
      <top style="thin">
        <color rgb="FFFFFFFF"/>
      </top>
      <bottom style="thin">
        <color indexed="64"/>
      </bottom>
      <diagonal/>
    </border>
    <border>
      <left style="thin">
        <color indexed="64"/>
      </left>
      <right style="thin">
        <color rgb="FFBFBFBF"/>
      </right>
      <top style="thin">
        <color indexed="64"/>
      </top>
      <bottom style="thin">
        <color indexed="64"/>
      </bottom>
      <diagonal/>
    </border>
    <border>
      <left/>
      <right style="thin">
        <color rgb="FFBFBFBF"/>
      </right>
      <top style="thin">
        <color indexed="64"/>
      </top>
      <bottom style="thin">
        <color indexed="64"/>
      </bottom>
      <diagonal/>
    </border>
    <border diagonalDown="1">
      <left/>
      <right style="thin">
        <color rgb="FFFFFFFF"/>
      </right>
      <top style="thin">
        <color rgb="FFFFFFFF"/>
      </top>
      <bottom style="thin">
        <color indexed="64"/>
      </bottom>
      <diagonal style="thin">
        <color indexed="64"/>
      </diagonal>
    </border>
    <border>
      <left style="thin">
        <color indexed="64"/>
      </left>
      <right/>
      <top/>
      <bottom style="thin">
        <color rgb="FFFFFFFF"/>
      </bottom>
      <diagonal/>
    </border>
    <border>
      <left/>
      <right style="thin">
        <color indexed="64"/>
      </right>
      <top/>
      <bottom style="thin">
        <color rgb="FFFFFFF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dotted">
        <color indexed="64"/>
      </left>
      <right/>
      <top/>
      <bottom/>
      <diagonal/>
    </border>
    <border>
      <left/>
      <right style="dotted">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FFFFFF"/>
      </right>
      <top style="thin">
        <color indexed="64"/>
      </top>
      <bottom style="thin">
        <color indexed="64"/>
      </bottom>
      <diagonal/>
    </border>
    <border>
      <left style="thin">
        <color rgb="FFFFFFFF"/>
      </left>
      <right style="medium">
        <color indexed="64"/>
      </right>
      <top style="thin">
        <color indexed="64"/>
      </top>
      <bottom style="thin">
        <color indexed="64"/>
      </bottom>
      <diagonal/>
    </border>
    <border>
      <left style="medium">
        <color indexed="64"/>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medium">
        <color indexed="64"/>
      </right>
      <top/>
      <bottom style="thin">
        <color rgb="FFFFFFFF"/>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indexed="64"/>
      </right>
      <top style="thin">
        <color rgb="FFFFFFFF"/>
      </top>
      <bottom style="thin">
        <color rgb="FFFFFFFF"/>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thin">
        <color rgb="FFFFFFFF"/>
      </left>
      <right/>
      <top style="thin">
        <color rgb="FFFFFFFF"/>
      </top>
      <bottom style="thin">
        <color rgb="FFFFFFFF"/>
      </bottom>
      <diagonal/>
    </border>
    <border>
      <left/>
      <right style="medium">
        <color indexed="64"/>
      </right>
      <top style="thin">
        <color rgb="FFFFFFFF"/>
      </top>
      <bottom style="thin">
        <color rgb="FFFFFFFF"/>
      </bottom>
      <diagonal/>
    </border>
    <border>
      <left style="medium">
        <color indexed="64"/>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indexed="64"/>
      </right>
      <top style="thin">
        <color rgb="FFFFFFFF"/>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FFFFFF"/>
      </right>
      <top style="thin">
        <color indexed="64"/>
      </top>
      <bottom style="medium">
        <color indexed="64"/>
      </bottom>
      <diagonal/>
    </border>
    <border>
      <left style="thin">
        <color rgb="FFFFFFFF"/>
      </left>
      <right style="medium">
        <color indexed="64"/>
      </right>
      <top style="thin">
        <color indexed="64"/>
      </top>
      <bottom style="medium">
        <color indexed="64"/>
      </bottom>
      <diagonal/>
    </border>
    <border>
      <left/>
      <right/>
      <top style="thin">
        <color rgb="FF833B0B"/>
      </top>
      <bottom/>
      <diagonal/>
    </border>
    <border>
      <left style="thin">
        <color rgb="FFBFBFBF"/>
      </left>
      <right style="thin">
        <color rgb="FFBFBFBF"/>
      </right>
      <top style="thin">
        <color rgb="FFBFBFBF"/>
      </top>
      <bottom style="thin">
        <color rgb="FFBFBFB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s>
  <cellStyleXfs count="4">
    <xf numFmtId="0" fontId="0" fillId="0" borderId="0">
      <alignment vertical="center"/>
    </xf>
    <xf numFmtId="0" fontId="52" fillId="0" borderId="0">
      <protection locked="0"/>
    </xf>
    <xf numFmtId="0" fontId="50" fillId="0" borderId="0">
      <protection locked="0"/>
    </xf>
    <xf numFmtId="0" fontId="77" fillId="0" borderId="0">
      <protection locked="0"/>
    </xf>
  </cellStyleXfs>
  <cellXfs count="1192">
    <xf numFmtId="0" fontId="0" fillId="0" borderId="0" xfId="0">
      <alignment vertical="center"/>
    </xf>
    <xf numFmtId="0" fontId="1" fillId="2" borderId="0" xfId="0" applyFont="1" applyFill="1" applyAlignment="1">
      <alignment horizontal="center" vertical="center"/>
    </xf>
    <xf numFmtId="0" fontId="2" fillId="3" borderId="0" xfId="0" applyFont="1" applyFill="1">
      <alignment vertical="center"/>
    </xf>
    <xf numFmtId="0" fontId="1" fillId="2" borderId="0" xfId="0" applyFont="1" applyFill="1" applyAlignment="1">
      <alignment horizontal="center" vertical="center" wrapText="1"/>
    </xf>
    <xf numFmtId="0" fontId="4" fillId="2" borderId="0" xfId="0" applyFont="1" applyFill="1">
      <alignment vertical="center"/>
    </xf>
    <xf numFmtId="0" fontId="2" fillId="3" borderId="0" xfId="0" applyFont="1" applyFill="1" applyAlignment="1">
      <alignment horizontal="center" vertical="center" wrapText="1"/>
    </xf>
    <xf numFmtId="0" fontId="6" fillId="2" borderId="0" xfId="0" applyFont="1" applyFill="1" applyAlignment="1">
      <alignment horizontal="center" wrapText="1"/>
    </xf>
    <xf numFmtId="0" fontId="6" fillId="2" borderId="0" xfId="0" applyFont="1" applyFill="1" applyAlignment="1">
      <alignment horizontal="center" vertical="center" wrapText="1"/>
    </xf>
    <xf numFmtId="0" fontId="2" fillId="2" borderId="0" xfId="0" applyFont="1" applyFill="1" applyAlignment="1">
      <alignment vertical="center" wrapText="1"/>
    </xf>
    <xf numFmtId="0" fontId="11" fillId="2" borderId="0" xfId="0" applyFont="1" applyFill="1" applyAlignment="1">
      <alignment vertical="center" wrapText="1"/>
    </xf>
    <xf numFmtId="0" fontId="14" fillId="2" borderId="0" xfId="0" applyFont="1" applyFill="1" applyAlignment="1">
      <alignment horizontal="center" vertical="center" wrapText="1"/>
    </xf>
    <xf numFmtId="0" fontId="1" fillId="2" borderId="0" xfId="0" applyFont="1" applyFill="1" applyAlignment="1">
      <alignment vertical="center" wrapText="1"/>
    </xf>
    <xf numFmtId="0" fontId="2" fillId="3" borderId="0" xfId="0" applyFont="1" applyFill="1" applyAlignment="1">
      <alignment vertical="center" wrapText="1"/>
    </xf>
    <xf numFmtId="0" fontId="6" fillId="2" borderId="0" xfId="0" applyFont="1" applyFill="1" applyAlignment="1">
      <alignment horizontal="left"/>
    </xf>
    <xf numFmtId="0" fontId="15" fillId="2" borderId="0" xfId="0" applyFont="1" applyFill="1" applyAlignment="1">
      <alignment wrapText="1"/>
    </xf>
    <xf numFmtId="0" fontId="16" fillId="2" borderId="0" xfId="0" applyFont="1" applyFill="1" applyAlignment="1">
      <alignment horizontal="center" vertical="center" wrapText="1"/>
    </xf>
    <xf numFmtId="0" fontId="17" fillId="2" borderId="0" xfId="0" applyFont="1" applyFill="1" applyAlignment="1">
      <alignment horizontal="center" vertical="center" wrapText="1"/>
    </xf>
    <xf numFmtId="0" fontId="1" fillId="2" borderId="12" xfId="0" applyFont="1" applyFill="1" applyBorder="1" applyAlignment="1">
      <alignment horizontal="center" vertical="center" wrapText="1"/>
    </xf>
    <xf numFmtId="0" fontId="20" fillId="2" borderId="12" xfId="0" applyFont="1" applyFill="1" applyBorder="1" applyAlignment="1">
      <alignment horizontal="left" vertical="center" wrapText="1"/>
    </xf>
    <xf numFmtId="0" fontId="20" fillId="2" borderId="13" xfId="0" applyFont="1" applyFill="1" applyBorder="1" applyAlignment="1">
      <alignment horizontal="left" vertical="center" wrapText="1"/>
    </xf>
    <xf numFmtId="0" fontId="13" fillId="2" borderId="0" xfId="0" applyFont="1" applyFill="1" applyAlignment="1">
      <alignment vertical="center" wrapText="1"/>
    </xf>
    <xf numFmtId="0" fontId="1" fillId="2" borderId="0" xfId="0" applyFont="1" applyFill="1" applyAlignment="1">
      <alignment horizontal="left" vertical="center" wrapText="1"/>
    </xf>
    <xf numFmtId="0" fontId="6" fillId="2" borderId="0" xfId="0" applyFont="1" applyFill="1" applyAlignment="1">
      <alignment horizontal="center" vertical="top" wrapText="1"/>
    </xf>
    <xf numFmtId="0" fontId="1" fillId="2" borderId="11" xfId="0" applyFont="1" applyFill="1" applyBorder="1" applyAlignment="1">
      <alignment vertical="center" wrapText="1"/>
    </xf>
    <xf numFmtId="0" fontId="6" fillId="2" borderId="0" xfId="0" applyFont="1" applyFill="1" applyAlignment="1"/>
    <xf numFmtId="0" fontId="5" fillId="3" borderId="0" xfId="0" applyFont="1" applyFill="1" applyAlignment="1">
      <alignment vertical="center" wrapText="1"/>
    </xf>
    <xf numFmtId="0" fontId="6" fillId="2" borderId="0" xfId="0" applyFont="1" applyFill="1" applyAlignment="1">
      <alignment horizontal="right"/>
    </xf>
    <xf numFmtId="0" fontId="6" fillId="2" borderId="0" xfId="0" applyFont="1" applyFill="1" applyAlignment="1">
      <alignment wrapText="1"/>
    </xf>
    <xf numFmtId="0" fontId="6" fillId="2" borderId="9" xfId="0" applyFont="1" applyFill="1" applyBorder="1" applyAlignment="1">
      <alignment horizontal="left"/>
    </xf>
    <xf numFmtId="0" fontId="6" fillId="2" borderId="9" xfId="0" applyFont="1" applyFill="1" applyBorder="1" applyAlignment="1">
      <alignment horizontal="right"/>
    </xf>
    <xf numFmtId="0" fontId="6" fillId="2" borderId="0" xfId="0" applyFont="1" applyFill="1" applyAlignment="1">
      <alignment horizontal="right" wrapText="1"/>
    </xf>
    <xf numFmtId="0" fontId="6" fillId="2" borderId="9" xfId="0" applyFont="1" applyFill="1" applyBorder="1" applyAlignment="1">
      <alignment wrapText="1"/>
    </xf>
    <xf numFmtId="0" fontId="6" fillId="2" borderId="9" xfId="0" applyFont="1" applyFill="1" applyBorder="1" applyAlignment="1"/>
    <xf numFmtId="0" fontId="11" fillId="2" borderId="0" xfId="0" applyFont="1" applyFill="1" applyAlignment="1">
      <alignment horizontal="center" vertical="center" wrapText="1"/>
    </xf>
    <xf numFmtId="0" fontId="31" fillId="5" borderId="1" xfId="0" applyFont="1" applyFill="1" applyBorder="1" applyAlignment="1">
      <alignment vertical="center" wrapText="1"/>
    </xf>
    <xf numFmtId="0" fontId="31" fillId="5" borderId="3" xfId="0" applyFont="1" applyFill="1" applyBorder="1" applyAlignment="1" applyProtection="1">
      <alignment horizontal="center" vertical="center" wrapText="1"/>
      <protection locked="0"/>
    </xf>
    <xf numFmtId="0" fontId="35" fillId="2" borderId="0" xfId="0" applyFont="1" applyFill="1" applyAlignment="1">
      <alignment horizontal="center" vertical="center" wrapText="1"/>
    </xf>
    <xf numFmtId="0" fontId="36" fillId="2" borderId="0" xfId="0" applyFont="1" applyFill="1" applyAlignment="1">
      <alignment horizontal="center" vertical="center" wrapText="1"/>
    </xf>
    <xf numFmtId="0" fontId="16" fillId="2" borderId="0" xfId="0" applyFont="1" applyFill="1" applyAlignment="1">
      <alignment horizontal="center" wrapText="1"/>
    </xf>
    <xf numFmtId="0" fontId="6" fillId="2" borderId="5" xfId="0" applyFont="1" applyFill="1" applyBorder="1" applyAlignment="1"/>
    <xf numFmtId="0" fontId="6" fillId="2" borderId="2" xfId="0" applyFont="1" applyFill="1" applyBorder="1" applyAlignment="1"/>
    <xf numFmtId="0" fontId="6" fillId="2" borderId="2" xfId="0" applyFont="1" applyFill="1" applyBorder="1" applyAlignment="1">
      <alignment wrapText="1"/>
    </xf>
    <xf numFmtId="0" fontId="8" fillId="5" borderId="1" xfId="0" applyFont="1" applyFill="1" applyBorder="1" applyAlignment="1">
      <alignment horizontal="center" vertical="center" wrapText="1"/>
    </xf>
    <xf numFmtId="0" fontId="8" fillId="5" borderId="2" xfId="0" applyFont="1" applyFill="1" applyBorder="1" applyAlignment="1">
      <alignment horizontal="right" vertical="center" wrapText="1"/>
    </xf>
    <xf numFmtId="49" fontId="8" fillId="5" borderId="7" xfId="0" applyNumberFormat="1" applyFont="1" applyFill="1" applyBorder="1" applyAlignment="1" applyProtection="1">
      <alignment horizontal="left" vertical="center"/>
      <protection locked="0"/>
    </xf>
    <xf numFmtId="0" fontId="14" fillId="0" borderId="16" xfId="0" applyFont="1" applyBorder="1" applyAlignment="1">
      <alignment horizontal="right" vertical="center" wrapText="1"/>
    </xf>
    <xf numFmtId="0" fontId="5" fillId="4" borderId="3"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2" xfId="0" applyFont="1" applyFill="1" applyBorder="1" applyAlignment="1">
      <alignment horizontal="right" vertical="center" wrapText="1"/>
    </xf>
    <xf numFmtId="49" fontId="8" fillId="6" borderId="7" xfId="0" applyNumberFormat="1" applyFont="1" applyFill="1" applyBorder="1" applyAlignment="1" applyProtection="1">
      <alignment horizontal="left" vertical="center"/>
      <protection locked="0"/>
    </xf>
    <xf numFmtId="0" fontId="31" fillId="6" borderId="3" xfId="0" applyFont="1" applyFill="1" applyBorder="1" applyAlignment="1" applyProtection="1">
      <alignment horizontal="center" vertical="center" wrapText="1"/>
      <protection locked="0"/>
    </xf>
    <xf numFmtId="0" fontId="14" fillId="6" borderId="16" xfId="0" applyFont="1" applyFill="1" applyBorder="1" applyAlignment="1">
      <alignment horizontal="right" vertical="center" wrapText="1"/>
    </xf>
    <xf numFmtId="0" fontId="8" fillId="2" borderId="0" xfId="0" applyFont="1" applyFill="1" applyAlignment="1">
      <alignment horizontal="center" vertical="center" wrapText="1"/>
    </xf>
    <xf numFmtId="0" fontId="31" fillId="6" borderId="1" xfId="0" applyFont="1" applyFill="1" applyBorder="1" applyAlignment="1">
      <alignment vertical="center" wrapText="1"/>
    </xf>
    <xf numFmtId="0" fontId="31" fillId="5" borderId="1" xfId="0" applyFont="1" applyFill="1" applyBorder="1" applyAlignment="1">
      <alignment horizontal="center" vertical="center" wrapText="1"/>
    </xf>
    <xf numFmtId="0" fontId="31" fillId="6" borderId="1" xfId="0" applyFont="1" applyFill="1" applyBorder="1" applyAlignment="1">
      <alignment horizontal="center" vertical="center" wrapText="1"/>
    </xf>
    <xf numFmtId="0" fontId="8" fillId="6" borderId="16" xfId="0" applyFont="1" applyFill="1" applyBorder="1" applyAlignment="1">
      <alignment horizontal="right" vertical="center" wrapText="1"/>
    </xf>
    <xf numFmtId="0" fontId="16" fillId="5" borderId="2" xfId="0" applyFont="1" applyFill="1" applyBorder="1" applyAlignment="1">
      <alignment horizontal="center" vertical="center" wrapText="1"/>
    </xf>
    <xf numFmtId="0" fontId="4" fillId="5" borderId="1" xfId="0" applyFont="1" applyFill="1" applyBorder="1">
      <alignment vertical="center"/>
    </xf>
    <xf numFmtId="0" fontId="4" fillId="5" borderId="2" xfId="0" applyFont="1" applyFill="1" applyBorder="1">
      <alignment vertical="center"/>
    </xf>
    <xf numFmtId="0" fontId="31" fillId="5" borderId="4" xfId="0" applyFont="1" applyFill="1" applyBorder="1" applyAlignment="1">
      <alignment horizontal="center" vertical="center" wrapText="1"/>
    </xf>
    <xf numFmtId="0" fontId="6" fillId="2" borderId="0" xfId="0" applyFont="1" applyFill="1">
      <alignment vertical="center"/>
    </xf>
    <xf numFmtId="0" fontId="6" fillId="2" borderId="12" xfId="0" applyFont="1" applyFill="1" applyBorder="1">
      <alignment vertical="center"/>
    </xf>
    <xf numFmtId="0" fontId="17" fillId="2" borderId="0" xfId="0" applyFont="1" applyFill="1" applyAlignment="1">
      <alignment vertical="center" wrapText="1"/>
    </xf>
    <xf numFmtId="0" fontId="20" fillId="2" borderId="13" xfId="0" applyFont="1" applyFill="1" applyBorder="1" applyAlignment="1">
      <alignment vertical="center" wrapText="1"/>
    </xf>
    <xf numFmtId="0" fontId="1" fillId="2" borderId="13" xfId="0" applyFont="1" applyFill="1" applyBorder="1" applyAlignment="1">
      <alignment vertical="center" wrapText="1"/>
    </xf>
    <xf numFmtId="0" fontId="2" fillId="4" borderId="5" xfId="0" applyFont="1" applyFill="1" applyBorder="1" applyAlignment="1">
      <alignment vertical="center" wrapText="1"/>
    </xf>
    <xf numFmtId="0" fontId="1" fillId="2" borderId="13" xfId="0" applyFont="1" applyFill="1" applyBorder="1" applyAlignment="1">
      <alignment horizontal="center" vertical="center" wrapText="1"/>
    </xf>
    <xf numFmtId="0" fontId="1" fillId="12" borderId="2" xfId="0" applyFont="1" applyFill="1" applyBorder="1" applyAlignment="1">
      <alignment vertical="center" wrapText="1"/>
    </xf>
    <xf numFmtId="0" fontId="31" fillId="2" borderId="0" xfId="0" applyFont="1" applyFill="1" applyAlignment="1">
      <alignment horizontal="center" vertical="center" wrapText="1"/>
    </xf>
    <xf numFmtId="0" fontId="8" fillId="5" borderId="3" xfId="0" applyFont="1" applyFill="1" applyBorder="1" applyAlignment="1">
      <alignment horizontal="center" vertical="center" wrapText="1"/>
    </xf>
    <xf numFmtId="0" fontId="1" fillId="2" borderId="0" xfId="0" applyFont="1" applyFill="1">
      <alignment vertical="center"/>
    </xf>
    <xf numFmtId="0" fontId="1" fillId="0" borderId="2" xfId="0" applyFont="1" applyBorder="1" applyAlignment="1">
      <alignment horizontal="center" vertical="center"/>
    </xf>
    <xf numFmtId="0" fontId="28" fillId="2" borderId="0" xfId="0" applyFont="1" applyFill="1" applyProtection="1">
      <alignment vertical="center"/>
      <protection locked="0"/>
    </xf>
    <xf numFmtId="0" fontId="14" fillId="2" borderId="0" xfId="0" applyFont="1" applyFill="1" applyAlignment="1">
      <alignment horizontal="center" vertical="center"/>
    </xf>
    <xf numFmtId="0" fontId="2" fillId="3" borderId="20" xfId="0" applyFont="1" applyFill="1" applyBorder="1" applyAlignment="1">
      <alignment vertical="center" wrapText="1"/>
    </xf>
    <xf numFmtId="0" fontId="6" fillId="2" borderId="21" xfId="0" applyFont="1" applyFill="1" applyBorder="1" applyAlignment="1">
      <alignment wrapText="1"/>
    </xf>
    <xf numFmtId="0" fontId="1" fillId="2" borderId="9" xfId="0" applyFont="1" applyFill="1" applyBorder="1" applyAlignment="1">
      <alignment vertical="center" wrapText="1"/>
    </xf>
    <xf numFmtId="0" fontId="45" fillId="2" borderId="0" xfId="0" applyFont="1" applyFill="1" applyAlignment="1">
      <alignment horizontal="center" vertical="center" wrapText="1"/>
    </xf>
    <xf numFmtId="0" fontId="45" fillId="2" borderId="0" xfId="0" applyFont="1" applyFill="1" applyAlignment="1">
      <alignment vertical="center" wrapText="1"/>
    </xf>
    <xf numFmtId="0" fontId="2" fillId="4" borderId="1" xfId="0" applyFont="1" applyFill="1" applyBorder="1" applyAlignment="1">
      <alignment vertical="center" wrapText="1"/>
    </xf>
    <xf numFmtId="0" fontId="2" fillId="4" borderId="2" xfId="0" applyFont="1" applyFill="1" applyBorder="1" applyAlignment="1">
      <alignment vertical="center" wrapText="1"/>
    </xf>
    <xf numFmtId="0" fontId="2" fillId="4" borderId="7" xfId="0" applyFont="1" applyFill="1" applyBorder="1" applyAlignment="1">
      <alignment vertical="center" wrapText="1"/>
    </xf>
    <xf numFmtId="0" fontId="46" fillId="2" borderId="0" xfId="0" applyFont="1" applyFill="1" applyAlignment="1">
      <alignment horizontal="center" vertical="center" wrapText="1"/>
    </xf>
    <xf numFmtId="0" fontId="45" fillId="2" borderId="0" xfId="0" applyFont="1" applyFill="1" applyAlignment="1" applyProtection="1">
      <alignment horizontal="center" vertical="center" wrapText="1"/>
      <protection locked="0"/>
    </xf>
    <xf numFmtId="0" fontId="45" fillId="2" borderId="5" xfId="0" applyFont="1" applyFill="1" applyBorder="1" applyAlignment="1">
      <alignment horizontal="center" vertical="center" wrapText="1"/>
    </xf>
    <xf numFmtId="1" fontId="45" fillId="2" borderId="0" xfId="0" applyNumberFormat="1" applyFont="1" applyFill="1" applyAlignment="1">
      <alignment horizontal="center" vertical="center" wrapText="1"/>
    </xf>
    <xf numFmtId="0" fontId="1" fillId="9" borderId="3" xfId="0" applyFont="1" applyFill="1" applyBorder="1" applyAlignment="1" applyProtection="1">
      <alignment horizontal="center" vertical="center" wrapText="1"/>
      <protection locked="0"/>
    </xf>
    <xf numFmtId="0" fontId="14" fillId="6" borderId="7" xfId="0" applyFont="1" applyFill="1" applyBorder="1" applyAlignment="1">
      <alignment horizontal="center" vertical="center" wrapText="1"/>
    </xf>
    <xf numFmtId="1" fontId="1" fillId="2" borderId="5" xfId="0" applyNumberFormat="1" applyFont="1" applyFill="1" applyBorder="1" applyAlignment="1">
      <alignment horizontal="center" vertical="center"/>
    </xf>
    <xf numFmtId="1" fontId="1" fillId="2" borderId="9" xfId="0" applyNumberFormat="1" applyFont="1" applyFill="1" applyBorder="1" applyAlignment="1">
      <alignment horizontal="center" vertical="center" wrapText="1"/>
    </xf>
    <xf numFmtId="0" fontId="45" fillId="0" borderId="28" xfId="0" applyFont="1" applyBorder="1" applyAlignment="1">
      <alignment horizontal="center" vertical="center" wrapText="1"/>
    </xf>
    <xf numFmtId="184" fontId="14" fillId="0" borderId="32" xfId="0" applyNumberFormat="1" applyFont="1" applyBorder="1" applyAlignment="1">
      <alignment horizontal="center" vertical="center" wrapText="1"/>
    </xf>
    <xf numFmtId="1" fontId="14" fillId="0" borderId="33" xfId="0" applyNumberFormat="1" applyFont="1" applyBorder="1" applyAlignment="1">
      <alignment horizontal="center" vertical="center" wrapText="1"/>
    </xf>
    <xf numFmtId="0" fontId="14" fillId="0" borderId="2" xfId="0" applyFont="1" applyBorder="1" applyAlignment="1" applyProtection="1">
      <alignment horizontal="center" vertical="center"/>
      <protection locked="0"/>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7" xfId="0" applyFont="1" applyBorder="1" applyAlignment="1" applyProtection="1">
      <alignment horizontal="center" vertical="center"/>
      <protection locked="0"/>
    </xf>
    <xf numFmtId="184" fontId="14" fillId="6" borderId="32" xfId="0" applyNumberFormat="1" applyFont="1" applyFill="1" applyBorder="1" applyAlignment="1">
      <alignment horizontal="center" vertical="center" wrapText="1"/>
    </xf>
    <xf numFmtId="1" fontId="14" fillId="6" borderId="33" xfId="0" applyNumberFormat="1" applyFont="1" applyFill="1" applyBorder="1" applyAlignment="1">
      <alignment horizontal="center" vertical="center" wrapText="1"/>
    </xf>
    <xf numFmtId="0" fontId="14" fillId="6" borderId="2" xfId="0" applyFont="1" applyFill="1" applyBorder="1" applyAlignment="1" applyProtection="1">
      <alignment horizontal="center" vertical="center"/>
      <protection locked="0"/>
    </xf>
    <xf numFmtId="0" fontId="14" fillId="6" borderId="32" xfId="0" applyFont="1" applyFill="1" applyBorder="1" applyAlignment="1">
      <alignment horizontal="center" vertical="center" wrapText="1"/>
    </xf>
    <xf numFmtId="0" fontId="14" fillId="6" borderId="33" xfId="0" applyFont="1" applyFill="1" applyBorder="1" applyAlignment="1">
      <alignment horizontal="center" vertical="center" wrapText="1"/>
    </xf>
    <xf numFmtId="0" fontId="14" fillId="6" borderId="7" xfId="0" applyFont="1" applyFill="1" applyBorder="1" applyAlignment="1" applyProtection="1">
      <alignment horizontal="center" vertical="center"/>
      <protection locked="0"/>
    </xf>
    <xf numFmtId="0" fontId="45" fillId="0" borderId="34" xfId="0" applyFont="1" applyBorder="1" applyAlignment="1">
      <alignment horizontal="center" vertical="center" wrapText="1"/>
    </xf>
    <xf numFmtId="0" fontId="50" fillId="0" borderId="0" xfId="0" applyFont="1" applyAlignment="1">
      <alignment horizontal="left" vertical="center"/>
    </xf>
    <xf numFmtId="0" fontId="50" fillId="0" borderId="0" xfId="0" applyFont="1" applyAlignment="1">
      <alignment horizontal="center" vertical="center"/>
    </xf>
    <xf numFmtId="0" fontId="50" fillId="0" borderId="37" xfId="0" applyFont="1" applyBorder="1" applyAlignment="1">
      <alignment horizontal="center" vertical="center"/>
    </xf>
    <xf numFmtId="0" fontId="50" fillId="0" borderId="38" xfId="0" applyFont="1" applyBorder="1" applyAlignment="1">
      <alignment horizontal="center" vertical="center"/>
    </xf>
    <xf numFmtId="0" fontId="50" fillId="0" borderId="39" xfId="0" applyFont="1" applyBorder="1" applyAlignment="1">
      <alignment horizontal="center" vertical="center"/>
    </xf>
    <xf numFmtId="0" fontId="50" fillId="0" borderId="40" xfId="0" applyFont="1" applyBorder="1">
      <alignment vertical="center"/>
    </xf>
    <xf numFmtId="0" fontId="51" fillId="0" borderId="38" xfId="0" applyFont="1" applyBorder="1" applyAlignment="1">
      <alignment horizontal="center" vertical="center"/>
    </xf>
    <xf numFmtId="0" fontId="50" fillId="0" borderId="38" xfId="0" applyFont="1" applyBorder="1" applyAlignment="1" applyProtection="1">
      <alignment horizontal="center" vertical="center"/>
      <protection locked="0"/>
    </xf>
    <xf numFmtId="0" fontId="50" fillId="0" borderId="39" xfId="0" applyFont="1" applyBorder="1" applyAlignment="1" applyProtection="1">
      <alignment horizontal="center" vertical="center"/>
      <protection locked="0"/>
    </xf>
    <xf numFmtId="0" fontId="50" fillId="0" borderId="40" xfId="0" applyFont="1" applyBorder="1" applyAlignment="1">
      <alignment horizontal="center" vertical="center"/>
    </xf>
    <xf numFmtId="0" fontId="50" fillId="0" borderId="41" xfId="0" applyFont="1" applyBorder="1" applyAlignment="1">
      <alignment horizontal="center" vertical="center"/>
    </xf>
    <xf numFmtId="0" fontId="50" fillId="0" borderId="42" xfId="0" applyFont="1" applyBorder="1" applyAlignment="1">
      <alignment horizontal="center" vertical="center"/>
    </xf>
    <xf numFmtId="0" fontId="50" fillId="0" borderId="43" xfId="0" applyFont="1" applyBorder="1" applyAlignment="1">
      <alignment horizontal="center" vertical="center"/>
    </xf>
    <xf numFmtId="0" fontId="50" fillId="0" borderId="41" xfId="0" applyFont="1" applyBorder="1" applyAlignment="1">
      <alignment horizontal="center" vertical="center" wrapText="1"/>
    </xf>
    <xf numFmtId="0" fontId="50" fillId="0" borderId="0" xfId="0" applyFont="1" applyAlignment="1">
      <alignment horizontal="center" vertical="center" wrapText="1"/>
    </xf>
    <xf numFmtId="0" fontId="50" fillId="0" borderId="42" xfId="0" applyFont="1" applyBorder="1" applyAlignment="1">
      <alignment horizontal="center" vertical="center" wrapText="1"/>
    </xf>
    <xf numFmtId="0" fontId="50" fillId="0" borderId="42" xfId="0" applyFont="1" applyBorder="1" applyAlignment="1" applyProtection="1">
      <alignment horizontal="center" vertical="center"/>
      <protection locked="0"/>
    </xf>
    <xf numFmtId="0" fontId="50" fillId="0" borderId="0" xfId="0" applyFont="1" applyAlignment="1" applyProtection="1">
      <alignment horizontal="center" vertical="center"/>
      <protection locked="0"/>
    </xf>
    <xf numFmtId="0" fontId="50" fillId="0" borderId="44" xfId="0" applyFont="1" applyBorder="1" applyAlignment="1">
      <alignment horizontal="center" vertical="center"/>
    </xf>
    <xf numFmtId="0" fontId="50" fillId="0" borderId="45" xfId="0" applyFont="1" applyBorder="1" applyAlignment="1">
      <alignment horizontal="center" vertical="center"/>
    </xf>
    <xf numFmtId="0" fontId="50" fillId="0" borderId="46" xfId="0" applyFont="1" applyBorder="1" applyAlignment="1">
      <alignment horizontal="center" vertical="center"/>
    </xf>
    <xf numFmtId="0" fontId="50" fillId="0" borderId="47" xfId="0" applyFont="1" applyBorder="1" applyAlignment="1">
      <alignment horizontal="center" vertical="center"/>
    </xf>
    <xf numFmtId="0" fontId="50" fillId="0" borderId="45" xfId="0" applyFont="1" applyBorder="1" applyAlignment="1" applyProtection="1">
      <alignment horizontal="center" vertical="center"/>
      <protection locked="0"/>
    </xf>
    <xf numFmtId="0" fontId="50" fillId="0" borderId="44" xfId="0" applyFont="1" applyBorder="1" applyAlignment="1">
      <alignment horizontal="center" vertical="center" wrapText="1"/>
    </xf>
    <xf numFmtId="0" fontId="50" fillId="0" borderId="47" xfId="0" applyFont="1" applyBorder="1" applyAlignment="1">
      <alignment horizontal="center" vertical="center" wrapText="1"/>
    </xf>
    <xf numFmtId="0" fontId="4" fillId="0" borderId="0" xfId="0" applyFont="1" applyAlignment="1">
      <alignment horizontal="center" vertical="center"/>
    </xf>
    <xf numFmtId="0" fontId="52" fillId="0" borderId="0" xfId="1" applyAlignment="1" applyProtection="1">
      <alignment horizontal="center" vertical="center"/>
    </xf>
    <xf numFmtId="0" fontId="52" fillId="0" borderId="0" xfId="1" applyAlignment="1" applyProtection="1">
      <alignment horizontal="center" vertical="center" wrapText="1"/>
    </xf>
    <xf numFmtId="0" fontId="4" fillId="0" borderId="37" xfId="0" applyFont="1" applyBorder="1" applyAlignment="1">
      <alignment horizontal="center" vertical="center"/>
    </xf>
    <xf numFmtId="0" fontId="52" fillId="0" borderId="38" xfId="1" applyBorder="1" applyAlignment="1" applyProtection="1">
      <alignment horizontal="center" vertical="center"/>
    </xf>
    <xf numFmtId="0" fontId="52" fillId="9" borderId="38" xfId="1" applyFill="1" applyBorder="1" applyAlignment="1" applyProtection="1">
      <alignment horizontal="center" vertical="center"/>
    </xf>
    <xf numFmtId="0" fontId="52" fillId="13" borderId="38" xfId="1" applyFill="1" applyBorder="1" applyAlignment="1" applyProtection="1">
      <alignment horizontal="center" vertical="center"/>
    </xf>
    <xf numFmtId="0" fontId="52" fillId="14" borderId="38" xfId="1" applyFill="1" applyBorder="1" applyAlignment="1" applyProtection="1">
      <alignment horizontal="center" vertical="center"/>
    </xf>
    <xf numFmtId="0" fontId="52" fillId="15" borderId="38" xfId="1" applyFill="1" applyBorder="1" applyAlignment="1" applyProtection="1">
      <alignment horizontal="center" vertical="center"/>
    </xf>
    <xf numFmtId="0" fontId="52" fillId="16" borderId="38" xfId="1" applyFill="1" applyBorder="1" applyAlignment="1" applyProtection="1">
      <alignment horizontal="center" vertical="center"/>
    </xf>
    <xf numFmtId="0" fontId="52" fillId="17" borderId="38" xfId="1" applyFill="1" applyBorder="1" applyAlignment="1" applyProtection="1">
      <alignment horizontal="center" vertical="center"/>
    </xf>
    <xf numFmtId="0" fontId="52" fillId="18" borderId="38" xfId="1" applyFill="1" applyBorder="1" applyAlignment="1" applyProtection="1">
      <alignment horizontal="center" vertical="center"/>
    </xf>
    <xf numFmtId="0" fontId="52" fillId="19" borderId="38" xfId="1" applyFill="1" applyBorder="1" applyAlignment="1" applyProtection="1">
      <alignment horizontal="center" vertical="center"/>
    </xf>
    <xf numFmtId="0" fontId="50" fillId="20" borderId="38" xfId="0" applyFont="1" applyFill="1" applyBorder="1" applyAlignment="1">
      <alignment horizontal="center" vertical="center"/>
    </xf>
    <xf numFmtId="0" fontId="50" fillId="21" borderId="38" xfId="0" applyFont="1" applyFill="1" applyBorder="1" applyAlignment="1">
      <alignment horizontal="center" vertical="center"/>
    </xf>
    <xf numFmtId="0" fontId="50" fillId="22" borderId="38" xfId="0" applyFont="1" applyFill="1" applyBorder="1" applyAlignment="1">
      <alignment horizontal="center" vertical="center"/>
    </xf>
    <xf numFmtId="0" fontId="50" fillId="23" borderId="39" xfId="0" applyFont="1" applyFill="1" applyBorder="1" applyAlignment="1">
      <alignment horizontal="center" vertical="center"/>
    </xf>
    <xf numFmtId="0" fontId="52" fillId="4" borderId="39" xfId="1" applyFill="1" applyBorder="1" applyAlignment="1" applyProtection="1">
      <alignment horizontal="center" vertical="center"/>
    </xf>
    <xf numFmtId="0" fontId="4" fillId="0" borderId="38" xfId="0" applyFont="1" applyBorder="1" applyAlignment="1">
      <alignment horizontal="center" vertical="center"/>
    </xf>
    <xf numFmtId="0" fontId="52" fillId="0" borderId="37" xfId="1" applyBorder="1" applyAlignment="1" applyProtection="1">
      <alignment horizontal="center" vertical="center"/>
    </xf>
    <xf numFmtId="0" fontId="52" fillId="0" borderId="38" xfId="1" applyBorder="1" applyAlignment="1" applyProtection="1">
      <alignment horizontal="left" vertical="center" wrapText="1"/>
    </xf>
    <xf numFmtId="0" fontId="52" fillId="0" borderId="39" xfId="1" applyBorder="1" applyAlignment="1" applyProtection="1">
      <alignment horizontal="left" vertical="center" wrapText="1"/>
    </xf>
    <xf numFmtId="0" fontId="52" fillId="0" borderId="41" xfId="1" applyBorder="1" applyAlignment="1" applyProtection="1">
      <alignment horizontal="center" vertical="center"/>
    </xf>
    <xf numFmtId="0" fontId="52" fillId="14" borderId="0" xfId="1" applyFill="1" applyAlignment="1" applyProtection="1">
      <alignment horizontal="center" vertical="center"/>
    </xf>
    <xf numFmtId="0" fontId="52" fillId="16" borderId="0" xfId="1" applyFill="1" applyAlignment="1" applyProtection="1">
      <alignment horizontal="center" vertical="center"/>
    </xf>
    <xf numFmtId="0" fontId="4" fillId="0" borderId="42" xfId="0" applyFont="1" applyBorder="1" applyAlignment="1">
      <alignment horizontal="center" vertical="center"/>
    </xf>
    <xf numFmtId="0" fontId="4" fillId="0" borderId="41" xfId="0" applyFont="1" applyBorder="1" applyAlignment="1">
      <alignment horizontal="center" vertical="center"/>
    </xf>
    <xf numFmtId="0" fontId="4" fillId="0" borderId="43" xfId="0" applyFont="1" applyBorder="1" applyAlignment="1">
      <alignment horizontal="center" vertical="center"/>
    </xf>
    <xf numFmtId="0" fontId="53" fillId="0" borderId="41" xfId="1" applyFont="1" applyBorder="1" applyAlignment="1" applyProtection="1">
      <alignment horizontal="center" vertical="center"/>
    </xf>
    <xf numFmtId="0" fontId="52" fillId="0" borderId="41" xfId="1" applyBorder="1" applyAlignment="1" applyProtection="1">
      <alignment horizontal="center" vertical="center" wrapText="1"/>
    </xf>
    <xf numFmtId="0" fontId="52" fillId="0" borderId="42" xfId="1" applyBorder="1" applyAlignment="1" applyProtection="1">
      <alignment horizontal="center" vertical="center" wrapText="1"/>
    </xf>
    <xf numFmtId="0" fontId="54" fillId="0" borderId="0" xfId="1" applyFont="1" applyAlignment="1" applyProtection="1">
      <alignment horizontal="center" vertical="center"/>
    </xf>
    <xf numFmtId="0" fontId="52" fillId="0" borderId="0" xfId="1" applyAlignment="1" applyProtection="1">
      <alignment horizontal="left" vertical="center" wrapText="1"/>
    </xf>
    <xf numFmtId="0" fontId="52" fillId="0" borderId="42" xfId="1" applyBorder="1" applyAlignment="1" applyProtection="1">
      <alignment horizontal="left" vertical="center" wrapText="1"/>
    </xf>
    <xf numFmtId="0" fontId="50" fillId="0" borderId="0" xfId="0" applyFont="1">
      <alignment vertical="center"/>
    </xf>
    <xf numFmtId="0" fontId="52" fillId="17" borderId="0" xfId="1" applyFill="1" applyAlignment="1" applyProtection="1">
      <alignment horizontal="center" vertical="center"/>
    </xf>
    <xf numFmtId="0" fontId="52" fillId="9" borderId="0" xfId="1" applyFill="1" applyAlignment="1" applyProtection="1">
      <alignment horizontal="center" vertical="center"/>
    </xf>
    <xf numFmtId="0" fontId="52" fillId="14" borderId="41" xfId="1" applyFill="1" applyBorder="1" applyAlignment="1" applyProtection="1">
      <alignment horizontal="center" vertical="center"/>
    </xf>
    <xf numFmtId="0" fontId="52" fillId="4" borderId="0" xfId="1" applyFill="1" applyAlignment="1" applyProtection="1">
      <alignment horizontal="center" vertical="center"/>
    </xf>
    <xf numFmtId="0" fontId="52" fillId="16" borderId="41" xfId="1" applyFill="1" applyBorder="1" applyAlignment="1" applyProtection="1">
      <alignment horizontal="center" vertical="center"/>
    </xf>
    <xf numFmtId="0" fontId="52" fillId="21" borderId="0" xfId="1" applyFill="1" applyAlignment="1" applyProtection="1">
      <alignment horizontal="center" vertical="center"/>
    </xf>
    <xf numFmtId="0" fontId="4" fillId="0" borderId="44" xfId="0" applyFont="1" applyBorder="1" applyAlignment="1">
      <alignment horizontal="center" vertical="center"/>
    </xf>
    <xf numFmtId="0" fontId="52" fillId="13" borderId="41" xfId="1" applyFill="1" applyBorder="1" applyAlignment="1" applyProtection="1">
      <alignment horizontal="center" vertical="center"/>
    </xf>
    <xf numFmtId="0" fontId="50" fillId="20" borderId="0" xfId="0" applyFont="1" applyFill="1" applyAlignment="1">
      <alignment horizontal="center" vertical="center"/>
    </xf>
    <xf numFmtId="0" fontId="52" fillId="17" borderId="41" xfId="1" applyFill="1" applyBorder="1" applyAlignment="1" applyProtection="1">
      <alignment horizontal="center" vertical="center"/>
    </xf>
    <xf numFmtId="0" fontId="4" fillId="0" borderId="47" xfId="0" applyFont="1" applyBorder="1" applyAlignment="1">
      <alignment horizontal="center" vertical="center"/>
    </xf>
    <xf numFmtId="0" fontId="52" fillId="0" borderId="42" xfId="1" applyBorder="1" applyAlignment="1" applyProtection="1">
      <alignment horizontal="center" vertical="center"/>
    </xf>
    <xf numFmtId="0" fontId="52" fillId="9" borderId="41" xfId="1" applyFill="1" applyBorder="1" applyAlignment="1" applyProtection="1">
      <alignment horizontal="center" vertical="center"/>
    </xf>
    <xf numFmtId="0" fontId="52" fillId="13" borderId="0" xfId="1" applyFill="1" applyAlignment="1" applyProtection="1">
      <alignment horizontal="center" vertical="center"/>
    </xf>
    <xf numFmtId="58" fontId="52" fillId="0" borderId="42" xfId="1" applyNumberFormat="1" applyBorder="1" applyAlignment="1" applyProtection="1">
      <alignment horizontal="center" vertical="center"/>
    </xf>
    <xf numFmtId="0" fontId="4" fillId="0" borderId="0" xfId="0" applyFont="1" applyAlignment="1">
      <alignment horizontal="center" vertical="center" wrapText="1"/>
    </xf>
    <xf numFmtId="0" fontId="52" fillId="15" borderId="41" xfId="1" applyFill="1" applyBorder="1" applyAlignment="1" applyProtection="1">
      <alignment horizontal="center" vertical="center"/>
    </xf>
    <xf numFmtId="0" fontId="50" fillId="24" borderId="44" xfId="0" applyFont="1" applyFill="1" applyBorder="1" applyAlignment="1">
      <alignment horizontal="center" vertical="center"/>
    </xf>
    <xf numFmtId="0" fontId="4" fillId="0" borderId="45" xfId="0" applyFont="1" applyBorder="1" applyAlignment="1">
      <alignment horizontal="center" vertical="center"/>
    </xf>
    <xf numFmtId="0" fontId="52" fillId="4" borderId="41" xfId="1" applyFill="1" applyBorder="1" applyAlignment="1" applyProtection="1">
      <alignment horizontal="center" vertical="center"/>
    </xf>
    <xf numFmtId="0" fontId="54" fillId="0" borderId="41" xfId="1" applyFont="1" applyBorder="1" applyAlignment="1" applyProtection="1">
      <alignment horizontal="center" vertical="center"/>
    </xf>
    <xf numFmtId="0" fontId="52" fillId="21" borderId="41" xfId="1" applyFill="1" applyBorder="1" applyAlignment="1" applyProtection="1">
      <alignment horizontal="center" vertical="center"/>
    </xf>
    <xf numFmtId="0" fontId="52" fillId="18" borderId="41" xfId="1" applyFill="1" applyBorder="1" applyAlignment="1" applyProtection="1">
      <alignment horizontal="center" vertical="center"/>
    </xf>
    <xf numFmtId="0" fontId="52" fillId="19" borderId="41" xfId="1" applyFill="1" applyBorder="1" applyAlignment="1" applyProtection="1">
      <alignment horizontal="center" vertical="center"/>
    </xf>
    <xf numFmtId="0" fontId="50" fillId="22" borderId="41" xfId="0" applyFont="1" applyFill="1" applyBorder="1" applyAlignment="1">
      <alignment horizontal="center" vertical="center"/>
    </xf>
    <xf numFmtId="0" fontId="4" fillId="23" borderId="41" xfId="0" applyFont="1" applyFill="1" applyBorder="1" applyAlignment="1">
      <alignment horizontal="center" vertical="center"/>
    </xf>
    <xf numFmtId="0" fontId="52" fillId="4" borderId="44" xfId="1" applyFill="1" applyBorder="1" applyAlignment="1" applyProtection="1">
      <alignment horizontal="center" vertical="center"/>
    </xf>
    <xf numFmtId="0" fontId="4" fillId="0" borderId="46" xfId="0" applyFont="1" applyBorder="1" applyAlignment="1">
      <alignment horizontal="center" vertical="center"/>
    </xf>
    <xf numFmtId="0" fontId="4" fillId="0" borderId="39" xfId="0" applyFont="1" applyBorder="1" applyAlignment="1">
      <alignment horizontal="center" vertical="center"/>
    </xf>
    <xf numFmtId="0" fontId="52" fillId="9" borderId="0" xfId="1" applyFill="1" applyAlignment="1" applyProtection="1">
      <alignment horizontal="center" vertical="center" wrapText="1"/>
    </xf>
    <xf numFmtId="0" fontId="52" fillId="22" borderId="0" xfId="1" applyFill="1" applyAlignment="1" applyProtection="1">
      <alignment horizontal="center" vertical="center" wrapText="1"/>
    </xf>
    <xf numFmtId="0" fontId="52" fillId="25" borderId="0" xfId="1" applyFill="1" applyAlignment="1" applyProtection="1">
      <alignment horizontal="center" vertical="center" wrapText="1"/>
    </xf>
    <xf numFmtId="0" fontId="52" fillId="7" borderId="0" xfId="1" applyFill="1" applyAlignment="1" applyProtection="1">
      <alignment horizontal="center" vertical="center" wrapText="1"/>
    </xf>
    <xf numFmtId="0" fontId="4" fillId="0" borderId="42" xfId="0" applyFont="1" applyBorder="1" applyAlignment="1">
      <alignment horizontal="center" vertical="center" wrapText="1"/>
    </xf>
    <xf numFmtId="0" fontId="52" fillId="26" borderId="0" xfId="1" applyFill="1" applyAlignment="1" applyProtection="1">
      <alignment horizontal="center" vertical="center" wrapText="1"/>
    </xf>
    <xf numFmtId="0" fontId="52" fillId="27" borderId="0" xfId="1" applyFill="1" applyAlignment="1" applyProtection="1">
      <alignment horizontal="center" vertical="center" wrapText="1"/>
    </xf>
    <xf numFmtId="0" fontId="52" fillId="28" borderId="0" xfId="1" applyFill="1" applyAlignment="1" applyProtection="1">
      <alignment horizontal="center" vertical="center" wrapText="1"/>
    </xf>
    <xf numFmtId="0" fontId="52" fillId="22" borderId="42" xfId="1" applyFill="1" applyBorder="1" applyAlignment="1" applyProtection="1">
      <alignment horizontal="center" vertical="center" wrapText="1"/>
    </xf>
    <xf numFmtId="0" fontId="55" fillId="22" borderId="0" xfId="1" applyFont="1" applyFill="1" applyAlignment="1" applyProtection="1">
      <alignment horizontal="center" vertical="center" wrapText="1"/>
    </xf>
    <xf numFmtId="0" fontId="56" fillId="0" borderId="0" xfId="1" applyFont="1" applyAlignment="1" applyProtection="1">
      <alignment horizontal="center" vertical="center" wrapText="1"/>
    </xf>
    <xf numFmtId="0" fontId="57" fillId="9" borderId="0" xfId="0" applyFont="1" applyFill="1" applyAlignment="1">
      <alignment horizontal="center" vertical="center" wrapText="1"/>
    </xf>
    <xf numFmtId="0" fontId="56" fillId="9" borderId="0" xfId="1" applyFont="1" applyFill="1" applyAlignment="1" applyProtection="1">
      <alignment horizontal="center" vertical="center" wrapText="1"/>
    </xf>
    <xf numFmtId="0" fontId="57" fillId="22" borderId="0" xfId="0" applyFont="1" applyFill="1" applyAlignment="1">
      <alignment horizontal="center" vertical="center" wrapText="1"/>
    </xf>
    <xf numFmtId="0" fontId="57" fillId="25" borderId="0" xfId="0" applyFont="1" applyFill="1" applyAlignment="1">
      <alignment horizontal="center" vertical="center" wrapText="1"/>
    </xf>
    <xf numFmtId="0" fontId="57" fillId="7" borderId="0" xfId="0" applyFont="1" applyFill="1" applyAlignment="1">
      <alignment horizontal="center" vertical="center" wrapText="1"/>
    </xf>
    <xf numFmtId="0" fontId="54" fillId="13" borderId="0" xfId="1" applyFont="1" applyFill="1" applyAlignment="1" applyProtection="1">
      <alignment horizontal="center" vertical="center"/>
    </xf>
    <xf numFmtId="0" fontId="54" fillId="14" borderId="0" xfId="1" applyFont="1" applyFill="1" applyAlignment="1" applyProtection="1">
      <alignment horizontal="center" vertical="center"/>
    </xf>
    <xf numFmtId="0" fontId="54" fillId="15" borderId="0" xfId="1" applyFont="1" applyFill="1" applyAlignment="1" applyProtection="1">
      <alignment horizontal="center" vertical="center"/>
    </xf>
    <xf numFmtId="0" fontId="54" fillId="16" borderId="0" xfId="1" applyFont="1" applyFill="1" applyAlignment="1" applyProtection="1">
      <alignment horizontal="center" vertical="center"/>
    </xf>
    <xf numFmtId="0" fontId="54" fillId="17" borderId="0" xfId="1" applyFont="1" applyFill="1" applyAlignment="1" applyProtection="1">
      <alignment horizontal="center" vertical="center"/>
    </xf>
    <xf numFmtId="0" fontId="52" fillId="20" borderId="41" xfId="1" applyFill="1" applyBorder="1" applyAlignment="1" applyProtection="1">
      <alignment horizontal="center" vertical="center"/>
    </xf>
    <xf numFmtId="0" fontId="55" fillId="0" borderId="0" xfId="1" applyFont="1" applyAlignment="1" applyProtection="1">
      <alignment horizontal="center" vertical="center" wrapText="1"/>
    </xf>
    <xf numFmtId="0" fontId="58" fillId="0" borderId="0" xfId="1" applyFont="1" applyAlignment="1" applyProtection="1">
      <alignment horizontal="center" vertical="center" wrapText="1"/>
    </xf>
    <xf numFmtId="0" fontId="54" fillId="18" borderId="0" xfId="1" applyFont="1" applyFill="1" applyAlignment="1" applyProtection="1">
      <alignment horizontal="center" vertical="center"/>
    </xf>
    <xf numFmtId="0" fontId="52" fillId="22" borderId="41" xfId="1" applyFill="1" applyBorder="1" applyAlignment="1" applyProtection="1">
      <alignment horizontal="center" vertical="center"/>
    </xf>
    <xf numFmtId="0" fontId="54" fillId="19" borderId="0" xfId="1" applyFont="1" applyFill="1" applyAlignment="1" applyProtection="1">
      <alignment horizontal="center" vertical="center"/>
    </xf>
    <xf numFmtId="0" fontId="52" fillId="23" borderId="0" xfId="1" applyFill="1" applyAlignment="1" applyProtection="1">
      <alignment horizontal="center" vertical="center"/>
    </xf>
    <xf numFmtId="0" fontId="59" fillId="20" borderId="0" xfId="0" applyFont="1" applyFill="1" applyAlignment="1">
      <alignment horizontal="center" vertical="center"/>
    </xf>
    <xf numFmtId="0" fontId="54" fillId="22" borderId="0" xfId="1" applyFont="1" applyFill="1" applyAlignment="1" applyProtection="1">
      <alignment horizontal="center" vertical="center"/>
    </xf>
    <xf numFmtId="0" fontId="60" fillId="23" borderId="0" xfId="0" applyFont="1" applyFill="1" applyAlignment="1">
      <alignment horizontal="center" vertical="center"/>
    </xf>
    <xf numFmtId="0" fontId="54" fillId="23" borderId="0" xfId="1" applyFont="1" applyFill="1" applyAlignment="1" applyProtection="1">
      <alignment horizontal="center" vertical="center"/>
    </xf>
    <xf numFmtId="0" fontId="54" fillId="4" borderId="0" xfId="1" applyFont="1" applyFill="1" applyAlignment="1" applyProtection="1">
      <alignment horizontal="center" vertical="center"/>
    </xf>
    <xf numFmtId="0" fontId="54" fillId="4" borderId="42" xfId="1" applyFont="1" applyFill="1" applyBorder="1" applyAlignment="1" applyProtection="1">
      <alignment horizontal="center" vertical="center"/>
    </xf>
    <xf numFmtId="0" fontId="52" fillId="0" borderId="47" xfId="1" applyBorder="1" applyAlignment="1" applyProtection="1">
      <alignment horizontal="left" vertical="center" wrapText="1"/>
    </xf>
    <xf numFmtId="0" fontId="52" fillId="0" borderId="45" xfId="1" applyBorder="1" applyAlignment="1" applyProtection="1">
      <alignment horizontal="left" vertical="center" wrapText="1"/>
    </xf>
    <xf numFmtId="0" fontId="52" fillId="17" borderId="41" xfId="1" applyFill="1" applyBorder="1" applyAlignment="1" applyProtection="1">
      <alignment horizontal="center" vertical="center" wrapText="1"/>
    </xf>
    <xf numFmtId="0" fontId="52" fillId="4" borderId="42" xfId="1" applyFill="1" applyBorder="1" applyAlignment="1" applyProtection="1">
      <alignment horizontal="center" vertical="center"/>
    </xf>
    <xf numFmtId="0" fontId="54" fillId="4" borderId="47" xfId="1" applyFont="1" applyFill="1" applyBorder="1" applyAlignment="1" applyProtection="1">
      <alignment horizontal="center" vertical="center"/>
    </xf>
    <xf numFmtId="0" fontId="54" fillId="4" borderId="45" xfId="1" applyFont="1" applyFill="1" applyBorder="1" applyAlignment="1" applyProtection="1">
      <alignment horizontal="center" vertical="center"/>
    </xf>
    <xf numFmtId="0" fontId="52" fillId="19" borderId="41" xfId="1" applyFill="1" applyBorder="1" applyAlignment="1" applyProtection="1">
      <alignment horizontal="center" vertical="center" wrapText="1"/>
    </xf>
    <xf numFmtId="0" fontId="4" fillId="0" borderId="47" xfId="0" applyFont="1" applyBorder="1" applyAlignment="1">
      <alignment horizontal="center" vertical="center" wrapText="1"/>
    </xf>
    <xf numFmtId="0" fontId="52" fillId="0" borderId="47" xfId="1" applyBorder="1" applyAlignment="1" applyProtection="1">
      <alignment horizontal="center" vertical="center" wrapText="1"/>
    </xf>
    <xf numFmtId="0" fontId="61" fillId="29" borderId="0" xfId="0" applyFont="1" applyFill="1" applyAlignment="1">
      <alignment horizontal="center" vertical="center"/>
    </xf>
    <xf numFmtId="0" fontId="50" fillId="30" borderId="38" xfId="0" applyFont="1" applyFill="1" applyBorder="1" applyAlignment="1">
      <alignment horizontal="center" vertical="center"/>
    </xf>
    <xf numFmtId="0" fontId="52" fillId="31" borderId="38" xfId="1" applyFill="1" applyBorder="1" applyAlignment="1" applyProtection="1">
      <alignment horizontal="center" vertical="center"/>
    </xf>
    <xf numFmtId="0" fontId="52" fillId="24" borderId="38" xfId="1" applyFill="1" applyBorder="1" applyAlignment="1" applyProtection="1">
      <alignment horizontal="center" vertical="center"/>
    </xf>
    <xf numFmtId="0" fontId="50" fillId="18" borderId="38" xfId="0" applyFont="1" applyFill="1" applyBorder="1" applyAlignment="1">
      <alignment horizontal="center" vertical="center"/>
    </xf>
    <xf numFmtId="0" fontId="50" fillId="32" borderId="0" xfId="0" applyFont="1" applyFill="1" applyAlignment="1">
      <alignment horizontal="center" vertical="center"/>
    </xf>
    <xf numFmtId="0" fontId="52" fillId="4" borderId="38" xfId="1" applyFill="1" applyBorder="1" applyAlignment="1" applyProtection="1">
      <alignment horizontal="center" vertical="center"/>
    </xf>
    <xf numFmtId="0" fontId="50" fillId="0" borderId="37" xfId="0" applyFont="1" applyBorder="1" applyAlignment="1">
      <alignment horizontal="center" vertical="center" wrapText="1"/>
    </xf>
    <xf numFmtId="0" fontId="50" fillId="0" borderId="39" xfId="0" applyFont="1" applyBorder="1" applyAlignment="1">
      <alignment horizontal="center" vertical="center" wrapText="1"/>
    </xf>
    <xf numFmtId="0" fontId="60" fillId="0" borderId="41" xfId="0" applyFont="1" applyBorder="1" applyAlignment="1">
      <alignment horizontal="center" vertical="center"/>
    </xf>
    <xf numFmtId="0" fontId="52" fillId="30" borderId="0" xfId="1" applyFill="1" applyAlignment="1" applyProtection="1">
      <alignment horizontal="center" vertical="center"/>
    </xf>
    <xf numFmtId="0" fontId="52" fillId="18" borderId="0" xfId="1" applyFill="1" applyAlignment="1" applyProtection="1">
      <alignment horizontal="center" vertical="center"/>
    </xf>
    <xf numFmtId="0" fontId="60" fillId="0" borderId="0" xfId="0" applyFont="1" applyAlignment="1">
      <alignment horizontal="center" vertical="center"/>
    </xf>
    <xf numFmtId="0" fontId="4" fillId="0" borderId="41" xfId="0" applyFont="1" applyBorder="1" applyAlignment="1">
      <alignment horizontal="center" vertical="center" wrapText="1"/>
    </xf>
    <xf numFmtId="0" fontId="50" fillId="30" borderId="0" xfId="0" applyFont="1" applyFill="1" applyAlignment="1">
      <alignment horizontal="center" vertical="center"/>
    </xf>
    <xf numFmtId="0" fontId="50" fillId="19" borderId="0" xfId="0" applyFont="1" applyFill="1" applyAlignment="1">
      <alignment horizontal="center" vertical="center"/>
    </xf>
    <xf numFmtId="0" fontId="50" fillId="18" borderId="0" xfId="0" applyFont="1" applyFill="1" applyAlignment="1">
      <alignment horizontal="center" vertical="center"/>
    </xf>
    <xf numFmtId="0" fontId="52" fillId="31" borderId="0" xfId="1" applyFill="1" applyAlignment="1" applyProtection="1">
      <alignment horizontal="center" vertical="center"/>
    </xf>
    <xf numFmtId="49" fontId="50" fillId="0" borderId="0" xfId="0" applyNumberFormat="1" applyFont="1" applyAlignment="1">
      <alignment horizontal="center" vertical="center"/>
    </xf>
    <xf numFmtId="0" fontId="50" fillId="31" borderId="0" xfId="0" applyFont="1" applyFill="1" applyAlignment="1">
      <alignment horizontal="center" vertical="center"/>
    </xf>
    <xf numFmtId="0" fontId="52" fillId="24" borderId="0" xfId="1" applyFill="1" applyAlignment="1" applyProtection="1">
      <alignment horizontal="center" vertical="center"/>
    </xf>
    <xf numFmtId="0" fontId="52" fillId="10" borderId="0" xfId="1" applyFill="1" applyAlignment="1" applyProtection="1">
      <alignment horizontal="center" vertical="center"/>
    </xf>
    <xf numFmtId="0" fontId="50" fillId="10" borderId="0" xfId="0" applyFont="1" applyFill="1" applyAlignment="1">
      <alignment horizontal="center" vertical="center"/>
    </xf>
    <xf numFmtId="0" fontId="4" fillId="20" borderId="0" xfId="0" applyFont="1" applyFill="1" applyAlignment="1">
      <alignment horizontal="center" vertical="center"/>
    </xf>
    <xf numFmtId="0" fontId="62" fillId="0" borderId="0" xfId="0" applyFont="1" applyAlignment="1">
      <alignment vertical="center" wrapText="1"/>
    </xf>
    <xf numFmtId="0" fontId="63" fillId="0" borderId="0" xfId="0" applyFont="1" applyAlignment="1">
      <alignment vertical="center" wrapText="1"/>
    </xf>
    <xf numFmtId="0" fontId="4" fillId="32" borderId="0" xfId="0" applyFont="1" applyFill="1" applyAlignment="1">
      <alignment horizontal="center" vertical="center"/>
    </xf>
    <xf numFmtId="0" fontId="50" fillId="24" borderId="0" xfId="0" applyFont="1" applyFill="1" applyAlignment="1">
      <alignment horizontal="center" vertical="center"/>
    </xf>
    <xf numFmtId="0" fontId="60" fillId="24" borderId="44" xfId="0" applyFont="1" applyFill="1" applyBorder="1" applyAlignment="1">
      <alignment horizontal="center" vertical="center"/>
    </xf>
    <xf numFmtId="0" fontId="50" fillId="18" borderId="47" xfId="0" applyFont="1" applyFill="1" applyBorder="1" applyAlignment="1">
      <alignment horizontal="center" vertical="center"/>
    </xf>
    <xf numFmtId="0" fontId="50" fillId="30" borderId="42" xfId="0" applyFont="1" applyFill="1" applyBorder="1" applyAlignment="1">
      <alignment horizontal="center" vertical="center"/>
    </xf>
    <xf numFmtId="0" fontId="53" fillId="0" borderId="38" xfId="1" applyFont="1" applyBorder="1" applyAlignment="1" applyProtection="1">
      <alignment horizontal="center" vertical="center"/>
    </xf>
    <xf numFmtId="0" fontId="57" fillId="0" borderId="0" xfId="0" applyFont="1" applyAlignment="1">
      <alignment horizontal="center" vertical="center" wrapText="1"/>
    </xf>
    <xf numFmtId="0" fontId="53" fillId="0" borderId="0" xfId="1" applyFont="1" applyAlignment="1" applyProtection="1">
      <alignment horizontal="center" vertical="center"/>
    </xf>
    <xf numFmtId="49" fontId="53" fillId="0" borderId="0" xfId="1" applyNumberFormat="1" applyFont="1" applyAlignment="1" applyProtection="1">
      <alignment horizontal="center" vertical="center"/>
    </xf>
    <xf numFmtId="0" fontId="50" fillId="19" borderId="42" xfId="0" applyFont="1" applyFill="1" applyBorder="1" applyAlignment="1">
      <alignment horizontal="center" vertical="center"/>
    </xf>
    <xf numFmtId="0" fontId="64" fillId="0" borderId="0" xfId="0" applyFont="1" applyAlignment="1">
      <alignment horizontal="center" vertical="center" wrapText="1"/>
    </xf>
    <xf numFmtId="0" fontId="65" fillId="0" borderId="0" xfId="0" applyFont="1" applyAlignment="1">
      <alignment horizontal="center" vertical="center" wrapText="1"/>
    </xf>
    <xf numFmtId="0" fontId="50" fillId="18" borderId="42" xfId="0" applyFont="1" applyFill="1" applyBorder="1" applyAlignment="1">
      <alignment horizontal="center" vertical="center"/>
    </xf>
    <xf numFmtId="0" fontId="60" fillId="0" borderId="42" xfId="0" applyFont="1" applyBorder="1" applyAlignment="1">
      <alignment horizontal="center" vertical="center"/>
    </xf>
    <xf numFmtId="0" fontId="50" fillId="0" borderId="38" xfId="0" applyFont="1" applyBorder="1" applyAlignment="1">
      <alignment horizontal="center" vertical="center" wrapText="1"/>
    </xf>
    <xf numFmtId="0" fontId="66" fillId="0" borderId="0" xfId="0" applyFont="1" applyAlignment="1">
      <alignment horizontal="center" vertical="center" wrapText="1"/>
    </xf>
    <xf numFmtId="0" fontId="64" fillId="0" borderId="42" xfId="0" applyFont="1" applyBorder="1" applyAlignment="1">
      <alignment horizontal="center" vertical="center" wrapText="1"/>
    </xf>
    <xf numFmtId="0" fontId="4" fillId="0" borderId="45" xfId="0" applyFont="1" applyBorder="1" applyAlignment="1">
      <alignment horizontal="center" vertical="center" wrapText="1"/>
    </xf>
    <xf numFmtId="0" fontId="61" fillId="29" borderId="42" xfId="0" applyFont="1" applyFill="1" applyBorder="1" applyAlignment="1">
      <alignment horizontal="center" vertical="center"/>
    </xf>
    <xf numFmtId="0" fontId="52" fillId="9" borderId="42" xfId="1" applyFill="1" applyBorder="1" applyAlignment="1" applyProtection="1">
      <alignment horizontal="center" vertical="center"/>
    </xf>
    <xf numFmtId="0" fontId="50" fillId="9" borderId="0" xfId="0" applyFont="1" applyFill="1" applyAlignment="1">
      <alignment horizontal="center" vertical="center" wrapText="1"/>
    </xf>
    <xf numFmtId="0" fontId="52" fillId="30" borderId="42" xfId="1" applyFill="1" applyBorder="1" applyAlignment="1" applyProtection="1">
      <alignment horizontal="center" vertical="center"/>
    </xf>
    <xf numFmtId="0" fontId="4" fillId="9" borderId="0" xfId="0" applyFont="1" applyFill="1" applyAlignment="1">
      <alignment horizontal="center" vertical="center" wrapText="1"/>
    </xf>
    <xf numFmtId="0" fontId="52" fillId="31" borderId="42" xfId="1" applyFill="1" applyBorder="1" applyAlignment="1" applyProtection="1">
      <alignment horizontal="center" vertical="center"/>
    </xf>
    <xf numFmtId="0" fontId="50" fillId="22" borderId="0" xfId="0" applyFont="1" applyFill="1" applyAlignment="1">
      <alignment horizontal="center" vertical="center" wrapText="1"/>
    </xf>
    <xf numFmtId="0" fontId="52" fillId="18" borderId="42" xfId="1" applyFill="1" applyBorder="1" applyAlignment="1" applyProtection="1">
      <alignment horizontal="center" vertical="center"/>
    </xf>
    <xf numFmtId="0" fontId="64" fillId="9" borderId="0" xfId="0" applyFont="1" applyFill="1" applyAlignment="1">
      <alignment horizontal="center" vertical="center" wrapText="1"/>
    </xf>
    <xf numFmtId="0" fontId="50" fillId="25" borderId="0" xfId="0" applyFont="1" applyFill="1" applyAlignment="1">
      <alignment horizontal="center" vertical="center" wrapText="1"/>
    </xf>
    <xf numFmtId="0" fontId="64" fillId="22" borderId="0" xfId="0" applyFont="1" applyFill="1" applyAlignment="1">
      <alignment horizontal="center" vertical="center" wrapText="1"/>
    </xf>
    <xf numFmtId="0" fontId="50" fillId="9" borderId="0" xfId="0" applyFont="1" applyFill="1" applyAlignment="1">
      <alignment horizontal="center" vertical="center"/>
    </xf>
    <xf numFmtId="0" fontId="50" fillId="7" borderId="0" xfId="0" applyFont="1" applyFill="1" applyAlignment="1">
      <alignment horizontal="center" vertical="center" wrapText="1"/>
    </xf>
    <xf numFmtId="0" fontId="50" fillId="0" borderId="45" xfId="0" applyFont="1" applyBorder="1" applyAlignment="1">
      <alignment horizontal="center" vertical="center" wrapText="1"/>
    </xf>
    <xf numFmtId="0" fontId="50" fillId="31" borderId="42" xfId="0" applyFont="1" applyFill="1" applyBorder="1" applyAlignment="1">
      <alignment horizontal="center" vertical="center"/>
    </xf>
    <xf numFmtId="0" fontId="64" fillId="25" borderId="0" xfId="0" applyFont="1" applyFill="1" applyAlignment="1">
      <alignment horizontal="center" vertical="center" wrapText="1"/>
    </xf>
    <xf numFmtId="0" fontId="50" fillId="26" borderId="0" xfId="0" applyFont="1" applyFill="1" applyAlignment="1">
      <alignment horizontal="center" vertical="center" wrapText="1"/>
    </xf>
    <xf numFmtId="0" fontId="50" fillId="22" borderId="41" xfId="0" applyFont="1" applyFill="1" applyBorder="1" applyAlignment="1">
      <alignment horizontal="center" vertical="center" wrapText="1"/>
    </xf>
    <xf numFmtId="0" fontId="64" fillId="7" borderId="0" xfId="0" applyFont="1" applyFill="1" applyAlignment="1">
      <alignment horizontal="center" vertical="center" wrapText="1"/>
    </xf>
    <xf numFmtId="0" fontId="50" fillId="22" borderId="42" xfId="0" applyFont="1" applyFill="1" applyBorder="1" applyAlignment="1">
      <alignment horizontal="center" vertical="center" wrapText="1"/>
    </xf>
    <xf numFmtId="0" fontId="50" fillId="26" borderId="41" xfId="0" applyFont="1" applyFill="1" applyBorder="1" applyAlignment="1">
      <alignment horizontal="center" vertical="center" wrapText="1"/>
    </xf>
    <xf numFmtId="0" fontId="50" fillId="27" borderId="0" xfId="0" applyFont="1" applyFill="1" applyAlignment="1">
      <alignment horizontal="center" vertical="center" wrapText="1"/>
    </xf>
    <xf numFmtId="0" fontId="52" fillId="24" borderId="42" xfId="1" applyFill="1" applyBorder="1" applyAlignment="1" applyProtection="1">
      <alignment horizontal="center" vertical="center"/>
    </xf>
    <xf numFmtId="0" fontId="65" fillId="0" borderId="41" xfId="0" applyFont="1" applyBorder="1" applyAlignment="1">
      <alignment horizontal="center" vertical="center" wrapText="1"/>
    </xf>
    <xf numFmtId="0" fontId="50" fillId="9" borderId="41" xfId="0" applyFont="1" applyFill="1" applyBorder="1" applyAlignment="1">
      <alignment horizontal="center" vertical="center" wrapText="1"/>
    </xf>
    <xf numFmtId="0" fontId="50" fillId="26" borderId="42" xfId="0" applyFont="1" applyFill="1" applyBorder="1" applyAlignment="1">
      <alignment horizontal="center" vertical="center" wrapText="1"/>
    </xf>
    <xf numFmtId="0" fontId="65" fillId="22" borderId="0" xfId="0" applyFont="1" applyFill="1" applyAlignment="1">
      <alignment horizontal="center" vertical="center" wrapText="1"/>
    </xf>
    <xf numFmtId="0" fontId="50" fillId="25" borderId="42" xfId="0" applyFont="1" applyFill="1" applyBorder="1" applyAlignment="1">
      <alignment horizontal="center" vertical="center" wrapText="1"/>
    </xf>
    <xf numFmtId="0" fontId="57" fillId="0" borderId="41" xfId="0" applyFont="1" applyBorder="1" applyAlignment="1">
      <alignment horizontal="center" vertical="center" wrapText="1"/>
    </xf>
    <xf numFmtId="49" fontId="50" fillId="0" borderId="42" xfId="0" applyNumberFormat="1" applyFont="1" applyBorder="1" applyAlignment="1">
      <alignment horizontal="center" vertical="center"/>
    </xf>
    <xf numFmtId="49" fontId="4" fillId="0" borderId="42" xfId="0" applyNumberFormat="1" applyFont="1" applyBorder="1" applyAlignment="1">
      <alignment horizontal="center" vertical="center"/>
    </xf>
    <xf numFmtId="0" fontId="67" fillId="25" borderId="0" xfId="0" applyFont="1" applyFill="1" applyAlignment="1">
      <alignment horizontal="center" vertical="center" wrapText="1"/>
    </xf>
    <xf numFmtId="0" fontId="67" fillId="25" borderId="42" xfId="0" applyFont="1" applyFill="1" applyBorder="1" applyAlignment="1">
      <alignment horizontal="center" vertical="center" wrapText="1"/>
    </xf>
    <xf numFmtId="0" fontId="67" fillId="0" borderId="0" xfId="0" applyFont="1" applyAlignment="1">
      <alignment horizontal="center" vertical="center" wrapText="1"/>
    </xf>
    <xf numFmtId="0" fontId="64" fillId="26" borderId="0" xfId="0" applyFont="1" applyFill="1" applyAlignment="1">
      <alignment horizontal="center" vertical="center" wrapText="1"/>
    </xf>
    <xf numFmtId="0" fontId="67" fillId="7" borderId="0" xfId="0" applyFont="1" applyFill="1" applyAlignment="1">
      <alignment horizontal="center" vertical="center" wrapText="1"/>
    </xf>
    <xf numFmtId="0" fontId="52" fillId="10" borderId="41" xfId="1" applyFill="1" applyBorder="1" applyAlignment="1" applyProtection="1">
      <alignment horizontal="center" vertical="center"/>
    </xf>
    <xf numFmtId="0" fontId="52" fillId="10" borderId="42" xfId="1" applyFill="1" applyBorder="1" applyAlignment="1" applyProtection="1">
      <alignment horizontal="center" vertical="center"/>
    </xf>
    <xf numFmtId="0" fontId="52" fillId="30" borderId="41" xfId="1" applyFill="1" applyBorder="1" applyAlignment="1" applyProtection="1">
      <alignment horizontal="center" vertical="center"/>
    </xf>
    <xf numFmtId="0" fontId="57" fillId="26" borderId="0" xfId="0" applyFont="1" applyFill="1" applyAlignment="1">
      <alignment horizontal="center" vertical="center" wrapText="1"/>
    </xf>
    <xf numFmtId="0" fontId="57" fillId="22" borderId="41" xfId="0" applyFont="1" applyFill="1" applyBorder="1" applyAlignment="1">
      <alignment horizontal="center" vertical="center" wrapText="1"/>
    </xf>
    <xf numFmtId="0" fontId="50" fillId="7" borderId="42" xfId="0" applyFont="1" applyFill="1" applyBorder="1" applyAlignment="1">
      <alignment horizontal="center" vertical="center" wrapText="1"/>
    </xf>
    <xf numFmtId="0" fontId="64" fillId="27" borderId="0" xfId="0" applyFont="1" applyFill="1" applyAlignment="1">
      <alignment horizontal="center" vertical="center" wrapText="1"/>
    </xf>
    <xf numFmtId="0" fontId="67" fillId="26" borderId="0" xfId="0" applyFont="1" applyFill="1" applyAlignment="1">
      <alignment horizontal="center" vertical="center" wrapText="1"/>
    </xf>
    <xf numFmtId="0" fontId="50" fillId="26" borderId="44" xfId="0" applyFont="1" applyFill="1" applyBorder="1" applyAlignment="1">
      <alignment horizontal="center" vertical="center" wrapText="1"/>
    </xf>
    <xf numFmtId="0" fontId="67" fillId="27" borderId="0" xfId="0" applyFont="1" applyFill="1" applyAlignment="1">
      <alignment horizontal="center" vertical="center" wrapText="1"/>
    </xf>
    <xf numFmtId="0" fontId="50" fillId="10" borderId="41" xfId="0" applyFont="1" applyFill="1" applyBorder="1" applyAlignment="1">
      <alignment horizontal="center" vertical="center"/>
    </xf>
    <xf numFmtId="0" fontId="50" fillId="10" borderId="42" xfId="0" applyFont="1" applyFill="1" applyBorder="1" applyAlignment="1">
      <alignment horizontal="center" vertical="center"/>
    </xf>
    <xf numFmtId="0" fontId="50" fillId="30" borderId="41" xfId="0" applyFont="1" applyFill="1" applyBorder="1" applyAlignment="1">
      <alignment horizontal="center" vertical="center"/>
    </xf>
    <xf numFmtId="0" fontId="51" fillId="27" borderId="0" xfId="0" applyFont="1" applyFill="1" applyAlignment="1">
      <alignment horizontal="center" vertical="center" wrapText="1"/>
    </xf>
    <xf numFmtId="0" fontId="67" fillId="26" borderId="42" xfId="0" applyFont="1" applyFill="1" applyBorder="1" applyAlignment="1">
      <alignment horizontal="center" vertical="center" wrapText="1"/>
    </xf>
    <xf numFmtId="0" fontId="50" fillId="19" borderId="41" xfId="0" applyFont="1" applyFill="1" applyBorder="1" applyAlignment="1">
      <alignment horizontal="center" vertical="center"/>
    </xf>
    <xf numFmtId="0" fontId="51" fillId="0" borderId="0" xfId="0" applyFont="1" applyAlignment="1">
      <alignment horizontal="center" vertical="center" wrapText="1"/>
    </xf>
    <xf numFmtId="0" fontId="50" fillId="18" borderId="41" xfId="0" applyFont="1" applyFill="1" applyBorder="1" applyAlignment="1">
      <alignment horizontal="center" vertical="center"/>
    </xf>
    <xf numFmtId="0" fontId="67" fillId="9" borderId="0" xfId="0" applyFont="1" applyFill="1" applyAlignment="1">
      <alignment horizontal="center" vertical="center" wrapText="1"/>
    </xf>
    <xf numFmtId="0" fontId="67" fillId="22" borderId="0" xfId="0" applyFont="1" applyFill="1" applyAlignment="1">
      <alignment horizontal="center" vertical="center" wrapText="1"/>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44" xfId="0" applyFont="1" applyBorder="1" applyAlignment="1">
      <alignment horizontal="center" vertical="center" wrapText="1"/>
    </xf>
    <xf numFmtId="0" fontId="50" fillId="24" borderId="41" xfId="0" applyFont="1" applyFill="1" applyBorder="1" applyAlignment="1">
      <alignment horizontal="center" vertical="center"/>
    </xf>
    <xf numFmtId="0" fontId="50" fillId="24" borderId="42" xfId="0" applyFont="1" applyFill="1" applyBorder="1" applyAlignment="1">
      <alignment horizontal="center" vertical="center"/>
    </xf>
    <xf numFmtId="0" fontId="60" fillId="24" borderId="41" xfId="0" applyFont="1" applyFill="1" applyBorder="1" applyAlignment="1">
      <alignment horizontal="center" vertical="center"/>
    </xf>
    <xf numFmtId="0" fontId="60" fillId="24" borderId="0" xfId="0" applyFont="1" applyFill="1" applyAlignment="1">
      <alignment horizontal="center" vertical="center"/>
    </xf>
    <xf numFmtId="0" fontId="60" fillId="24" borderId="42" xfId="0" applyFont="1" applyFill="1" applyBorder="1" applyAlignment="1">
      <alignment horizontal="center" vertical="center"/>
    </xf>
    <xf numFmtId="0" fontId="50" fillId="18" borderId="44" xfId="0" applyFont="1" applyFill="1" applyBorder="1" applyAlignment="1">
      <alignment horizontal="center" vertical="center"/>
    </xf>
    <xf numFmtId="0" fontId="50" fillId="18" borderId="45" xfId="0" applyFont="1" applyFill="1" applyBorder="1" applyAlignment="1">
      <alignment horizontal="center" vertical="center"/>
    </xf>
    <xf numFmtId="0" fontId="50" fillId="27" borderId="47" xfId="0" applyFont="1" applyFill="1" applyBorder="1" applyAlignment="1">
      <alignment horizontal="center" vertical="center" wrapText="1"/>
    </xf>
    <xf numFmtId="12" fontId="4" fillId="0" borderId="0" xfId="0" applyNumberFormat="1" applyFont="1">
      <alignment vertical="center"/>
    </xf>
    <xf numFmtId="0" fontId="4" fillId="0" borderId="0" xfId="0" applyFont="1" applyAlignment="1">
      <alignment vertical="center" wrapText="1"/>
    </xf>
    <xf numFmtId="0" fontId="50" fillId="0" borderId="38" xfId="0" applyFont="1" applyBorder="1">
      <alignment vertical="center"/>
    </xf>
    <xf numFmtId="12" fontId="50" fillId="0" borderId="0" xfId="0" applyNumberFormat="1" applyFont="1" applyAlignment="1">
      <alignment horizontal="center" vertical="center" wrapText="1"/>
    </xf>
    <xf numFmtId="0" fontId="4" fillId="0" borderId="42" xfId="0" applyFont="1" applyBorder="1" applyAlignment="1">
      <alignment vertical="center" wrapText="1"/>
    </xf>
    <xf numFmtId="0" fontId="4" fillId="0" borderId="46" xfId="0" applyFont="1" applyBorder="1" applyAlignment="1" applyProtection="1">
      <alignment horizontal="center" vertical="center"/>
      <protection locked="0"/>
    </xf>
    <xf numFmtId="12" fontId="4" fillId="0" borderId="0" xfId="0" applyNumberFormat="1" applyFont="1" applyAlignment="1">
      <alignment horizontal="center" vertical="center" wrapText="1"/>
    </xf>
    <xf numFmtId="0" fontId="4" fillId="0" borderId="47" xfId="0" applyFont="1" applyBorder="1">
      <alignment vertical="center"/>
    </xf>
    <xf numFmtId="0" fontId="50" fillId="0" borderId="41" xfId="0" applyFont="1" applyBorder="1">
      <alignment vertical="center"/>
    </xf>
    <xf numFmtId="0" fontId="68" fillId="0" borderId="41" xfId="0" applyFont="1" applyBorder="1" applyAlignment="1">
      <alignment horizontal="center" vertical="center"/>
    </xf>
    <xf numFmtId="0" fontId="4" fillId="0" borderId="0" xfId="0" applyFont="1" applyProtection="1">
      <alignment vertical="center"/>
      <protection locked="0"/>
    </xf>
    <xf numFmtId="0" fontId="4" fillId="0" borderId="41" xfId="0" applyFont="1" applyBorder="1">
      <alignment vertical="center"/>
    </xf>
    <xf numFmtId="0" fontId="50" fillId="0" borderId="44" xfId="0" applyFont="1" applyBorder="1">
      <alignment vertical="center"/>
    </xf>
    <xf numFmtId="0" fontId="53" fillId="0" borderId="47" xfId="1" applyFont="1" applyBorder="1" applyAlignment="1" applyProtection="1">
      <alignment horizontal="center" vertical="center"/>
    </xf>
    <xf numFmtId="0" fontId="4" fillId="0" borderId="47" xfId="0" applyFont="1" applyBorder="1" applyProtection="1">
      <alignment vertical="center"/>
      <protection locked="0"/>
    </xf>
    <xf numFmtId="12" fontId="4" fillId="0" borderId="42" xfId="0" applyNumberFormat="1" applyFont="1" applyBorder="1" applyAlignment="1">
      <alignment horizontal="center" vertical="center"/>
    </xf>
    <xf numFmtId="0" fontId="4" fillId="0" borderId="41" xfId="0" applyFont="1" applyBorder="1" applyAlignment="1" applyProtection="1">
      <alignment horizontal="center" vertical="center"/>
      <protection locked="0"/>
    </xf>
    <xf numFmtId="0" fontId="4" fillId="0" borderId="47" xfId="0" applyFont="1" applyBorder="1" applyAlignment="1">
      <alignment vertical="center" wrapText="1"/>
    </xf>
    <xf numFmtId="0" fontId="4" fillId="0" borderId="42" xfId="0" applyFont="1" applyBorder="1">
      <alignment vertical="center"/>
    </xf>
    <xf numFmtId="12" fontId="4" fillId="0" borderId="0" xfId="0" applyNumberFormat="1" applyFont="1" applyAlignment="1">
      <alignment horizontal="center" vertical="center"/>
    </xf>
    <xf numFmtId="0" fontId="61" fillId="33" borderId="41" xfId="0" applyFont="1" applyFill="1" applyBorder="1" applyAlignment="1">
      <alignment horizontal="center" vertical="center"/>
    </xf>
    <xf numFmtId="0" fontId="61" fillId="0" borderId="0" xfId="0" applyFont="1" applyAlignment="1">
      <alignment horizontal="center" vertical="center" wrapText="1"/>
    </xf>
    <xf numFmtId="0" fontId="50" fillId="4" borderId="0" xfId="0" applyFont="1" applyFill="1" applyAlignment="1">
      <alignment horizontal="center" vertical="center" wrapText="1"/>
    </xf>
    <xf numFmtId="0" fontId="61" fillId="33" borderId="0" xfId="0" applyFont="1" applyFill="1" applyAlignment="1">
      <alignment horizontal="center" vertical="center" wrapText="1"/>
    </xf>
    <xf numFmtId="12" fontId="4" fillId="0" borderId="47" xfId="0" applyNumberFormat="1" applyFont="1" applyBorder="1" applyAlignment="1">
      <alignment horizontal="center" vertical="center" wrapText="1"/>
    </xf>
    <xf numFmtId="0" fontId="50" fillId="0" borderId="40" xfId="0" applyFont="1" applyBorder="1" applyAlignment="1">
      <alignment horizontal="center" vertical="center" wrapText="1"/>
    </xf>
    <xf numFmtId="0" fontId="4" fillId="0" borderId="39" xfId="0" applyFont="1" applyBorder="1" applyAlignment="1">
      <alignment horizontal="center" vertical="center" wrapText="1"/>
    </xf>
    <xf numFmtId="0" fontId="50" fillId="9" borderId="38" xfId="0" applyFont="1" applyFill="1" applyBorder="1" applyAlignment="1">
      <alignment horizontal="center" vertical="center" wrapText="1"/>
    </xf>
    <xf numFmtId="0" fontId="50" fillId="0" borderId="43" xfId="0" applyFont="1" applyBorder="1" applyAlignment="1">
      <alignment horizontal="center" vertical="center" wrapText="1"/>
    </xf>
    <xf numFmtId="0" fontId="60" fillId="0" borderId="41" xfId="0" applyFont="1" applyBorder="1" applyAlignment="1">
      <alignment horizontal="center" vertical="center" wrapText="1"/>
    </xf>
    <xf numFmtId="0" fontId="4" fillId="22" borderId="0" xfId="0" applyFont="1" applyFill="1" applyAlignment="1">
      <alignment horizontal="center" vertical="center" wrapText="1"/>
    </xf>
    <xf numFmtId="0" fontId="4" fillId="25" borderId="0" xfId="0" applyFont="1" applyFill="1" applyAlignment="1">
      <alignment horizontal="center" vertical="center" wrapText="1"/>
    </xf>
    <xf numFmtId="0" fontId="4" fillId="7" borderId="0" xfId="0" applyFont="1" applyFill="1" applyAlignment="1">
      <alignment horizontal="center" vertical="center" wrapText="1"/>
    </xf>
    <xf numFmtId="0" fontId="4" fillId="26" borderId="0" xfId="0" applyFont="1" applyFill="1" applyAlignment="1">
      <alignment horizontal="center" vertical="center" wrapText="1"/>
    </xf>
    <xf numFmtId="0" fontId="4" fillId="27" borderId="0" xfId="0" applyFont="1" applyFill="1" applyAlignment="1">
      <alignment horizontal="center" vertical="center" wrapText="1"/>
    </xf>
    <xf numFmtId="0" fontId="4" fillId="9" borderId="42" xfId="0" applyFont="1" applyFill="1" applyBorder="1" applyAlignment="1">
      <alignment horizontal="center" vertical="center" wrapText="1"/>
    </xf>
    <xf numFmtId="0" fontId="50" fillId="0" borderId="46" xfId="0" applyFont="1" applyBorder="1" applyAlignment="1">
      <alignment horizontal="center" vertical="center" wrapText="1"/>
    </xf>
    <xf numFmtId="0" fontId="52" fillId="15" borderId="0" xfId="1" applyFill="1" applyAlignment="1" applyProtection="1">
      <alignment horizontal="center" vertical="center" wrapText="1"/>
    </xf>
    <xf numFmtId="0" fontId="52" fillId="16" borderId="0" xfId="1" applyFill="1" applyAlignment="1" applyProtection="1">
      <alignment horizontal="center" vertical="center" wrapText="1"/>
    </xf>
    <xf numFmtId="0" fontId="50" fillId="32" borderId="41" xfId="0" applyFont="1" applyFill="1" applyBorder="1" applyAlignment="1">
      <alignment horizontal="center" vertical="center" wrapText="1"/>
    </xf>
    <xf numFmtId="0" fontId="50" fillId="0" borderId="0" xfId="0" applyFont="1" applyAlignment="1">
      <alignment vertical="center" wrapText="1"/>
    </xf>
    <xf numFmtId="0" fontId="50" fillId="0" borderId="42" xfId="0" applyFont="1" applyBorder="1" applyAlignment="1">
      <alignment vertical="center" wrapText="1"/>
    </xf>
    <xf numFmtId="0" fontId="52" fillId="17" borderId="0" xfId="1" applyFill="1" applyAlignment="1" applyProtection="1">
      <alignment horizontal="center" vertical="center" wrapText="1"/>
    </xf>
    <xf numFmtId="0" fontId="52" fillId="18" borderId="0" xfId="1" applyFill="1" applyAlignment="1" applyProtection="1">
      <alignment horizontal="center" vertical="center" wrapText="1"/>
    </xf>
    <xf numFmtId="0" fontId="52" fillId="19" borderId="0" xfId="1" applyFill="1" applyAlignment="1" applyProtection="1">
      <alignment horizontal="center" vertical="center" wrapText="1"/>
    </xf>
    <xf numFmtId="0" fontId="4" fillId="0" borderId="41" xfId="0" applyFont="1" applyBorder="1" applyAlignment="1">
      <alignment vertical="center" wrapText="1"/>
    </xf>
    <xf numFmtId="0" fontId="4" fillId="0" borderId="43" xfId="0" applyFont="1" applyBorder="1" applyAlignment="1">
      <alignment horizontal="center" vertical="center" wrapText="1"/>
    </xf>
    <xf numFmtId="0" fontId="4" fillId="32" borderId="0" xfId="0" applyFont="1" applyFill="1" applyAlignment="1">
      <alignment horizontal="center" vertical="center" wrapText="1"/>
    </xf>
    <xf numFmtId="0" fontId="54" fillId="9" borderId="41" xfId="1" applyFont="1" applyFill="1" applyBorder="1" applyAlignment="1" applyProtection="1">
      <alignment horizontal="center" vertical="center" wrapText="1"/>
    </xf>
    <xf numFmtId="0" fontId="4" fillId="0" borderId="44" xfId="0" applyFont="1" applyBorder="1" applyAlignment="1">
      <alignment vertical="center" wrapText="1"/>
    </xf>
    <xf numFmtId="0" fontId="4" fillId="0" borderId="45" xfId="0" applyFont="1" applyBorder="1" applyAlignment="1">
      <alignment vertical="center" wrapText="1"/>
    </xf>
    <xf numFmtId="0" fontId="50" fillId="0" borderId="41" xfId="0" applyFont="1" applyBorder="1" applyAlignment="1">
      <alignment vertical="center" wrapText="1"/>
    </xf>
    <xf numFmtId="0" fontId="4" fillId="0" borderId="46" xfId="0" applyFont="1" applyBorder="1" applyAlignment="1">
      <alignment horizontal="center" vertical="center" wrapText="1"/>
    </xf>
    <xf numFmtId="0" fontId="54" fillId="15" borderId="41" xfId="1" applyFont="1" applyFill="1" applyBorder="1" applyAlignment="1" applyProtection="1">
      <alignment horizontal="center" vertical="center" wrapText="1"/>
    </xf>
    <xf numFmtId="0" fontId="50" fillId="32" borderId="0" xfId="0" applyFont="1" applyFill="1" applyAlignment="1">
      <alignment vertical="center" wrapText="1"/>
    </xf>
    <xf numFmtId="0" fontId="54" fillId="16" borderId="41" xfId="1" applyFont="1" applyFill="1" applyBorder="1" applyAlignment="1" applyProtection="1">
      <alignment horizontal="center" vertical="center" wrapText="1"/>
    </xf>
    <xf numFmtId="0" fontId="54" fillId="17" borderId="41" xfId="1" applyFont="1" applyFill="1" applyBorder="1" applyAlignment="1" applyProtection="1">
      <alignment horizontal="center" vertical="center" wrapText="1"/>
    </xf>
    <xf numFmtId="0" fontId="54" fillId="18" borderId="41" xfId="1" applyFont="1" applyFill="1" applyBorder="1" applyAlignment="1" applyProtection="1">
      <alignment horizontal="center" vertical="center" wrapText="1"/>
    </xf>
    <xf numFmtId="0" fontId="54" fillId="19" borderId="41" xfId="1" applyFont="1" applyFill="1" applyBorder="1" applyAlignment="1" applyProtection="1">
      <alignment horizontal="center" vertical="center" wrapText="1"/>
    </xf>
    <xf numFmtId="0" fontId="60" fillId="32" borderId="41" xfId="0" applyFont="1" applyFill="1" applyBorder="1" applyAlignment="1">
      <alignment horizontal="center" vertical="center" wrapText="1"/>
    </xf>
    <xf numFmtId="0" fontId="54" fillId="4" borderId="44" xfId="1" applyFont="1" applyFill="1" applyBorder="1" applyAlignment="1" applyProtection="1">
      <alignment horizontal="center" vertical="center" wrapText="1"/>
    </xf>
    <xf numFmtId="0" fontId="52" fillId="4" borderId="47" xfId="1" applyFill="1" applyBorder="1" applyAlignment="1" applyProtection="1">
      <alignment horizontal="center" vertical="center" wrapText="1"/>
    </xf>
    <xf numFmtId="0" fontId="50" fillId="9" borderId="47" xfId="0" applyFont="1" applyFill="1" applyBorder="1" applyAlignment="1">
      <alignment horizontal="center" vertical="center" wrapText="1"/>
    </xf>
    <xf numFmtId="0" fontId="4" fillId="22" borderId="47" xfId="0" applyFont="1" applyFill="1" applyBorder="1" applyAlignment="1">
      <alignment horizontal="center" vertical="center" wrapText="1"/>
    </xf>
    <xf numFmtId="0" fontId="50" fillId="25" borderId="47" xfId="0" applyFont="1" applyFill="1" applyBorder="1" applyAlignment="1">
      <alignment horizontal="center" vertical="center" wrapText="1"/>
    </xf>
    <xf numFmtId="0" fontId="4" fillId="25" borderId="47" xfId="0" applyFont="1" applyFill="1" applyBorder="1" applyAlignment="1">
      <alignment horizontal="center" vertical="center" wrapText="1"/>
    </xf>
    <xf numFmtId="0" fontId="4" fillId="7" borderId="47" xfId="0" applyFont="1" applyFill="1" applyBorder="1" applyAlignment="1">
      <alignment horizontal="center" vertical="center" wrapText="1"/>
    </xf>
    <xf numFmtId="0" fontId="4" fillId="26" borderId="47" xfId="0" applyFont="1" applyFill="1" applyBorder="1" applyAlignment="1">
      <alignment horizontal="center" vertical="center" wrapText="1"/>
    </xf>
    <xf numFmtId="0" fontId="4" fillId="27" borderId="47" xfId="0" applyFont="1" applyFill="1" applyBorder="1" applyAlignment="1">
      <alignment horizontal="center" vertical="center" wrapText="1"/>
    </xf>
    <xf numFmtId="0" fontId="4" fillId="9" borderId="47" xfId="0" applyFont="1" applyFill="1" applyBorder="1" applyAlignment="1">
      <alignment horizontal="center" vertical="center" wrapText="1"/>
    </xf>
    <xf numFmtId="0" fontId="4" fillId="9" borderId="47" xfId="0" applyFont="1" applyFill="1" applyBorder="1" applyAlignment="1">
      <alignment horizontal="center" vertical="center"/>
    </xf>
    <xf numFmtId="0" fontId="4" fillId="9" borderId="45" xfId="0" applyFont="1" applyFill="1" applyBorder="1" applyAlignment="1">
      <alignment horizontal="center" vertical="center" wrapText="1"/>
    </xf>
    <xf numFmtId="0" fontId="4" fillId="27" borderId="42" xfId="0" applyFont="1" applyFill="1" applyBorder="1" applyAlignment="1">
      <alignment horizontal="center" vertical="center" wrapText="1"/>
    </xf>
    <xf numFmtId="0" fontId="4" fillId="27" borderId="45" xfId="0" applyFont="1" applyFill="1" applyBorder="1" applyAlignment="1">
      <alignment horizontal="center" vertical="center" wrapText="1"/>
    </xf>
    <xf numFmtId="0" fontId="50" fillId="0" borderId="37" xfId="0" applyFont="1" applyBorder="1">
      <alignment vertical="center"/>
    </xf>
    <xf numFmtId="0" fontId="50" fillId="0" borderId="38" xfId="0" applyFont="1" applyBorder="1" applyAlignment="1">
      <alignment vertical="center" wrapText="1"/>
    </xf>
    <xf numFmtId="0" fontId="50" fillId="17" borderId="0" xfId="0" applyFont="1" applyFill="1" applyAlignment="1">
      <alignment horizontal="center" vertical="center"/>
    </xf>
    <xf numFmtId="0" fontId="4" fillId="0" borderId="45" xfId="0" applyFont="1" applyBorder="1">
      <alignment vertical="center"/>
    </xf>
    <xf numFmtId="0" fontId="50" fillId="18" borderId="0" xfId="0" applyFont="1" applyFill="1" applyAlignment="1">
      <alignment vertical="center" wrapText="1"/>
    </xf>
    <xf numFmtId="0" fontId="52" fillId="16" borderId="41" xfId="1" applyFill="1" applyBorder="1" applyAlignment="1" applyProtection="1">
      <alignment horizontal="left" vertical="center"/>
    </xf>
    <xf numFmtId="0" fontId="50" fillId="17" borderId="41" xfId="0" applyFont="1" applyFill="1" applyBorder="1" applyAlignment="1">
      <alignment horizontal="center" vertical="center"/>
    </xf>
    <xf numFmtId="0" fontId="4" fillId="19" borderId="0" xfId="0" applyFont="1" applyFill="1">
      <alignment vertical="center"/>
    </xf>
    <xf numFmtId="0" fontId="50" fillId="0" borderId="47" xfId="0" applyFont="1" applyBorder="1" applyAlignment="1">
      <alignment vertical="center" wrapText="1"/>
    </xf>
    <xf numFmtId="0" fontId="50" fillId="0" borderId="44" xfId="0" applyFont="1" applyBorder="1" applyAlignment="1">
      <alignment vertical="center" wrapText="1"/>
    </xf>
    <xf numFmtId="0" fontId="50" fillId="34" borderId="0" xfId="0" applyFont="1" applyFill="1" applyAlignment="1">
      <alignment horizontal="center" vertical="center" wrapText="1"/>
    </xf>
    <xf numFmtId="0" fontId="50" fillId="12" borderId="0" xfId="0" applyFont="1" applyFill="1" applyAlignment="1">
      <alignment horizontal="center" vertical="center" wrapText="1"/>
    </xf>
    <xf numFmtId="0" fontId="4" fillId="13" borderId="0" xfId="0" applyFont="1" applyFill="1" applyAlignment="1">
      <alignment horizontal="center" vertical="center" wrapText="1"/>
    </xf>
    <xf numFmtId="0" fontId="4" fillId="16" borderId="0" xfId="0" applyFont="1" applyFill="1" applyAlignment="1">
      <alignment horizontal="center" vertical="center" wrapText="1"/>
    </xf>
    <xf numFmtId="0" fontId="50" fillId="0" borderId="48" xfId="0" applyFont="1" applyBorder="1" applyAlignment="1">
      <alignment horizontal="center" vertical="center" wrapText="1"/>
    </xf>
    <xf numFmtId="0" fontId="4" fillId="0" borderId="49" xfId="0" applyFont="1" applyBorder="1" applyAlignment="1" applyProtection="1">
      <alignment horizontal="center" vertical="center" wrapText="1"/>
      <protection locked="0"/>
    </xf>
    <xf numFmtId="0" fontId="4" fillId="14" borderId="0" xfId="0" applyFont="1" applyFill="1" applyAlignment="1">
      <alignment horizontal="center" vertical="center" wrapText="1"/>
    </xf>
    <xf numFmtId="0" fontId="50" fillId="0" borderId="49" xfId="0" applyFont="1" applyBorder="1" applyAlignment="1">
      <alignment horizontal="center" vertical="center" wrapText="1"/>
    </xf>
    <xf numFmtId="0" fontId="4" fillId="34" borderId="0" xfId="0" applyFont="1" applyFill="1" applyAlignment="1">
      <alignment horizontal="center" vertical="center" wrapText="1"/>
    </xf>
    <xf numFmtId="0" fontId="4" fillId="12" borderId="0" xfId="0" applyFont="1" applyFill="1" applyAlignment="1">
      <alignment horizontal="center" vertical="center" wrapText="1"/>
    </xf>
    <xf numFmtId="0" fontId="52" fillId="19" borderId="0" xfId="1" applyFill="1" applyAlignment="1" applyProtection="1">
      <alignment horizontal="center" vertical="center"/>
    </xf>
    <xf numFmtId="0" fontId="52" fillId="35" borderId="0" xfId="1" applyFill="1" applyAlignment="1" applyProtection="1">
      <alignment horizontal="center" vertical="center"/>
    </xf>
    <xf numFmtId="0" fontId="52" fillId="36" borderId="0" xfId="1" applyFill="1" applyAlignment="1" applyProtection="1">
      <alignment horizontal="center" vertical="center"/>
    </xf>
    <xf numFmtId="0" fontId="4" fillId="17" borderId="0" xfId="0" applyFont="1" applyFill="1" applyAlignment="1">
      <alignment horizontal="center" vertical="center" wrapText="1"/>
    </xf>
    <xf numFmtId="0" fontId="50" fillId="17" borderId="0" xfId="0" applyFont="1" applyFill="1" applyAlignment="1">
      <alignment horizontal="center" vertical="center" wrapText="1"/>
    </xf>
    <xf numFmtId="0" fontId="52" fillId="35" borderId="47" xfId="1" applyFill="1" applyBorder="1" applyAlignment="1" applyProtection="1">
      <alignment horizontal="center" vertical="center"/>
    </xf>
    <xf numFmtId="0" fontId="50" fillId="0" borderId="40" xfId="0" applyFont="1" applyBorder="1" applyAlignment="1">
      <alignment vertical="center" wrapText="1"/>
    </xf>
    <xf numFmtId="0" fontId="50" fillId="0" borderId="37" xfId="0" applyFont="1" applyBorder="1" applyAlignment="1">
      <alignment vertical="center" wrapText="1"/>
    </xf>
    <xf numFmtId="0" fontId="69" fillId="0" borderId="38" xfId="0" applyFont="1" applyBorder="1" applyAlignment="1">
      <alignment vertical="center" wrapText="1"/>
    </xf>
    <xf numFmtId="0" fontId="4" fillId="0" borderId="38" xfId="0" applyFont="1" applyBorder="1" applyAlignment="1">
      <alignment vertical="center" wrapText="1"/>
    </xf>
    <xf numFmtId="0" fontId="4" fillId="0" borderId="39" xfId="0" applyFont="1" applyBorder="1" applyAlignment="1">
      <alignment vertical="center" wrapText="1"/>
    </xf>
    <xf numFmtId="0" fontId="4" fillId="0" borderId="43" xfId="0" applyFont="1" applyBorder="1" applyAlignment="1">
      <alignment vertical="center" wrapText="1"/>
    </xf>
    <xf numFmtId="0" fontId="50" fillId="0" borderId="43" xfId="0" applyFont="1" applyBorder="1" applyAlignment="1">
      <alignment vertical="center" wrapText="1"/>
    </xf>
    <xf numFmtId="0" fontId="50" fillId="0" borderId="46" xfId="0" applyFont="1" applyBorder="1" applyAlignment="1">
      <alignment vertical="center" wrapText="1"/>
    </xf>
    <xf numFmtId="0" fontId="50" fillId="20" borderId="41" xfId="0" applyFont="1" applyFill="1" applyBorder="1" applyAlignment="1">
      <alignment horizontal="center" vertical="center" wrapText="1"/>
    </xf>
    <xf numFmtId="0" fontId="4" fillId="0" borderId="46" xfId="0" applyFont="1" applyBorder="1" applyAlignment="1">
      <alignment vertical="center" wrapText="1"/>
    </xf>
    <xf numFmtId="0" fontId="50" fillId="20" borderId="44" xfId="0" applyFont="1" applyFill="1" applyBorder="1" applyAlignment="1">
      <alignment horizontal="center" vertical="center" wrapText="1"/>
    </xf>
    <xf numFmtId="0" fontId="50" fillId="0" borderId="45" xfId="0" applyFont="1" applyBorder="1" applyAlignment="1">
      <alignment vertical="center" wrapText="1"/>
    </xf>
    <xf numFmtId="0" fontId="2" fillId="4" borderId="59" xfId="0" applyFont="1" applyFill="1" applyBorder="1" applyAlignment="1">
      <alignment horizontal="center" vertical="center" wrapText="1"/>
    </xf>
    <xf numFmtId="0" fontId="1" fillId="9" borderId="60" xfId="0" applyFont="1" applyFill="1" applyBorder="1" applyAlignment="1" applyProtection="1">
      <alignment horizontal="center" vertical="center"/>
      <protection locked="0"/>
    </xf>
    <xf numFmtId="0" fontId="1" fillId="0" borderId="61" xfId="0" applyFont="1" applyBorder="1" applyAlignment="1">
      <alignment horizontal="center" vertical="center"/>
    </xf>
    <xf numFmtId="0" fontId="1" fillId="0" borderId="62" xfId="0" applyFont="1" applyBorder="1" applyAlignment="1">
      <alignment horizontal="center" vertical="center"/>
    </xf>
    <xf numFmtId="0" fontId="1" fillId="6" borderId="68" xfId="0" applyFont="1" applyFill="1" applyBorder="1" applyAlignment="1">
      <alignment horizontal="center" vertical="center"/>
    </xf>
    <xf numFmtId="0" fontId="1" fillId="6" borderId="69" xfId="0" applyFont="1" applyFill="1" applyBorder="1" applyAlignment="1">
      <alignment horizontal="center" vertical="center"/>
    </xf>
    <xf numFmtId="0" fontId="2" fillId="4" borderId="81" xfId="0" applyFont="1" applyFill="1" applyBorder="1" applyAlignment="1">
      <alignment horizontal="center" vertical="center" wrapText="1"/>
    </xf>
    <xf numFmtId="0" fontId="1" fillId="9" borderId="82" xfId="0" applyFont="1" applyFill="1" applyBorder="1" applyAlignment="1" applyProtection="1">
      <alignment horizontal="center" vertical="center"/>
      <protection locked="0"/>
    </xf>
    <xf numFmtId="0" fontId="1" fillId="0" borderId="83" xfId="0" applyFont="1" applyBorder="1" applyAlignment="1">
      <alignment horizontal="center" vertical="center"/>
    </xf>
    <xf numFmtId="0" fontId="1" fillId="0" borderId="84" xfId="0" applyFont="1" applyBorder="1" applyAlignment="1">
      <alignment horizontal="center" vertical="center"/>
    </xf>
    <xf numFmtId="0" fontId="1" fillId="2" borderId="0" xfId="2" applyFont="1" applyFill="1" applyAlignment="1" applyProtection="1">
      <alignment horizontal="center" vertical="center"/>
    </xf>
    <xf numFmtId="185" fontId="1" fillId="2" borderId="0" xfId="2" applyNumberFormat="1" applyFont="1" applyFill="1" applyAlignment="1" applyProtection="1">
      <alignment horizontal="center" vertical="center"/>
    </xf>
    <xf numFmtId="0" fontId="72" fillId="2" borderId="21" xfId="2" applyFont="1" applyFill="1" applyBorder="1" applyAlignment="1" applyProtection="1">
      <alignment horizontal="center" wrapText="1"/>
    </xf>
    <xf numFmtId="0" fontId="72" fillId="2" borderId="9" xfId="2" applyFont="1" applyFill="1" applyBorder="1" applyAlignment="1" applyProtection="1">
      <alignment horizontal="center" wrapText="1"/>
    </xf>
    <xf numFmtId="0" fontId="72" fillId="2" borderId="0" xfId="2" applyFont="1" applyFill="1" applyAlignment="1" applyProtection="1">
      <alignment horizontal="center" wrapText="1"/>
    </xf>
    <xf numFmtId="0" fontId="2" fillId="4" borderId="3" xfId="2" applyFont="1" applyFill="1" applyBorder="1" applyAlignment="1" applyProtection="1">
      <alignment horizontal="center" vertical="center" wrapText="1"/>
    </xf>
    <xf numFmtId="0" fontId="1" fillId="5" borderId="24" xfId="2" applyFont="1" applyFill="1" applyBorder="1" applyAlignment="1">
      <alignment horizontal="center" vertical="center" wrapText="1"/>
      <protection locked="0"/>
    </xf>
    <xf numFmtId="0" fontId="1" fillId="2" borderId="0" xfId="2" applyFont="1" applyFill="1" applyAlignment="1" applyProtection="1">
      <alignment horizontal="left" vertical="center"/>
    </xf>
    <xf numFmtId="0" fontId="1" fillId="5" borderId="3" xfId="2" applyFont="1" applyFill="1" applyBorder="1" applyAlignment="1">
      <alignment horizontal="center" vertical="center" wrapText="1"/>
      <protection locked="0"/>
    </xf>
    <xf numFmtId="0" fontId="1" fillId="2" borderId="0" xfId="2" applyFont="1" applyFill="1" applyAlignment="1" applyProtection="1">
      <alignment horizontal="center" vertical="center" wrapText="1"/>
    </xf>
    <xf numFmtId="0" fontId="1" fillId="5" borderId="3" xfId="2" applyFont="1" applyFill="1" applyBorder="1" applyAlignment="1" applyProtection="1">
      <alignment horizontal="center" vertical="center" wrapText="1"/>
    </xf>
    <xf numFmtId="0" fontId="2" fillId="4" borderId="1" xfId="2" applyFont="1" applyFill="1" applyBorder="1" applyAlignment="1" applyProtection="1">
      <alignment horizontal="center" vertical="center" wrapText="1"/>
    </xf>
    <xf numFmtId="0" fontId="72" fillId="2" borderId="85" xfId="2" applyFont="1" applyFill="1" applyBorder="1" applyAlignment="1" applyProtection="1">
      <alignment horizontal="center" wrapText="1"/>
    </xf>
    <xf numFmtId="0" fontId="72" fillId="2" borderId="5" xfId="2" applyFont="1" applyFill="1" applyBorder="1" applyAlignment="1" applyProtection="1">
      <alignment horizontal="center" wrapText="1"/>
    </xf>
    <xf numFmtId="185" fontId="72" fillId="2" borderId="5" xfId="2" applyNumberFormat="1" applyFont="1" applyFill="1" applyBorder="1" applyAlignment="1" applyProtection="1">
      <alignment horizontal="center" wrapText="1"/>
    </xf>
    <xf numFmtId="0" fontId="1" fillId="2" borderId="0" xfId="2" applyFont="1" applyFill="1" applyAlignment="1" applyProtection="1">
      <alignment vertical="center"/>
    </xf>
    <xf numFmtId="0" fontId="11" fillId="5" borderId="3" xfId="2" applyFont="1" applyFill="1" applyBorder="1" applyAlignment="1">
      <alignment horizontal="center" vertical="center" wrapText="1"/>
      <protection locked="0"/>
    </xf>
    <xf numFmtId="185" fontId="11" fillId="5" borderId="3" xfId="2" applyNumberFormat="1" applyFont="1" applyFill="1" applyBorder="1" applyAlignment="1" applyProtection="1">
      <alignment horizontal="center" vertical="center" wrapText="1"/>
    </xf>
    <xf numFmtId="0" fontId="11" fillId="2" borderId="0" xfId="2" applyFont="1" applyFill="1" applyAlignment="1">
      <alignment horizontal="center" vertical="center" wrapText="1"/>
      <protection locked="0"/>
    </xf>
    <xf numFmtId="185" fontId="11" fillId="2" borderId="0" xfId="2" applyNumberFormat="1" applyFont="1" applyFill="1" applyAlignment="1" applyProtection="1">
      <alignment horizontal="center" vertical="center" wrapText="1"/>
    </xf>
    <xf numFmtId="0" fontId="4" fillId="0" borderId="71" xfId="0" applyFont="1" applyBorder="1">
      <alignment vertical="center"/>
    </xf>
    <xf numFmtId="0" fontId="61" fillId="0" borderId="0" xfId="0" applyFont="1" applyProtection="1">
      <alignment vertical="center"/>
      <protection locked="0"/>
    </xf>
    <xf numFmtId="0" fontId="45" fillId="0" borderId="79" xfId="0" applyFont="1" applyBorder="1">
      <alignment vertical="center"/>
    </xf>
    <xf numFmtId="0" fontId="45" fillId="0" borderId="71" xfId="0" applyFont="1" applyBorder="1">
      <alignment vertical="center"/>
    </xf>
    <xf numFmtId="0" fontId="45" fillId="0" borderId="76" xfId="0" applyFont="1" applyBorder="1">
      <alignment vertical="center"/>
    </xf>
    <xf numFmtId="0" fontId="1" fillId="0" borderId="87" xfId="0" applyFont="1" applyBorder="1" applyAlignment="1">
      <alignment vertical="center" wrapText="1"/>
    </xf>
    <xf numFmtId="0" fontId="1" fillId="0" borderId="88" xfId="0" applyFont="1" applyBorder="1" applyAlignment="1">
      <alignment vertical="center" wrapText="1"/>
    </xf>
    <xf numFmtId="0" fontId="1" fillId="0" borderId="71" xfId="0" applyFont="1" applyBorder="1" applyAlignment="1">
      <alignment vertical="center" wrapText="1"/>
    </xf>
    <xf numFmtId="0" fontId="1" fillId="0" borderId="89" xfId="0" applyFont="1" applyBorder="1" applyAlignment="1">
      <alignment vertical="center" wrapText="1"/>
    </xf>
    <xf numFmtId="0" fontId="1" fillId="0" borderId="76" xfId="0" applyFont="1" applyBorder="1" applyAlignment="1">
      <alignment vertical="center" wrapText="1"/>
    </xf>
    <xf numFmtId="0" fontId="1" fillId="0" borderId="89" xfId="0" applyFont="1" applyBorder="1" applyAlignment="1">
      <alignment horizontal="left" vertical="center" wrapText="1"/>
    </xf>
    <xf numFmtId="0" fontId="1" fillId="0" borderId="66" xfId="0" applyFont="1" applyBorder="1" applyAlignment="1">
      <alignment vertical="center" wrapText="1"/>
    </xf>
    <xf numFmtId="0" fontId="4" fillId="0" borderId="89" xfId="0" applyFont="1" applyBorder="1">
      <alignment vertical="center"/>
    </xf>
    <xf numFmtId="0" fontId="4" fillId="0" borderId="79" xfId="0" applyFont="1" applyBorder="1">
      <alignment vertical="center"/>
    </xf>
    <xf numFmtId="0" fontId="1" fillId="0" borderId="88" xfId="0" applyFont="1" applyBorder="1">
      <alignment vertical="center"/>
    </xf>
    <xf numFmtId="0" fontId="4" fillId="0" borderId="66" xfId="0" applyFont="1" applyBorder="1">
      <alignment vertical="center"/>
    </xf>
    <xf numFmtId="0" fontId="77" fillId="0" borderId="66" xfId="3" applyBorder="1" applyAlignment="1" applyProtection="1">
      <alignment vertical="center"/>
    </xf>
    <xf numFmtId="0" fontId="77" fillId="0" borderId="71" xfId="3" applyBorder="1" applyAlignment="1" applyProtection="1">
      <alignment vertical="center"/>
    </xf>
    <xf numFmtId="0" fontId="78" fillId="0" borderId="71" xfId="0" applyFont="1" applyBorder="1" applyAlignment="1">
      <alignment vertical="center" wrapText="1"/>
    </xf>
    <xf numFmtId="0" fontId="1" fillId="0" borderId="79" xfId="0" applyFont="1" applyBorder="1" applyAlignment="1">
      <alignment vertical="center" wrapText="1"/>
    </xf>
    <xf numFmtId="0" fontId="4" fillId="0" borderId="76" xfId="0" applyFont="1" applyBorder="1">
      <alignment vertical="center"/>
    </xf>
    <xf numFmtId="0" fontId="1" fillId="0" borderId="71" xfId="0" applyFont="1" applyBorder="1">
      <alignment vertical="center"/>
    </xf>
    <xf numFmtId="0" fontId="4" fillId="0" borderId="88" xfId="0" applyFont="1" applyBorder="1">
      <alignment vertical="center"/>
    </xf>
    <xf numFmtId="0" fontId="79" fillId="2" borderId="0" xfId="0" applyFont="1" applyFill="1" applyAlignment="1">
      <alignment horizontal="center"/>
    </xf>
    <xf numFmtId="0" fontId="1" fillId="5" borderId="94" xfId="0" applyFont="1" applyFill="1" applyBorder="1" applyAlignment="1" applyProtection="1">
      <alignment horizontal="center" vertical="center" wrapText="1"/>
      <protection locked="0"/>
    </xf>
    <xf numFmtId="0" fontId="28" fillId="2" borderId="0" xfId="0" applyFont="1" applyFill="1" applyAlignment="1">
      <alignment horizontal="left" vertical="center"/>
    </xf>
    <xf numFmtId="0" fontId="1" fillId="6" borderId="94" xfId="0" applyFont="1" applyFill="1" applyBorder="1" applyAlignment="1" applyProtection="1">
      <alignment horizontal="center" vertical="center" wrapText="1"/>
      <protection locked="0"/>
    </xf>
    <xf numFmtId="0" fontId="8" fillId="2" borderId="0" xfId="0" applyFont="1" applyFill="1" applyAlignment="1">
      <alignment horizontal="center" vertical="center"/>
    </xf>
    <xf numFmtId="0" fontId="80" fillId="5" borderId="94" xfId="0" applyFont="1" applyFill="1" applyBorder="1" applyAlignment="1">
      <alignment horizontal="center" vertical="center"/>
    </xf>
    <xf numFmtId="0" fontId="80" fillId="6" borderId="94"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1" fillId="6" borderId="1" xfId="0" applyFont="1" applyFill="1" applyBorder="1" applyAlignment="1" applyProtection="1">
      <alignment horizontal="left" vertical="center"/>
      <protection locked="0"/>
    </xf>
    <xf numFmtId="0" fontId="1" fillId="6" borderId="2" xfId="0" applyFont="1" applyFill="1" applyBorder="1" applyAlignment="1" applyProtection="1">
      <alignment horizontal="left" vertical="center"/>
      <protection locked="0"/>
    </xf>
    <xf numFmtId="0" fontId="1" fillId="6" borderId="7" xfId="0" applyFont="1" applyFill="1" applyBorder="1" applyAlignment="1" applyProtection="1">
      <alignment horizontal="left" vertical="center"/>
      <protection locked="0"/>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12"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1" fillId="5" borderId="1" xfId="0" applyFont="1" applyFill="1" applyBorder="1" applyAlignment="1" applyProtection="1">
      <alignment horizontal="left" vertical="center"/>
      <protection locked="0"/>
    </xf>
    <xf numFmtId="0" fontId="1" fillId="5" borderId="2" xfId="0" applyFont="1" applyFill="1" applyBorder="1" applyAlignment="1" applyProtection="1">
      <alignment horizontal="left" vertical="center"/>
      <protection locked="0"/>
    </xf>
    <xf numFmtId="0" fontId="1" fillId="5" borderId="7" xfId="0" applyFont="1" applyFill="1" applyBorder="1" applyAlignment="1" applyProtection="1">
      <alignment horizontal="left" vertical="center"/>
      <protection locked="0"/>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10" xfId="0" applyFont="1" applyFill="1" applyBorder="1" applyAlignment="1">
      <alignment horizontal="center" vertical="center"/>
    </xf>
    <xf numFmtId="0" fontId="1" fillId="6" borderId="1" xfId="0" applyFont="1" applyFill="1" applyBorder="1" applyAlignment="1" applyProtection="1">
      <alignment horizontal="center" vertical="center"/>
      <protection locked="0"/>
    </xf>
    <xf numFmtId="0" fontId="1" fillId="6" borderId="2" xfId="0" applyFont="1" applyFill="1" applyBorder="1" applyAlignment="1" applyProtection="1">
      <alignment horizontal="center" vertical="center"/>
      <protection locked="0"/>
    </xf>
    <xf numFmtId="0" fontId="1" fillId="6" borderId="7" xfId="0" applyFont="1" applyFill="1" applyBorder="1" applyAlignment="1" applyProtection="1">
      <alignment horizontal="center" vertical="center"/>
      <protection locked="0"/>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 fillId="4" borderId="7" xfId="0" applyFont="1" applyFill="1" applyBorder="1" applyAlignment="1">
      <alignment horizontal="center" vertical="center"/>
    </xf>
    <xf numFmtId="0" fontId="1" fillId="5" borderId="1" xfId="0" applyFont="1" applyFill="1" applyBorder="1" applyAlignment="1" applyProtection="1">
      <alignment horizontal="center" vertical="center" wrapText="1"/>
      <protection locked="0"/>
    </xf>
    <xf numFmtId="0" fontId="1" fillId="5" borderId="2" xfId="0" applyFont="1" applyFill="1" applyBorder="1" applyAlignment="1" applyProtection="1">
      <alignment horizontal="center" vertical="center" wrapText="1"/>
      <protection locked="0"/>
    </xf>
    <xf numFmtId="0" fontId="1" fillId="5" borderId="7" xfId="0" applyFont="1" applyFill="1" applyBorder="1" applyAlignment="1" applyProtection="1">
      <alignment horizontal="center" vertical="center" wrapText="1"/>
      <protection locked="0"/>
    </xf>
    <xf numFmtId="0" fontId="1" fillId="6" borderId="1" xfId="0" applyFont="1" applyFill="1" applyBorder="1" applyAlignment="1" applyProtection="1">
      <alignment horizontal="center" vertical="center" wrapText="1"/>
      <protection locked="0"/>
    </xf>
    <xf numFmtId="0" fontId="1" fillId="6" borderId="2" xfId="0" applyFont="1" applyFill="1" applyBorder="1" applyAlignment="1" applyProtection="1">
      <alignment horizontal="center" vertical="center" wrapText="1"/>
      <protection locked="0"/>
    </xf>
    <xf numFmtId="0" fontId="1" fillId="6" borderId="7" xfId="0" applyFont="1" applyFill="1" applyBorder="1" applyAlignment="1" applyProtection="1">
      <alignment horizontal="center" vertical="center" wrapText="1"/>
      <protection locked="0"/>
    </xf>
    <xf numFmtId="0" fontId="1" fillId="5" borderId="3" xfId="0" applyFont="1" applyFill="1" applyBorder="1" applyAlignment="1">
      <alignment horizontal="center" vertical="center" wrapText="1"/>
    </xf>
    <xf numFmtId="0" fontId="1" fillId="5" borderId="3" xfId="0" applyFont="1" applyFill="1" applyBorder="1" applyAlignment="1">
      <alignment horizontal="center" vertical="center"/>
    </xf>
    <xf numFmtId="0" fontId="1" fillId="0" borderId="4" xfId="0" applyFont="1" applyBorder="1" applyAlignment="1" applyProtection="1">
      <alignment horizontal="left" vertical="top" wrapText="1"/>
      <protection locked="0"/>
    </xf>
    <xf numFmtId="0" fontId="1" fillId="0" borderId="5" xfId="0" applyFont="1" applyBorder="1" applyAlignment="1" applyProtection="1">
      <alignment horizontal="left" vertical="top" wrapText="1"/>
      <protection locked="0"/>
    </xf>
    <xf numFmtId="0" fontId="1" fillId="0" borderId="6" xfId="0" applyFont="1" applyBorder="1" applyAlignment="1" applyProtection="1">
      <alignment horizontal="left" vertical="top" wrapText="1"/>
      <protection locked="0"/>
    </xf>
    <xf numFmtId="0" fontId="1" fillId="0" borderId="11" xfId="0" applyFont="1" applyBorder="1" applyAlignment="1" applyProtection="1">
      <alignment horizontal="left" vertical="top" wrapText="1"/>
      <protection locked="0"/>
    </xf>
    <xf numFmtId="0" fontId="1" fillId="0" borderId="0" xfId="0" applyFont="1" applyAlignment="1" applyProtection="1">
      <alignment horizontal="left" vertical="top" wrapText="1"/>
      <protection locked="0"/>
    </xf>
    <xf numFmtId="0" fontId="1" fillId="0" borderId="12" xfId="0" applyFont="1" applyBorder="1" applyAlignment="1" applyProtection="1">
      <alignment horizontal="left" vertical="top" wrapText="1"/>
      <protection locked="0"/>
    </xf>
    <xf numFmtId="0" fontId="1" fillId="0" borderId="8" xfId="0" applyFont="1" applyBorder="1" applyAlignment="1" applyProtection="1">
      <alignment horizontal="left" vertical="top" wrapText="1"/>
      <protection locked="0"/>
    </xf>
    <xf numFmtId="0" fontId="1" fillId="0" borderId="9" xfId="0" applyFont="1" applyBorder="1" applyAlignment="1" applyProtection="1">
      <alignment horizontal="left" vertical="top" wrapText="1"/>
      <protection locked="0"/>
    </xf>
    <xf numFmtId="0" fontId="1" fillId="0" borderId="10" xfId="0" applyFont="1" applyBorder="1" applyAlignment="1" applyProtection="1">
      <alignment horizontal="left" vertical="top" wrapText="1"/>
      <protection locked="0"/>
    </xf>
    <xf numFmtId="0" fontId="2" fillId="4" borderId="3" xfId="0" applyFont="1" applyFill="1" applyBorder="1" applyAlignment="1">
      <alignment horizontal="center" vertical="center"/>
    </xf>
    <xf numFmtId="0" fontId="1" fillId="5" borderId="4" xfId="0" applyFont="1" applyFill="1" applyBorder="1" applyAlignment="1" applyProtection="1">
      <alignment horizontal="left" vertical="top" wrapText="1"/>
      <protection locked="0"/>
    </xf>
    <xf numFmtId="0" fontId="1" fillId="5" borderId="5" xfId="0" applyFont="1" applyFill="1" applyBorder="1" applyAlignment="1" applyProtection="1">
      <alignment horizontal="left" vertical="top" wrapText="1"/>
      <protection locked="0"/>
    </xf>
    <xf numFmtId="0" fontId="1" fillId="5" borderId="6" xfId="0" applyFont="1" applyFill="1" applyBorder="1" applyAlignment="1" applyProtection="1">
      <alignment horizontal="left" vertical="top" wrapText="1"/>
      <protection locked="0"/>
    </xf>
    <xf numFmtId="0" fontId="1" fillId="5" borderId="11" xfId="0" applyFont="1" applyFill="1" applyBorder="1" applyAlignment="1" applyProtection="1">
      <alignment horizontal="left" vertical="top" wrapText="1"/>
      <protection locked="0"/>
    </xf>
    <xf numFmtId="0" fontId="1" fillId="5" borderId="0" xfId="0" applyFont="1" applyFill="1" applyAlignment="1" applyProtection="1">
      <alignment horizontal="left" vertical="top" wrapText="1"/>
      <protection locked="0"/>
    </xf>
    <xf numFmtId="0" fontId="1" fillId="5" borderId="12" xfId="0" applyFont="1" applyFill="1" applyBorder="1" applyAlignment="1" applyProtection="1">
      <alignment horizontal="left" vertical="top" wrapText="1"/>
      <protection locked="0"/>
    </xf>
    <xf numFmtId="0" fontId="1" fillId="5" borderId="8" xfId="0" applyFont="1" applyFill="1" applyBorder="1" applyAlignment="1" applyProtection="1">
      <alignment horizontal="left" vertical="top" wrapText="1"/>
      <protection locked="0"/>
    </xf>
    <xf numFmtId="0" fontId="1" fillId="5" borderId="9" xfId="0" applyFont="1" applyFill="1" applyBorder="1" applyAlignment="1" applyProtection="1">
      <alignment horizontal="left" vertical="top" wrapText="1"/>
      <protection locked="0"/>
    </xf>
    <xf numFmtId="0" fontId="1" fillId="5" borderId="10" xfId="0" applyFont="1" applyFill="1" applyBorder="1" applyAlignment="1" applyProtection="1">
      <alignment horizontal="left" vertical="top" wrapText="1"/>
      <protection locked="0"/>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3" fillId="3" borderId="0" xfId="0" applyFont="1" applyFill="1" applyAlignment="1">
      <alignment horizontal="center" vertical="center"/>
    </xf>
    <xf numFmtId="0" fontId="2" fillId="3" borderId="0" xfId="0" applyFont="1" applyFill="1" applyAlignment="1">
      <alignment horizontal="center" vertical="center"/>
    </xf>
    <xf numFmtId="0" fontId="6" fillId="2" borderId="9" xfId="0" applyFont="1" applyFill="1" applyBorder="1" applyAlignment="1">
      <alignment horizontal="center" wrapText="1"/>
    </xf>
    <xf numFmtId="0" fontId="21" fillId="7" borderId="3" xfId="0" applyFont="1" applyFill="1" applyBorder="1" applyAlignment="1">
      <alignment horizontal="center" vertical="center" wrapText="1"/>
    </xf>
    <xf numFmtId="0" fontId="6" fillId="2" borderId="0" xfId="0" applyFont="1" applyFill="1" applyAlignment="1">
      <alignment horizontal="center" vertical="center" wrapText="1"/>
    </xf>
    <xf numFmtId="0" fontId="37" fillId="5" borderId="1" xfId="0" applyFont="1" applyFill="1" applyBorder="1" applyAlignment="1" applyProtection="1">
      <alignment horizontal="center" vertical="center" wrapText="1"/>
      <protection locked="0"/>
    </xf>
    <xf numFmtId="0" fontId="37" fillId="5" borderId="2" xfId="0" applyFont="1" applyFill="1" applyBorder="1" applyAlignment="1" applyProtection="1">
      <alignment horizontal="center" vertical="center" wrapText="1"/>
      <protection locked="0"/>
    </xf>
    <xf numFmtId="0" fontId="33" fillId="7" borderId="1" xfId="0" applyFont="1" applyFill="1" applyBorder="1" applyAlignment="1">
      <alignment horizontal="center" vertical="center" wrapText="1"/>
    </xf>
    <xf numFmtId="0" fontId="33" fillId="7" borderId="7" xfId="0" applyFont="1" applyFill="1" applyBorder="1" applyAlignment="1">
      <alignment horizontal="center" vertical="center" wrapText="1"/>
    </xf>
    <xf numFmtId="0" fontId="29" fillId="5" borderId="4" xfId="0" applyFont="1" applyFill="1" applyBorder="1" applyAlignment="1" applyProtection="1">
      <alignment horizontal="center" vertical="center"/>
      <protection locked="0"/>
    </xf>
    <xf numFmtId="0" fontId="29" fillId="5" borderId="5" xfId="0" applyFont="1" applyFill="1" applyBorder="1" applyAlignment="1" applyProtection="1">
      <alignment horizontal="center" vertical="center"/>
      <protection locked="0"/>
    </xf>
    <xf numFmtId="0" fontId="29" fillId="5" borderId="8" xfId="0" applyFont="1" applyFill="1" applyBorder="1" applyAlignment="1" applyProtection="1">
      <alignment horizontal="center" vertical="center"/>
      <protection locked="0"/>
    </xf>
    <xf numFmtId="0" fontId="29" fillId="5" borderId="9" xfId="0" applyFont="1" applyFill="1" applyBorder="1" applyAlignment="1" applyProtection="1">
      <alignment horizontal="center" vertical="center"/>
      <protection locked="0"/>
    </xf>
    <xf numFmtId="0" fontId="41" fillId="9" borderId="1" xfId="0" applyFont="1" applyFill="1" applyBorder="1" applyAlignment="1">
      <alignment horizontal="center" vertical="center"/>
    </xf>
    <xf numFmtId="0" fontId="41" fillId="9" borderId="7" xfId="0" applyFont="1" applyFill="1" applyBorder="1" applyAlignment="1">
      <alignment horizontal="center" vertical="center"/>
    </xf>
    <xf numFmtId="0" fontId="6" fillId="2" borderId="2" xfId="0" applyFont="1" applyFill="1" applyBorder="1" applyAlignment="1">
      <alignment horizontal="center"/>
    </xf>
    <xf numFmtId="0" fontId="6" fillId="2" borderId="0" xfId="0" applyFont="1" applyFill="1" applyAlignment="1">
      <alignment horizontal="center" vertical="center"/>
    </xf>
    <xf numFmtId="0" fontId="6" fillId="2" borderId="5" xfId="0" applyFont="1" applyFill="1" applyBorder="1" applyAlignment="1">
      <alignment horizontal="center" vertical="center" wrapText="1"/>
    </xf>
    <xf numFmtId="0" fontId="1" fillId="0" borderId="3" xfId="0" applyFont="1" applyBorder="1" applyAlignment="1" applyProtection="1">
      <alignment horizontal="center" vertical="center" wrapText="1"/>
      <protection locked="0"/>
    </xf>
    <xf numFmtId="0" fontId="1" fillId="8" borderId="4" xfId="0" applyFont="1" applyFill="1" applyBorder="1" applyAlignment="1">
      <alignment horizontal="center" vertical="center" wrapText="1"/>
    </xf>
    <xf numFmtId="0" fontId="1" fillId="8" borderId="6" xfId="0" applyFont="1" applyFill="1" applyBorder="1" applyAlignment="1">
      <alignment horizontal="center" vertical="center" wrapText="1"/>
    </xf>
    <xf numFmtId="182" fontId="1" fillId="6" borderId="3"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12" borderId="7" xfId="0" applyFont="1" applyFill="1" applyBorder="1" applyAlignment="1">
      <alignment horizontal="center" vertical="center" wrapText="1"/>
    </xf>
    <xf numFmtId="49" fontId="31" fillId="5" borderId="3" xfId="0" applyNumberFormat="1" applyFont="1" applyFill="1" applyBorder="1" applyAlignment="1" applyProtection="1">
      <alignment horizontal="center" vertical="center" wrapText="1"/>
      <protection locked="0"/>
    </xf>
    <xf numFmtId="49" fontId="31" fillId="9" borderId="1" xfId="0" applyNumberFormat="1" applyFont="1" applyFill="1" applyBorder="1" applyAlignment="1" applyProtection="1">
      <alignment horizontal="center" vertical="center"/>
      <protection locked="0"/>
    </xf>
    <xf numFmtId="49" fontId="31" fillId="9" borderId="7" xfId="0" applyNumberFormat="1" applyFont="1" applyFill="1" applyBorder="1" applyAlignment="1" applyProtection="1">
      <alignment horizontal="center" vertical="center"/>
      <protection locked="0"/>
    </xf>
    <xf numFmtId="0" fontId="6" fillId="2" borderId="9" xfId="0" applyFont="1" applyFill="1" applyBorder="1" applyAlignment="1">
      <alignment horizontal="center"/>
    </xf>
    <xf numFmtId="49" fontId="8" fillId="5" borderId="1" xfId="0" applyNumberFormat="1" applyFont="1" applyFill="1" applyBorder="1" applyAlignment="1" applyProtection="1">
      <alignment horizontal="center" vertical="center" wrapText="1"/>
      <protection locked="0"/>
    </xf>
    <xf numFmtId="49" fontId="8" fillId="5" borderId="2" xfId="0" applyNumberFormat="1" applyFont="1" applyFill="1" applyBorder="1" applyAlignment="1" applyProtection="1">
      <alignment horizontal="center" vertical="center" wrapText="1"/>
      <protection locked="0"/>
    </xf>
    <xf numFmtId="49" fontId="8" fillId="5" borderId="7" xfId="0" applyNumberFormat="1" applyFont="1" applyFill="1" applyBorder="1" applyAlignment="1" applyProtection="1">
      <alignment horizontal="center" vertical="center" wrapText="1"/>
      <protection locked="0"/>
    </xf>
    <xf numFmtId="49" fontId="8" fillId="6" borderId="2" xfId="0" applyNumberFormat="1" applyFont="1" applyFill="1" applyBorder="1" applyAlignment="1" applyProtection="1">
      <alignment horizontal="center" vertical="center" wrapText="1"/>
      <protection locked="0"/>
    </xf>
    <xf numFmtId="49" fontId="8" fillId="6" borderId="7" xfId="0" applyNumberFormat="1" applyFont="1" applyFill="1" applyBorder="1" applyAlignment="1" applyProtection="1">
      <alignment horizontal="center" vertical="center" wrapText="1"/>
      <protection locked="0"/>
    </xf>
    <xf numFmtId="0" fontId="1" fillId="8" borderId="1"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1" fillId="5" borderId="1" xfId="0" applyFont="1" applyFill="1" applyBorder="1" applyAlignment="1" applyProtection="1">
      <alignment horizontal="center" vertical="center"/>
      <protection locked="0"/>
    </xf>
    <xf numFmtId="0" fontId="1" fillId="5" borderId="7" xfId="0" applyFont="1" applyFill="1" applyBorder="1" applyAlignment="1" applyProtection="1">
      <alignment horizontal="center" vertical="center"/>
      <protection locked="0"/>
    </xf>
    <xf numFmtId="0" fontId="1" fillId="5" borderId="1" xfId="0" applyFont="1" applyFill="1" applyBorder="1" applyAlignment="1" applyProtection="1">
      <alignment horizontal="left" vertical="center" wrapText="1"/>
      <protection locked="0"/>
    </xf>
    <xf numFmtId="0" fontId="1" fillId="5" borderId="2" xfId="0" applyFont="1" applyFill="1" applyBorder="1" applyAlignment="1" applyProtection="1">
      <alignment horizontal="left" vertical="center" wrapText="1"/>
      <protection locked="0"/>
    </xf>
    <xf numFmtId="0" fontId="1" fillId="5" borderId="7" xfId="0" applyFont="1" applyFill="1" applyBorder="1" applyAlignment="1" applyProtection="1">
      <alignment horizontal="left" vertical="center" wrapText="1"/>
      <protection locked="0"/>
    </xf>
    <xf numFmtId="49" fontId="31" fillId="5" borderId="1" xfId="0" applyNumberFormat="1" applyFont="1" applyFill="1" applyBorder="1" applyAlignment="1" applyProtection="1">
      <alignment horizontal="left" vertical="center" wrapText="1"/>
      <protection locked="0"/>
    </xf>
    <xf numFmtId="49" fontId="31" fillId="5" borderId="2" xfId="0" applyNumberFormat="1" applyFont="1" applyFill="1" applyBorder="1" applyAlignment="1" applyProtection="1">
      <alignment horizontal="left" vertical="center" wrapText="1"/>
      <protection locked="0"/>
    </xf>
    <xf numFmtId="49" fontId="31" fillId="5" borderId="7" xfId="0" applyNumberFormat="1" applyFont="1" applyFill="1" applyBorder="1" applyAlignment="1" applyProtection="1">
      <alignment horizontal="left" vertical="center" wrapText="1"/>
      <protection locked="0"/>
    </xf>
    <xf numFmtId="49" fontId="31" fillId="6" borderId="1" xfId="0" applyNumberFormat="1" applyFont="1" applyFill="1" applyBorder="1" applyAlignment="1" applyProtection="1">
      <alignment horizontal="left" vertical="center" wrapText="1"/>
      <protection locked="0"/>
    </xf>
    <xf numFmtId="49" fontId="31" fillId="6" borderId="2" xfId="0" applyNumberFormat="1" applyFont="1" applyFill="1" applyBorder="1" applyAlignment="1" applyProtection="1">
      <alignment horizontal="left" vertical="center" wrapText="1"/>
      <protection locked="0"/>
    </xf>
    <xf numFmtId="49" fontId="31" fillId="6" borderId="7" xfId="0" applyNumberFormat="1" applyFont="1" applyFill="1" applyBorder="1" applyAlignment="1" applyProtection="1">
      <alignment horizontal="left" vertical="center" wrapText="1"/>
      <protection locked="0"/>
    </xf>
    <xf numFmtId="0" fontId="2" fillId="3" borderId="0" xfId="0" applyFont="1" applyFill="1" applyAlignment="1">
      <alignment horizontal="center" vertical="center" wrapText="1"/>
    </xf>
    <xf numFmtId="49" fontId="31" fillId="6" borderId="3" xfId="0" applyNumberFormat="1" applyFont="1" applyFill="1" applyBorder="1" applyAlignment="1" applyProtection="1">
      <alignment horizontal="left" vertical="center" wrapText="1"/>
      <protection locked="0"/>
    </xf>
    <xf numFmtId="49" fontId="31" fillId="5" borderId="1" xfId="0" applyNumberFormat="1" applyFont="1" applyFill="1" applyBorder="1" applyAlignment="1" applyProtection="1">
      <alignment horizontal="center" vertical="center" wrapText="1"/>
      <protection locked="0"/>
    </xf>
    <xf numFmtId="49" fontId="31" fillId="5" borderId="2" xfId="0" applyNumberFormat="1" applyFont="1" applyFill="1" applyBorder="1" applyAlignment="1" applyProtection="1">
      <alignment horizontal="center" vertical="center" wrapText="1"/>
      <protection locked="0"/>
    </xf>
    <xf numFmtId="49" fontId="31" fillId="5" borderId="7" xfId="0" applyNumberFormat="1" applyFont="1" applyFill="1" applyBorder="1" applyAlignment="1" applyProtection="1">
      <alignment horizontal="center" vertical="center" wrapText="1"/>
      <protection locked="0"/>
    </xf>
    <xf numFmtId="0" fontId="6" fillId="2" borderId="2" xfId="0" applyFont="1" applyFill="1" applyBorder="1" applyAlignment="1">
      <alignment horizontal="center" wrapText="1"/>
    </xf>
    <xf numFmtId="0" fontId="11" fillId="5" borderId="3" xfId="0" applyFont="1" applyFill="1" applyBorder="1" applyAlignment="1" applyProtection="1">
      <alignment horizontal="center" vertical="center" wrapText="1"/>
      <protection locked="0"/>
    </xf>
    <xf numFmtId="49" fontId="31" fillId="6" borderId="2" xfId="0" applyNumberFormat="1" applyFont="1" applyFill="1" applyBorder="1" applyAlignment="1" applyProtection="1">
      <alignment horizontal="center" vertical="center"/>
      <protection locked="0"/>
    </xf>
    <xf numFmtId="49" fontId="31" fillId="6" borderId="7" xfId="0" applyNumberFormat="1" applyFont="1" applyFill="1" applyBorder="1" applyAlignment="1" applyProtection="1">
      <alignment horizontal="center" vertical="center"/>
      <protection locked="0"/>
    </xf>
    <xf numFmtId="49" fontId="8" fillId="9" borderId="3" xfId="0" applyNumberFormat="1" applyFont="1" applyFill="1" applyBorder="1" applyAlignment="1" applyProtection="1">
      <alignment horizontal="center" vertical="center"/>
      <protection locked="0"/>
    </xf>
    <xf numFmtId="0" fontId="31" fillId="5" borderId="1" xfId="0" applyFont="1" applyFill="1" applyBorder="1" applyAlignment="1" applyProtection="1">
      <alignment horizontal="center" vertical="center" wrapText="1"/>
      <protection locked="0"/>
    </xf>
    <xf numFmtId="0" fontId="31" fillId="5" borderId="7" xfId="0" applyFont="1" applyFill="1" applyBorder="1" applyAlignment="1" applyProtection="1">
      <alignment horizontal="center" vertical="center" wrapText="1"/>
      <protection locked="0"/>
    </xf>
    <xf numFmtId="49" fontId="1" fillId="5" borderId="4" xfId="0" applyNumberFormat="1" applyFont="1" applyFill="1" applyBorder="1" applyAlignment="1" applyProtection="1">
      <alignment horizontal="left" vertical="center" wrapText="1"/>
      <protection locked="0"/>
    </xf>
    <xf numFmtId="49" fontId="1" fillId="5" borderId="5" xfId="0" applyNumberFormat="1" applyFont="1" applyFill="1" applyBorder="1" applyAlignment="1" applyProtection="1">
      <alignment horizontal="left" vertical="center" wrapText="1"/>
      <protection locked="0"/>
    </xf>
    <xf numFmtId="49" fontId="1" fillId="5" borderId="6" xfId="0" applyNumberFormat="1" applyFont="1" applyFill="1" applyBorder="1" applyAlignment="1" applyProtection="1">
      <alignment horizontal="left" vertical="center" wrapText="1"/>
      <protection locked="0"/>
    </xf>
    <xf numFmtId="49" fontId="1" fillId="5" borderId="8" xfId="0" applyNumberFormat="1" applyFont="1" applyFill="1" applyBorder="1" applyAlignment="1" applyProtection="1">
      <alignment horizontal="left" vertical="center" wrapText="1"/>
      <protection locked="0"/>
    </xf>
    <xf numFmtId="49" fontId="1" fillId="5" borderId="9" xfId="0" applyNumberFormat="1" applyFont="1" applyFill="1" applyBorder="1" applyAlignment="1" applyProtection="1">
      <alignment horizontal="left" vertical="center" wrapText="1"/>
      <protection locked="0"/>
    </xf>
    <xf numFmtId="49" fontId="1" fillId="5" borderId="10" xfId="0" applyNumberFormat="1" applyFont="1" applyFill="1" applyBorder="1" applyAlignment="1" applyProtection="1">
      <alignment horizontal="left" vertical="center" wrapText="1"/>
      <protection locked="0"/>
    </xf>
    <xf numFmtId="0" fontId="1" fillId="12"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0" fillId="2" borderId="13" xfId="0" applyFont="1" applyFill="1" applyBorder="1" applyAlignment="1">
      <alignment horizontal="left" vertical="center" wrapText="1"/>
    </xf>
    <xf numFmtId="0" fontId="43" fillId="11" borderId="1" xfId="0" applyFont="1" applyFill="1" applyBorder="1" applyAlignment="1">
      <alignment horizontal="center" vertical="center" wrapText="1"/>
    </xf>
    <xf numFmtId="0" fontId="43" fillId="11" borderId="7" xfId="0" applyFont="1" applyFill="1" applyBorder="1" applyAlignment="1">
      <alignment horizontal="center" vertical="center" wrapText="1"/>
    </xf>
    <xf numFmtId="0" fontId="8" fillId="5" borderId="3" xfId="0" applyFont="1" applyFill="1" applyBorder="1" applyAlignment="1">
      <alignment horizontal="center" vertical="center" wrapText="1"/>
    </xf>
    <xf numFmtId="49" fontId="31" fillId="6" borderId="1" xfId="0" applyNumberFormat="1" applyFont="1" applyFill="1" applyBorder="1" applyAlignment="1" applyProtection="1">
      <alignment horizontal="center" vertical="center"/>
      <protection locked="0"/>
    </xf>
    <xf numFmtId="49" fontId="31" fillId="6" borderId="1" xfId="0" applyNumberFormat="1" applyFont="1" applyFill="1" applyBorder="1" applyAlignment="1" applyProtection="1">
      <alignment horizontal="center" vertical="center" wrapText="1"/>
      <protection locked="0"/>
    </xf>
    <xf numFmtId="49" fontId="31" fillId="6" borderId="2" xfId="0" applyNumberFormat="1" applyFont="1" applyFill="1" applyBorder="1" applyAlignment="1" applyProtection="1">
      <alignment horizontal="center" vertical="center" wrapText="1"/>
      <protection locked="0"/>
    </xf>
    <xf numFmtId="49" fontId="31" fillId="6" borderId="7" xfId="0" applyNumberFormat="1" applyFont="1" applyFill="1" applyBorder="1" applyAlignment="1" applyProtection="1">
      <alignment horizontal="center" vertical="center" wrapText="1"/>
      <protection locked="0"/>
    </xf>
    <xf numFmtId="0" fontId="1" fillId="8" borderId="2" xfId="0" applyFont="1" applyFill="1" applyBorder="1" applyAlignment="1">
      <alignment horizontal="center" vertical="center" wrapText="1"/>
    </xf>
    <xf numFmtId="0" fontId="31" fillId="5" borderId="3" xfId="0" applyFont="1" applyFill="1" applyBorder="1" applyAlignment="1" applyProtection="1">
      <alignment horizontal="center" vertical="center"/>
      <protection locked="0"/>
    </xf>
    <xf numFmtId="0" fontId="31" fillId="5" borderId="1" xfId="0" applyFont="1" applyFill="1" applyBorder="1" applyAlignment="1" applyProtection="1">
      <alignment horizontal="center" vertical="center"/>
      <protection locked="0"/>
    </xf>
    <xf numFmtId="0" fontId="3" fillId="3" borderId="0" xfId="0" applyFont="1" applyFill="1" applyAlignment="1">
      <alignment horizontal="center" vertical="center" wrapText="1"/>
    </xf>
    <xf numFmtId="49" fontId="31" fillId="5" borderId="3" xfId="0" applyNumberFormat="1" applyFont="1" applyFill="1" applyBorder="1" applyAlignment="1" applyProtection="1">
      <alignment horizontal="left" vertical="center" wrapText="1"/>
      <protection locked="0"/>
    </xf>
    <xf numFmtId="0" fontId="37" fillId="5" borderId="2" xfId="0" applyFont="1" applyFill="1" applyBorder="1" applyAlignment="1">
      <alignment horizontal="center" vertical="center" wrapText="1"/>
    </xf>
    <xf numFmtId="0" fontId="37" fillId="5" borderId="7" xfId="0" applyFont="1" applyFill="1" applyBorder="1" applyAlignment="1">
      <alignment horizontal="center" vertical="center" wrapText="1"/>
    </xf>
    <xf numFmtId="49" fontId="31" fillId="5" borderId="2" xfId="0" applyNumberFormat="1" applyFont="1" applyFill="1" applyBorder="1" applyAlignment="1" applyProtection="1">
      <alignment horizontal="center" vertical="center"/>
      <protection locked="0"/>
    </xf>
    <xf numFmtId="49" fontId="31" fillId="5" borderId="7" xfId="0" applyNumberFormat="1" applyFont="1" applyFill="1" applyBorder="1" applyAlignment="1" applyProtection="1">
      <alignment horizontal="center" vertical="center"/>
      <protection locked="0"/>
    </xf>
    <xf numFmtId="0" fontId="2" fillId="3" borderId="9" xfId="0" applyFont="1" applyFill="1" applyBorder="1" applyAlignment="1">
      <alignment horizontal="center" vertical="center" wrapText="1"/>
    </xf>
    <xf numFmtId="49" fontId="44" fillId="5" borderId="4" xfId="0" applyNumberFormat="1" applyFont="1" applyFill="1" applyBorder="1" applyAlignment="1" applyProtection="1">
      <alignment horizontal="left" vertical="top" wrapText="1"/>
      <protection locked="0"/>
    </xf>
    <xf numFmtId="49" fontId="44" fillId="5" borderId="5" xfId="0" applyNumberFormat="1" applyFont="1" applyFill="1" applyBorder="1" applyAlignment="1" applyProtection="1">
      <alignment horizontal="left" vertical="top" wrapText="1"/>
      <protection locked="0"/>
    </xf>
    <xf numFmtId="49" fontId="44" fillId="5" borderId="6" xfId="0" applyNumberFormat="1" applyFont="1" applyFill="1" applyBorder="1" applyAlignment="1" applyProtection="1">
      <alignment horizontal="left" vertical="top" wrapText="1"/>
      <protection locked="0"/>
    </xf>
    <xf numFmtId="49" fontId="44" fillId="5" borderId="11" xfId="0" applyNumberFormat="1" applyFont="1" applyFill="1" applyBorder="1" applyAlignment="1" applyProtection="1">
      <alignment horizontal="left" vertical="top" wrapText="1"/>
      <protection locked="0"/>
    </xf>
    <xf numFmtId="49" fontId="44" fillId="5" borderId="0" xfId="0" applyNumberFormat="1" applyFont="1" applyFill="1" applyAlignment="1" applyProtection="1">
      <alignment horizontal="left" vertical="top" wrapText="1"/>
      <protection locked="0"/>
    </xf>
    <xf numFmtId="49" fontId="44" fillId="5" borderId="12" xfId="0" applyNumberFormat="1" applyFont="1" applyFill="1" applyBorder="1" applyAlignment="1" applyProtection="1">
      <alignment horizontal="left" vertical="top" wrapText="1"/>
      <protection locked="0"/>
    </xf>
    <xf numFmtId="49" fontId="44" fillId="5" borderId="8" xfId="0" applyNumberFormat="1" applyFont="1" applyFill="1" applyBorder="1" applyAlignment="1" applyProtection="1">
      <alignment horizontal="left" vertical="top" wrapText="1"/>
      <protection locked="0"/>
    </xf>
    <xf numFmtId="49" fontId="44" fillId="5" borderId="9" xfId="0" applyNumberFormat="1" applyFont="1" applyFill="1" applyBorder="1" applyAlignment="1" applyProtection="1">
      <alignment horizontal="left" vertical="top" wrapText="1"/>
      <protection locked="0"/>
    </xf>
    <xf numFmtId="49" fontId="44" fillId="5" borderId="10" xfId="0" applyNumberFormat="1" applyFont="1" applyFill="1" applyBorder="1" applyAlignment="1" applyProtection="1">
      <alignment horizontal="left" vertical="top" wrapText="1"/>
      <protection locked="0"/>
    </xf>
    <xf numFmtId="0" fontId="31" fillId="5" borderId="1" xfId="0" applyFont="1" applyFill="1" applyBorder="1" applyAlignment="1">
      <alignment horizontal="center" vertical="center"/>
    </xf>
    <xf numFmtId="0" fontId="31" fillId="5" borderId="2" xfId="0" applyFont="1" applyFill="1" applyBorder="1" applyAlignment="1">
      <alignment horizontal="center" vertical="center"/>
    </xf>
    <xf numFmtId="0" fontId="31" fillId="5" borderId="15" xfId="0" applyFont="1" applyFill="1" applyBorder="1" applyAlignment="1">
      <alignment horizontal="center" vertical="center"/>
    </xf>
    <xf numFmtId="49" fontId="31" fillId="5" borderId="1" xfId="0" applyNumberFormat="1" applyFont="1" applyFill="1" applyBorder="1" applyAlignment="1" applyProtection="1">
      <alignment horizontal="center" vertical="center"/>
      <protection locked="0"/>
    </xf>
    <xf numFmtId="0" fontId="19" fillId="7" borderId="3" xfId="0" applyFont="1" applyFill="1" applyBorder="1" applyAlignment="1">
      <alignment horizontal="center" vertical="center" wrapText="1"/>
    </xf>
    <xf numFmtId="0" fontId="6" fillId="2" borderId="5" xfId="0" applyFont="1" applyFill="1" applyBorder="1" applyAlignment="1">
      <alignment horizontal="center" wrapText="1"/>
    </xf>
    <xf numFmtId="0" fontId="14" fillId="2" borderId="13" xfId="0" applyFont="1" applyFill="1" applyBorder="1" applyAlignment="1">
      <alignment horizontal="center" vertical="center" wrapText="1"/>
    </xf>
    <xf numFmtId="49" fontId="8" fillId="5" borderId="1" xfId="0" applyNumberFormat="1" applyFont="1" applyFill="1" applyBorder="1" applyAlignment="1" applyProtection="1">
      <alignment horizontal="center" vertical="center"/>
      <protection locked="0"/>
    </xf>
    <xf numFmtId="49" fontId="8" fillId="5" borderId="2" xfId="0" applyNumberFormat="1" applyFont="1" applyFill="1" applyBorder="1" applyAlignment="1" applyProtection="1">
      <alignment horizontal="center" vertical="center"/>
      <protection locked="0"/>
    </xf>
    <xf numFmtId="49" fontId="8" fillId="5" borderId="7" xfId="0" applyNumberFormat="1" applyFont="1" applyFill="1" applyBorder="1" applyAlignment="1" applyProtection="1">
      <alignment horizontal="center" vertical="center"/>
      <protection locked="0"/>
    </xf>
    <xf numFmtId="0" fontId="6" fillId="2" borderId="21" xfId="0" applyFont="1" applyFill="1" applyBorder="1" applyAlignment="1">
      <alignment horizontal="left" wrapText="1"/>
    </xf>
    <xf numFmtId="49" fontId="31" fillId="9" borderId="4" xfId="0" applyNumberFormat="1" applyFont="1" applyFill="1" applyBorder="1" applyAlignment="1" applyProtection="1">
      <alignment horizontal="center" vertical="center"/>
      <protection locked="0"/>
    </xf>
    <xf numFmtId="49" fontId="31" fillId="9" borderId="6" xfId="0" applyNumberFormat="1" applyFont="1" applyFill="1" applyBorder="1" applyAlignment="1" applyProtection="1">
      <alignment horizontal="center" vertical="center"/>
      <protection locked="0"/>
    </xf>
    <xf numFmtId="0" fontId="6" fillId="2" borderId="0" xfId="0" applyFont="1" applyFill="1" applyAlignment="1">
      <alignment horizont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12"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3" xfId="0" applyFont="1" applyFill="1" applyBorder="1" applyAlignment="1" applyProtection="1">
      <alignment horizontal="center" vertical="center" wrapText="1"/>
      <protection locked="0"/>
    </xf>
    <xf numFmtId="0" fontId="11" fillId="5" borderId="4" xfId="0" applyFont="1" applyFill="1" applyBorder="1" applyAlignment="1" applyProtection="1">
      <alignment horizontal="center" vertical="center" wrapText="1"/>
      <protection locked="0"/>
    </xf>
    <xf numFmtId="0" fontId="11" fillId="5" borderId="6" xfId="0" applyFont="1" applyFill="1" applyBorder="1" applyAlignment="1" applyProtection="1">
      <alignment horizontal="center" vertical="center" wrapText="1"/>
      <protection locked="0"/>
    </xf>
    <xf numFmtId="0" fontId="11" fillId="5" borderId="5"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29" fillId="5" borderId="5" xfId="0" applyFont="1" applyFill="1" applyBorder="1" applyAlignment="1" applyProtection="1">
      <alignment horizontal="center" vertical="center" wrapText="1"/>
      <protection locked="0"/>
    </xf>
    <xf numFmtId="0" fontId="29" fillId="5" borderId="9" xfId="0" applyFont="1" applyFill="1" applyBorder="1" applyAlignment="1" applyProtection="1">
      <alignment horizontal="center" vertical="center" wrapText="1"/>
      <protection locked="0"/>
    </xf>
    <xf numFmtId="49" fontId="1" fillId="5" borderId="2" xfId="0" applyNumberFormat="1" applyFont="1" applyFill="1" applyBorder="1" applyAlignment="1" applyProtection="1">
      <alignment horizontal="center" vertical="center" wrapText="1"/>
      <protection locked="0"/>
    </xf>
    <xf numFmtId="49" fontId="1" fillId="5" borderId="7" xfId="0" applyNumberFormat="1" applyFont="1" applyFill="1" applyBorder="1" applyAlignment="1" applyProtection="1">
      <alignment horizontal="center" vertical="center" wrapText="1"/>
      <protection locked="0"/>
    </xf>
    <xf numFmtId="0" fontId="31" fillId="5" borderId="1" xfId="0" applyFont="1" applyFill="1" applyBorder="1" applyAlignment="1" applyProtection="1">
      <alignment horizontal="left" vertical="center"/>
      <protection locked="0"/>
    </xf>
    <xf numFmtId="0" fontId="31" fillId="5" borderId="2" xfId="0" applyFont="1" applyFill="1" applyBorder="1" applyAlignment="1" applyProtection="1">
      <alignment horizontal="left" vertical="center"/>
      <protection locked="0"/>
    </xf>
    <xf numFmtId="0" fontId="31" fillId="5" borderId="7" xfId="0" applyFont="1" applyFill="1" applyBorder="1" applyAlignment="1" applyProtection="1">
      <alignment horizontal="left" vertical="center"/>
      <protection locked="0"/>
    </xf>
    <xf numFmtId="0" fontId="6" fillId="2" borderId="0" xfId="0" applyFont="1" applyFill="1" applyAlignment="1">
      <alignment horizontal="center"/>
    </xf>
    <xf numFmtId="0" fontId="24" fillId="4" borderId="4" xfId="0" applyFont="1" applyFill="1" applyBorder="1" applyAlignment="1">
      <alignment horizontal="center" vertical="center" wrapText="1"/>
    </xf>
    <xf numFmtId="0" fontId="24" fillId="4" borderId="6" xfId="0" applyFont="1" applyFill="1" applyBorder="1" applyAlignment="1">
      <alignment horizontal="center" vertical="center" wrapText="1"/>
    </xf>
    <xf numFmtId="0" fontId="24" fillId="4" borderId="8" xfId="0" applyFont="1" applyFill="1" applyBorder="1" applyAlignment="1">
      <alignment horizontal="center" vertical="center" wrapText="1"/>
    </xf>
    <xf numFmtId="0" fontId="24" fillId="4" borderId="10" xfId="0" applyFont="1" applyFill="1" applyBorder="1" applyAlignment="1">
      <alignment horizontal="center" vertical="center" wrapText="1"/>
    </xf>
    <xf numFmtId="0" fontId="21" fillId="7" borderId="4" xfId="0" applyFont="1" applyFill="1" applyBorder="1" applyAlignment="1">
      <alignment horizontal="center" vertical="center" wrapText="1"/>
    </xf>
    <xf numFmtId="0" fontId="21" fillId="7" borderId="6" xfId="0" applyFont="1" applyFill="1" applyBorder="1" applyAlignment="1">
      <alignment horizontal="center" vertical="center" wrapText="1"/>
    </xf>
    <xf numFmtId="0" fontId="21" fillId="7" borderId="8"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40" fillId="11" borderId="1" xfId="0" applyFont="1" applyFill="1" applyBorder="1" applyAlignment="1">
      <alignment horizontal="center" vertical="center" wrapText="1"/>
    </xf>
    <xf numFmtId="0" fontId="40" fillId="11" borderId="7" xfId="0" applyFont="1" applyFill="1" applyBorder="1" applyAlignment="1">
      <alignment horizontal="center" vertical="center" wrapText="1"/>
    </xf>
    <xf numFmtId="0" fontId="4" fillId="6" borderId="3" xfId="0" applyFont="1" applyFill="1" applyBorder="1" applyAlignment="1" applyProtection="1">
      <alignment horizontal="center" vertical="center"/>
      <protection locked="0"/>
    </xf>
    <xf numFmtId="0" fontId="24" fillId="4" borderId="5" xfId="0" applyFont="1" applyFill="1" applyBorder="1" applyAlignment="1">
      <alignment horizontal="center" vertical="center" wrapText="1"/>
    </xf>
    <xf numFmtId="0" fontId="24" fillId="4" borderId="9" xfId="0" applyFont="1" applyFill="1" applyBorder="1" applyAlignment="1">
      <alignment horizontal="center" vertical="center" wrapText="1"/>
    </xf>
    <xf numFmtId="181" fontId="1" fillId="6" borderId="1" xfId="0" applyNumberFormat="1" applyFont="1" applyFill="1" applyBorder="1" applyAlignment="1" applyProtection="1">
      <alignment horizontal="center" vertical="center" wrapText="1"/>
      <protection locked="0"/>
    </xf>
    <xf numFmtId="181" fontId="1" fillId="6" borderId="7" xfId="0" applyNumberFormat="1" applyFont="1" applyFill="1" applyBorder="1" applyAlignment="1" applyProtection="1">
      <alignment horizontal="center" vertical="center" wrapText="1"/>
      <protection locked="0"/>
    </xf>
    <xf numFmtId="0" fontId="1" fillId="8" borderId="3" xfId="0" applyFont="1" applyFill="1" applyBorder="1" applyAlignment="1">
      <alignment horizontal="center" vertical="center" wrapText="1"/>
    </xf>
    <xf numFmtId="0" fontId="6" fillId="5" borderId="2" xfId="0" applyFont="1" applyFill="1" applyBorder="1" applyAlignment="1">
      <alignment horizontal="center" vertical="center"/>
    </xf>
    <xf numFmtId="0" fontId="34" fillId="5" borderId="1" xfId="0" applyFont="1" applyFill="1" applyBorder="1" applyAlignment="1" applyProtection="1">
      <alignment horizontal="center" vertical="center" wrapText="1"/>
      <protection locked="0"/>
    </xf>
    <xf numFmtId="0" fontId="34" fillId="5" borderId="7" xfId="0" applyFont="1" applyFill="1" applyBorder="1" applyAlignment="1" applyProtection="1">
      <alignment horizontal="center" vertical="center" wrapText="1"/>
      <protection locked="0"/>
    </xf>
    <xf numFmtId="181" fontId="1" fillId="5" borderId="1" xfId="0" applyNumberFormat="1" applyFont="1" applyFill="1" applyBorder="1" applyAlignment="1" applyProtection="1">
      <alignment horizontal="center" vertical="center" wrapText="1"/>
      <protection locked="0"/>
    </xf>
    <xf numFmtId="181" fontId="1" fillId="5" borderId="7" xfId="0" applyNumberFormat="1" applyFont="1" applyFill="1" applyBorder="1" applyAlignment="1" applyProtection="1">
      <alignment horizontal="center" vertical="center" wrapText="1"/>
      <protection locked="0"/>
    </xf>
    <xf numFmtId="0" fontId="31" fillId="6" borderId="3" xfId="0" applyFont="1" applyFill="1" applyBorder="1" applyAlignment="1" applyProtection="1">
      <alignment horizontal="center" vertical="center" wrapText="1"/>
      <protection locked="0"/>
    </xf>
    <xf numFmtId="0" fontId="31" fillId="6" borderId="1" xfId="0" applyFont="1" applyFill="1" applyBorder="1" applyAlignment="1" applyProtection="1">
      <alignment horizontal="center" vertical="center" wrapText="1"/>
      <protection locked="0"/>
    </xf>
    <xf numFmtId="0" fontId="31" fillId="6" borderId="1" xfId="0" applyFont="1" applyFill="1" applyBorder="1" applyAlignment="1">
      <alignment horizontal="center" vertical="center"/>
    </xf>
    <xf numFmtId="0" fontId="31" fillId="6" borderId="2" xfId="0" applyFont="1" applyFill="1" applyBorder="1" applyAlignment="1">
      <alignment horizontal="center" vertical="center"/>
    </xf>
    <xf numFmtId="0" fontId="31" fillId="6" borderId="15" xfId="0" applyFont="1" applyFill="1" applyBorder="1" applyAlignment="1">
      <alignment horizontal="center" vertical="center"/>
    </xf>
    <xf numFmtId="49" fontId="8" fillId="6" borderId="2" xfId="0" applyNumberFormat="1" applyFont="1" applyFill="1" applyBorder="1" applyAlignment="1" applyProtection="1">
      <alignment horizontal="left" vertical="center" wrapText="1"/>
      <protection locked="0"/>
    </xf>
    <xf numFmtId="49" fontId="8" fillId="6" borderId="7" xfId="0" applyNumberFormat="1" applyFont="1" applyFill="1" applyBorder="1" applyAlignment="1" applyProtection="1">
      <alignment horizontal="left" vertical="center" wrapText="1"/>
      <protection locked="0"/>
    </xf>
    <xf numFmtId="0" fontId="1" fillId="5" borderId="4" xfId="0" applyFont="1" applyFill="1" applyBorder="1" applyAlignment="1" applyProtection="1">
      <alignment horizontal="center" vertical="center" wrapText="1"/>
      <protection locked="0"/>
    </xf>
    <xf numFmtId="0" fontId="1" fillId="5" borderId="6" xfId="0" applyFont="1" applyFill="1" applyBorder="1" applyAlignment="1" applyProtection="1">
      <alignment horizontal="center" vertical="center" wrapText="1"/>
      <protection locked="0"/>
    </xf>
    <xf numFmtId="0" fontId="1" fillId="5" borderId="8"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39" fillId="11" borderId="1" xfId="0" applyFont="1" applyFill="1" applyBorder="1" applyAlignment="1">
      <alignment horizontal="center" vertical="center" wrapText="1"/>
    </xf>
    <xf numFmtId="0" fontId="39" fillId="11" borderId="7" xfId="0" applyFont="1" applyFill="1" applyBorder="1" applyAlignment="1">
      <alignment horizontal="center" vertical="center" wrapText="1"/>
    </xf>
    <xf numFmtId="0" fontId="1" fillId="5" borderId="2" xfId="0" applyFont="1" applyFill="1" applyBorder="1" applyAlignment="1" applyProtection="1">
      <alignment horizontal="center" vertical="center"/>
      <protection locked="0"/>
    </xf>
    <xf numFmtId="0" fontId="31" fillId="9" borderId="17" xfId="0" applyFont="1" applyFill="1" applyBorder="1" applyAlignment="1" applyProtection="1">
      <alignment horizontal="center" vertical="center" wrapText="1"/>
      <protection locked="0"/>
    </xf>
    <xf numFmtId="0" fontId="31" fillId="9" borderId="18" xfId="0" applyFont="1" applyFill="1" applyBorder="1" applyAlignment="1" applyProtection="1">
      <alignment horizontal="center" vertical="center" wrapText="1"/>
      <protection locked="0"/>
    </xf>
    <xf numFmtId="0" fontId="31" fillId="9" borderId="19" xfId="0" applyFont="1" applyFill="1" applyBorder="1" applyAlignment="1" applyProtection="1">
      <alignment horizontal="center" vertical="center" wrapText="1"/>
      <protection locked="0"/>
    </xf>
    <xf numFmtId="0" fontId="6" fillId="2" borderId="5" xfId="0" applyFont="1" applyFill="1" applyBorder="1" applyAlignment="1">
      <alignment horizontal="center"/>
    </xf>
    <xf numFmtId="0" fontId="8" fillId="5" borderId="4" xfId="0" applyFont="1" applyFill="1" applyBorder="1" applyAlignment="1">
      <alignment horizontal="left" vertical="top" wrapText="1"/>
    </xf>
    <xf numFmtId="0" fontId="8" fillId="5" borderId="5" xfId="0" applyFont="1" applyFill="1" applyBorder="1" applyAlignment="1">
      <alignment horizontal="left" vertical="top" wrapText="1"/>
    </xf>
    <xf numFmtId="0" fontId="8" fillId="5" borderId="6" xfId="0" applyFont="1" applyFill="1" applyBorder="1" applyAlignment="1">
      <alignment horizontal="left" vertical="top" wrapText="1"/>
    </xf>
    <xf numFmtId="0" fontId="8" fillId="5" borderId="11" xfId="0" applyFont="1" applyFill="1" applyBorder="1" applyAlignment="1">
      <alignment horizontal="left" vertical="top" wrapText="1"/>
    </xf>
    <xf numFmtId="0" fontId="8" fillId="5" borderId="0" xfId="0" applyFont="1" applyFill="1" applyAlignment="1">
      <alignment horizontal="left" vertical="top" wrapText="1"/>
    </xf>
    <xf numFmtId="0" fontId="8" fillId="5" borderId="12" xfId="0" applyFont="1" applyFill="1" applyBorder="1" applyAlignment="1">
      <alignment horizontal="left" vertical="top" wrapText="1"/>
    </xf>
    <xf numFmtId="0" fontId="8" fillId="5" borderId="8" xfId="0" applyFont="1" applyFill="1" applyBorder="1" applyAlignment="1">
      <alignment horizontal="left" vertical="top" wrapText="1"/>
    </xf>
    <xf numFmtId="0" fontId="8" fillId="5" borderId="9" xfId="0" applyFont="1" applyFill="1" applyBorder="1" applyAlignment="1">
      <alignment horizontal="left" vertical="top" wrapText="1"/>
    </xf>
    <xf numFmtId="0" fontId="8" fillId="5" borderId="10" xfId="0" applyFont="1" applyFill="1" applyBorder="1" applyAlignment="1">
      <alignment horizontal="left" vertical="top" wrapText="1"/>
    </xf>
    <xf numFmtId="0" fontId="34" fillId="9" borderId="1" xfId="0" applyFont="1" applyFill="1" applyBorder="1" applyAlignment="1" applyProtection="1">
      <alignment horizontal="center" vertical="center" wrapText="1"/>
      <protection locked="0"/>
    </xf>
    <xf numFmtId="0" fontId="34" fillId="9" borderId="7" xfId="0" applyFont="1" applyFill="1" applyBorder="1" applyAlignment="1" applyProtection="1">
      <alignment horizontal="center" vertical="center" wrapText="1"/>
      <protection locked="0"/>
    </xf>
    <xf numFmtId="0" fontId="6" fillId="2" borderId="1" xfId="0" applyFont="1" applyFill="1" applyBorder="1" applyAlignment="1">
      <alignment horizontal="right" wrapText="1"/>
    </xf>
    <xf numFmtId="0" fontId="6" fillId="2" borderId="2" xfId="0" applyFont="1" applyFill="1" applyBorder="1" applyAlignment="1">
      <alignment horizontal="right" wrapText="1"/>
    </xf>
    <xf numFmtId="0" fontId="22" fillId="9" borderId="3" xfId="0" applyFont="1" applyFill="1" applyBorder="1" applyAlignment="1">
      <alignment horizontal="center" vertical="center" wrapText="1"/>
    </xf>
    <xf numFmtId="0" fontId="32" fillId="5" borderId="4" xfId="0" applyFont="1" applyFill="1" applyBorder="1" applyAlignment="1" applyProtection="1">
      <alignment horizontal="center" vertical="center" wrapText="1"/>
      <protection locked="0"/>
    </xf>
    <xf numFmtId="0" fontId="32" fillId="5" borderId="5" xfId="0" applyFont="1" applyFill="1" applyBorder="1" applyAlignment="1" applyProtection="1">
      <alignment horizontal="center" vertical="center" wrapText="1"/>
      <protection locked="0"/>
    </xf>
    <xf numFmtId="0" fontId="32" fillId="5" borderId="6" xfId="0" applyFont="1" applyFill="1" applyBorder="1" applyAlignment="1" applyProtection="1">
      <alignment horizontal="center" vertical="center" wrapText="1"/>
      <protection locked="0"/>
    </xf>
    <xf numFmtId="0" fontId="32" fillId="5" borderId="8" xfId="0" applyFont="1" applyFill="1" applyBorder="1" applyAlignment="1" applyProtection="1">
      <alignment horizontal="center" vertical="center" wrapText="1"/>
      <protection locked="0"/>
    </xf>
    <xf numFmtId="0" fontId="32" fillId="5" borderId="9" xfId="0" applyFont="1" applyFill="1" applyBorder="1" applyAlignment="1" applyProtection="1">
      <alignment horizontal="center" vertical="center" wrapText="1"/>
      <protection locked="0"/>
    </xf>
    <xf numFmtId="0" fontId="32" fillId="5" borderId="10" xfId="0" applyFont="1" applyFill="1" applyBorder="1" applyAlignment="1" applyProtection="1">
      <alignment horizontal="center" vertical="center" wrapText="1"/>
      <protection locked="0"/>
    </xf>
    <xf numFmtId="0" fontId="33" fillId="7" borderId="1" xfId="0" applyFont="1" applyFill="1" applyBorder="1" applyAlignment="1">
      <alignment horizontal="center" vertical="center"/>
    </xf>
    <xf numFmtId="0" fontId="33" fillId="7" borderId="7" xfId="0" applyFont="1" applyFill="1" applyBorder="1" applyAlignment="1">
      <alignment horizontal="center" vertical="center"/>
    </xf>
    <xf numFmtId="0" fontId="6" fillId="5" borderId="7" xfId="0" applyFont="1" applyFill="1" applyBorder="1" applyAlignment="1">
      <alignment horizontal="center" vertical="center"/>
    </xf>
    <xf numFmtId="0" fontId="22" fillId="9" borderId="11" xfId="0" applyFont="1" applyFill="1" applyBorder="1" applyAlignment="1">
      <alignment horizontal="center" vertical="center" wrapText="1"/>
    </xf>
    <xf numFmtId="0" fontId="22" fillId="9" borderId="1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7" xfId="0" applyFont="1" applyFill="1" applyBorder="1" applyAlignment="1">
      <alignment horizontal="center" vertical="center" wrapText="1"/>
    </xf>
    <xf numFmtId="10" fontId="1" fillId="2" borderId="5" xfId="0" applyNumberFormat="1" applyFont="1" applyFill="1" applyBorder="1" applyAlignment="1">
      <alignment horizontal="center" vertical="center" wrapText="1"/>
    </xf>
    <xf numFmtId="0" fontId="1" fillId="9" borderId="5" xfId="0" applyFont="1" applyFill="1" applyBorder="1" applyAlignment="1" applyProtection="1">
      <alignment horizontal="center" vertical="center" wrapText="1"/>
      <protection locked="0"/>
    </xf>
    <xf numFmtId="0" fontId="1" fillId="9" borderId="6" xfId="0" applyFont="1" applyFill="1" applyBorder="1" applyAlignment="1" applyProtection="1">
      <alignment horizontal="center" vertical="center" wrapText="1"/>
      <protection locked="0"/>
    </xf>
    <xf numFmtId="0" fontId="1" fillId="9" borderId="9" xfId="0" applyFont="1" applyFill="1" applyBorder="1" applyAlignment="1" applyProtection="1">
      <alignment horizontal="center" vertical="center" wrapText="1"/>
      <protection locked="0"/>
    </xf>
    <xf numFmtId="0" fontId="1" fillId="9" borderId="10" xfId="0" applyFont="1" applyFill="1" applyBorder="1" applyAlignment="1" applyProtection="1">
      <alignment horizontal="center" vertical="center" wrapText="1"/>
      <protection locked="0"/>
    </xf>
    <xf numFmtId="49" fontId="7" fillId="0" borderId="1" xfId="0" applyNumberFormat="1" applyFont="1" applyBorder="1" applyAlignment="1" applyProtection="1">
      <alignment horizontal="center" vertical="center" wrapText="1"/>
      <protection locked="0"/>
    </xf>
    <xf numFmtId="49" fontId="11" fillId="0" borderId="2" xfId="0" applyNumberFormat="1" applyFont="1" applyBorder="1" applyAlignment="1" applyProtection="1">
      <alignment horizontal="center" vertical="center" wrapText="1"/>
      <protection locked="0"/>
    </xf>
    <xf numFmtId="49" fontId="11" fillId="0" borderId="7" xfId="0" applyNumberFormat="1" applyFont="1" applyBorder="1" applyAlignment="1" applyProtection="1">
      <alignment horizontal="center" vertical="center" wrapText="1"/>
      <protection locked="0"/>
    </xf>
    <xf numFmtId="49" fontId="1" fillId="6" borderId="3" xfId="0" applyNumberFormat="1" applyFont="1" applyFill="1" applyBorder="1" applyAlignment="1">
      <alignment horizontal="center" vertical="center"/>
    </xf>
    <xf numFmtId="0" fontId="5" fillId="3" borderId="0" xfId="0" applyFont="1" applyFill="1" applyAlignment="1">
      <alignment horizontal="center" vertical="center" wrapText="1"/>
    </xf>
    <xf numFmtId="182" fontId="1" fillId="5" borderId="3" xfId="0" applyNumberFormat="1" applyFont="1" applyFill="1" applyBorder="1" applyAlignment="1">
      <alignment horizontal="center" vertical="center" wrapText="1"/>
    </xf>
    <xf numFmtId="0" fontId="1" fillId="5" borderId="15"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31" fillId="5" borderId="1" xfId="0" applyFont="1" applyFill="1" applyBorder="1" applyAlignment="1">
      <alignment horizontal="center" vertical="center" wrapText="1"/>
    </xf>
    <xf numFmtId="0" fontId="31" fillId="5" borderId="2" xfId="0" applyFont="1" applyFill="1" applyBorder="1" applyAlignment="1">
      <alignment horizontal="center" vertical="center" wrapText="1"/>
    </xf>
    <xf numFmtId="0" fontId="31" fillId="5" borderId="7" xfId="0" applyFont="1" applyFill="1" applyBorder="1" applyAlignment="1">
      <alignment horizontal="center" vertical="center" wrapText="1"/>
    </xf>
    <xf numFmtId="0" fontId="5" fillId="3" borderId="7" xfId="0" applyFont="1" applyFill="1" applyBorder="1" applyAlignment="1">
      <alignment horizontal="right" vertical="center" wrapText="1"/>
    </xf>
    <xf numFmtId="0" fontId="5" fillId="3" borderId="3" xfId="0" applyFont="1" applyFill="1" applyBorder="1" applyAlignment="1">
      <alignment horizontal="right" vertical="center" wrapText="1"/>
    </xf>
    <xf numFmtId="0" fontId="2" fillId="3" borderId="3" xfId="0" applyFont="1" applyFill="1" applyBorder="1" applyAlignment="1">
      <alignment horizontal="center" vertical="center" wrapText="1"/>
    </xf>
    <xf numFmtId="0" fontId="11" fillId="5" borderId="1" xfId="0" applyFont="1" applyFill="1" applyBorder="1" applyAlignment="1" applyProtection="1">
      <alignment horizontal="center" vertical="center" wrapText="1"/>
      <protection locked="0"/>
    </xf>
    <xf numFmtId="0" fontId="11" fillId="5" borderId="2" xfId="0" applyFont="1" applyFill="1" applyBorder="1" applyAlignment="1" applyProtection="1">
      <alignment horizontal="center" vertical="center" wrapText="1"/>
      <protection locked="0"/>
    </xf>
    <xf numFmtId="0" fontId="11" fillId="5" borderId="7" xfId="0" applyFont="1" applyFill="1" applyBorder="1" applyAlignment="1" applyProtection="1">
      <alignment horizontal="center" vertical="center" wrapText="1"/>
      <protection locked="0"/>
    </xf>
    <xf numFmtId="0" fontId="25" fillId="5" borderId="5" xfId="0" applyFont="1" applyFill="1" applyBorder="1" applyAlignment="1">
      <alignment horizontal="left" vertical="center" wrapText="1"/>
    </xf>
    <xf numFmtId="0" fontId="25" fillId="5" borderId="6" xfId="0" applyFont="1" applyFill="1" applyBorder="1" applyAlignment="1">
      <alignment horizontal="left" vertical="center" wrapText="1"/>
    </xf>
    <xf numFmtId="0" fontId="25" fillId="5" borderId="9" xfId="0" applyFont="1" applyFill="1" applyBorder="1" applyAlignment="1">
      <alignment horizontal="left" vertical="center" wrapText="1"/>
    </xf>
    <xf numFmtId="0" fontId="25" fillId="5" borderId="10" xfId="0" applyFont="1" applyFill="1" applyBorder="1" applyAlignment="1">
      <alignment horizontal="left" vertical="center" wrapText="1"/>
    </xf>
    <xf numFmtId="0" fontId="31" fillId="5" borderId="3" xfId="0" applyFont="1" applyFill="1" applyBorder="1" applyAlignment="1" applyProtection="1">
      <alignment horizontal="center" vertical="center" wrapText="1"/>
      <protection locked="0"/>
    </xf>
    <xf numFmtId="180" fontId="11" fillId="5" borderId="1" xfId="0" applyNumberFormat="1" applyFont="1" applyFill="1" applyBorder="1" applyAlignment="1" applyProtection="1">
      <alignment horizontal="center" vertical="center" wrapText="1"/>
      <protection locked="0"/>
    </xf>
    <xf numFmtId="180" fontId="11" fillId="5" borderId="2" xfId="0" applyNumberFormat="1" applyFont="1" applyFill="1" applyBorder="1" applyAlignment="1" applyProtection="1">
      <alignment horizontal="center" vertical="center" wrapText="1"/>
      <protection locked="0"/>
    </xf>
    <xf numFmtId="180" fontId="11" fillId="5" borderId="7" xfId="0" applyNumberFormat="1" applyFont="1" applyFill="1" applyBorder="1" applyAlignment="1" applyProtection="1">
      <alignment horizontal="center" vertical="center" wrapText="1"/>
      <protection locked="0"/>
    </xf>
    <xf numFmtId="176" fontId="8" fillId="5" borderId="1" xfId="0" applyNumberFormat="1" applyFont="1" applyFill="1" applyBorder="1" applyAlignment="1" applyProtection="1">
      <alignment horizontal="center" vertical="center" wrapText="1"/>
      <protection locked="0"/>
    </xf>
    <xf numFmtId="176" fontId="8" fillId="5" borderId="7" xfId="0" applyNumberFormat="1" applyFont="1" applyFill="1" applyBorder="1" applyAlignment="1" applyProtection="1">
      <alignment horizontal="center" vertical="center" wrapText="1"/>
      <protection locked="0"/>
    </xf>
    <xf numFmtId="0" fontId="1" fillId="6" borderId="3" xfId="0" applyFont="1" applyFill="1" applyBorder="1" applyAlignment="1">
      <alignment horizontal="center" vertical="center" wrapText="1"/>
    </xf>
    <xf numFmtId="49" fontId="31" fillId="5" borderId="3" xfId="0" applyNumberFormat="1" applyFont="1" applyFill="1" applyBorder="1" applyAlignment="1" applyProtection="1">
      <alignment horizontal="left" vertical="center"/>
      <protection locked="0"/>
    </xf>
    <xf numFmtId="0" fontId="6" fillId="2" borderId="21" xfId="0" applyFont="1" applyFill="1" applyBorder="1" applyAlignment="1">
      <alignment horizontal="center" wrapText="1"/>
    </xf>
    <xf numFmtId="0" fontId="8" fillId="5" borderId="1"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0" xfId="0" applyFont="1" applyFill="1" applyAlignment="1">
      <alignment horizontal="center" vertical="center" wrapText="1"/>
    </xf>
    <xf numFmtId="0" fontId="31" fillId="0" borderId="1" xfId="0" applyFont="1" applyBorder="1" applyAlignment="1" applyProtection="1">
      <alignment horizontal="center" vertical="center"/>
      <protection locked="0"/>
    </xf>
    <xf numFmtId="0" fontId="31" fillId="0" borderId="2" xfId="0" applyFont="1" applyBorder="1" applyAlignment="1" applyProtection="1">
      <alignment horizontal="center" vertical="center"/>
      <protection locked="0"/>
    </xf>
    <xf numFmtId="0" fontId="31" fillId="0" borderId="7" xfId="0" applyFont="1" applyBorder="1" applyAlignment="1" applyProtection="1">
      <alignment horizontal="center" vertical="center"/>
      <protection locked="0"/>
    </xf>
    <xf numFmtId="49" fontId="31" fillId="5" borderId="3" xfId="0" applyNumberFormat="1" applyFont="1" applyFill="1" applyBorder="1" applyAlignment="1" applyProtection="1">
      <alignment horizontal="center" vertical="center"/>
      <protection locked="0"/>
    </xf>
    <xf numFmtId="0" fontId="41" fillId="5" borderId="1" xfId="0" applyFont="1" applyFill="1" applyBorder="1" applyAlignment="1">
      <alignment horizontal="center" vertical="center" wrapText="1"/>
    </xf>
    <xf numFmtId="0" fontId="41" fillId="5" borderId="2" xfId="0" applyFont="1" applyFill="1" applyBorder="1" applyAlignment="1">
      <alignment horizontal="center" vertical="center" wrapText="1"/>
    </xf>
    <xf numFmtId="0" fontId="41" fillId="5" borderId="7" xfId="0" applyFont="1" applyFill="1" applyBorder="1" applyAlignment="1">
      <alignment horizontal="center" vertical="center" wrapText="1"/>
    </xf>
    <xf numFmtId="49" fontId="31" fillId="6" borderId="3" xfId="0" applyNumberFormat="1" applyFont="1" applyFill="1" applyBorder="1" applyAlignment="1" applyProtection="1">
      <alignment horizontal="center" vertical="center" wrapText="1"/>
      <protection locked="0"/>
    </xf>
    <xf numFmtId="0" fontId="3" fillId="3" borderId="0" xfId="0" applyFont="1" applyFill="1" applyAlignment="1">
      <alignment horizontal="right" vertical="center" wrapText="1"/>
    </xf>
    <xf numFmtId="0" fontId="9" fillId="5" borderId="4" xfId="0" applyFont="1" applyFill="1" applyBorder="1" applyAlignment="1">
      <alignment horizontal="center" vertical="center" wrapText="1"/>
    </xf>
    <xf numFmtId="0" fontId="10" fillId="5" borderId="5"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5" borderId="0" xfId="0" applyFont="1" applyFill="1" applyAlignment="1">
      <alignment horizontal="center" vertical="center" wrapText="1"/>
    </xf>
    <xf numFmtId="0" fontId="10" fillId="5" borderId="12"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49" fontId="1" fillId="5" borderId="2" xfId="0" applyNumberFormat="1" applyFont="1" applyFill="1" applyBorder="1" applyAlignment="1" applyProtection="1">
      <alignment horizontal="center" vertical="center"/>
      <protection locked="0"/>
    </xf>
    <xf numFmtId="49" fontId="1" fillId="5" borderId="7" xfId="0" applyNumberFormat="1" applyFont="1" applyFill="1" applyBorder="1" applyAlignment="1" applyProtection="1">
      <alignment horizontal="center" vertical="center"/>
      <protection locked="0"/>
    </xf>
    <xf numFmtId="0" fontId="27" fillId="5" borderId="3" xfId="0" applyFont="1" applyFill="1" applyBorder="1" applyAlignment="1" applyProtection="1">
      <alignment horizontal="center" vertical="center" wrapText="1"/>
      <protection locked="0"/>
    </xf>
    <xf numFmtId="0" fontId="13" fillId="7" borderId="3" xfId="0" applyFont="1" applyFill="1" applyBorder="1" applyAlignment="1">
      <alignment horizontal="center" vertical="center" wrapText="1"/>
    </xf>
    <xf numFmtId="0" fontId="28" fillId="2" borderId="0" xfId="0" applyFont="1" applyFill="1" applyAlignment="1">
      <alignment horizontal="center" vertical="center" wrapText="1"/>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7" xfId="0" applyFont="1" applyFill="1" applyBorder="1" applyAlignment="1">
      <alignment horizontal="center" vertical="center"/>
    </xf>
    <xf numFmtId="0" fontId="31" fillId="5" borderId="1" xfId="0" applyFont="1" applyFill="1" applyBorder="1" applyAlignment="1" applyProtection="1">
      <alignment horizontal="left" vertical="center" wrapText="1" indent="1"/>
      <protection locked="0"/>
    </xf>
    <xf numFmtId="0" fontId="31" fillId="5" borderId="2" xfId="0" applyFont="1" applyFill="1" applyBorder="1" applyAlignment="1" applyProtection="1">
      <alignment horizontal="left" vertical="center" wrapText="1" indent="1"/>
      <protection locked="0"/>
    </xf>
    <xf numFmtId="0" fontId="31" fillId="5" borderId="7" xfId="0" applyFont="1" applyFill="1" applyBorder="1" applyAlignment="1" applyProtection="1">
      <alignment horizontal="left" vertical="center" wrapText="1" indent="1"/>
      <protection locked="0"/>
    </xf>
    <xf numFmtId="0" fontId="1" fillId="6" borderId="15"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23" fillId="4" borderId="6"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4" borderId="10" xfId="0" applyFont="1" applyFill="1" applyBorder="1" applyAlignment="1">
      <alignment horizontal="center" vertical="center" wrapText="1"/>
    </xf>
    <xf numFmtId="176" fontId="8" fillId="5" borderId="3" xfId="0" applyNumberFormat="1" applyFont="1" applyFill="1" applyBorder="1" applyAlignment="1">
      <alignment horizontal="center" vertical="center" wrapText="1"/>
    </xf>
    <xf numFmtId="49" fontId="8" fillId="5" borderId="2" xfId="0" applyNumberFormat="1" applyFont="1" applyFill="1" applyBorder="1" applyAlignment="1" applyProtection="1">
      <alignment horizontal="left" vertical="center" wrapText="1"/>
      <protection locked="0"/>
    </xf>
    <xf numFmtId="49" fontId="8" fillId="5" borderId="7" xfId="0" applyNumberFormat="1" applyFont="1" applyFill="1" applyBorder="1" applyAlignment="1" applyProtection="1">
      <alignment horizontal="left" vertical="center" wrapText="1"/>
      <protection locked="0"/>
    </xf>
    <xf numFmtId="49" fontId="7" fillId="0" borderId="2"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1" fillId="5" borderId="2" xfId="0" applyFont="1" applyFill="1" applyBorder="1" applyAlignment="1" applyProtection="1">
      <alignment horizontal="center" vertical="center"/>
      <protection locked="0"/>
    </xf>
    <xf numFmtId="0" fontId="31" fillId="5" borderId="7" xfId="0" applyFont="1" applyFill="1" applyBorder="1" applyAlignment="1" applyProtection="1">
      <alignment horizontal="center" vertical="center"/>
      <protection locked="0"/>
    </xf>
    <xf numFmtId="49" fontId="1" fillId="5" borderId="1" xfId="0" applyNumberFormat="1" applyFont="1" applyFill="1" applyBorder="1" applyAlignment="1" applyProtection="1">
      <alignment horizontal="center" vertical="center"/>
      <protection locked="0"/>
    </xf>
    <xf numFmtId="0" fontId="8" fillId="5" borderId="2" xfId="0" applyFont="1" applyFill="1" applyBorder="1" applyAlignment="1">
      <alignment horizontal="center" vertical="center" wrapText="1"/>
    </xf>
    <xf numFmtId="0" fontId="31" fillId="9" borderId="3" xfId="0" applyFont="1" applyFill="1" applyBorder="1" applyAlignment="1" applyProtection="1">
      <alignment horizontal="center" vertical="center" wrapText="1"/>
      <protection locked="0"/>
    </xf>
    <xf numFmtId="0" fontId="30" fillId="5" borderId="5" xfId="0" applyFont="1" applyFill="1" applyBorder="1" applyAlignment="1">
      <alignment horizontal="center" vertical="center"/>
    </xf>
    <xf numFmtId="0" fontId="30" fillId="5" borderId="6" xfId="0" applyFont="1" applyFill="1" applyBorder="1" applyAlignment="1">
      <alignment horizontal="center" vertical="center"/>
    </xf>
    <xf numFmtId="0" fontId="30" fillId="5" borderId="9" xfId="0" applyFont="1" applyFill="1" applyBorder="1" applyAlignment="1">
      <alignment horizontal="center" vertical="center"/>
    </xf>
    <xf numFmtId="0" fontId="30" fillId="5" borderId="10" xfId="0" applyFont="1" applyFill="1" applyBorder="1" applyAlignment="1">
      <alignment horizontal="center" vertical="center"/>
    </xf>
    <xf numFmtId="0" fontId="25" fillId="5" borderId="5" xfId="0" applyFont="1" applyFill="1" applyBorder="1" applyAlignment="1" applyProtection="1">
      <alignment horizontal="right" vertical="center" wrapText="1"/>
      <protection locked="0"/>
    </xf>
    <xf numFmtId="0" fontId="25" fillId="5" borderId="9" xfId="0" applyFont="1" applyFill="1" applyBorder="1" applyAlignment="1" applyProtection="1">
      <alignment horizontal="right" vertical="center" wrapText="1"/>
      <protection locked="0"/>
    </xf>
    <xf numFmtId="183" fontId="38" fillId="10" borderId="2" xfId="0" applyNumberFormat="1" applyFont="1" applyFill="1" applyBorder="1" applyAlignment="1" applyProtection="1">
      <alignment horizontal="center" wrapText="1"/>
      <protection locked="0"/>
    </xf>
    <xf numFmtId="183" fontId="38" fillId="10" borderId="7" xfId="0" applyNumberFormat="1" applyFont="1" applyFill="1" applyBorder="1" applyAlignment="1" applyProtection="1">
      <alignment horizontal="center" wrapText="1"/>
      <protection locked="0"/>
    </xf>
    <xf numFmtId="49" fontId="1" fillId="5" borderId="3" xfId="0" applyNumberFormat="1" applyFont="1" applyFill="1" applyBorder="1" applyAlignment="1">
      <alignment horizontal="center" vertical="center"/>
    </xf>
    <xf numFmtId="0" fontId="31" fillId="6" borderId="1" xfId="0" applyFont="1" applyFill="1" applyBorder="1" applyAlignment="1" applyProtection="1">
      <alignment horizontal="left" vertical="center"/>
      <protection locked="0"/>
    </xf>
    <xf numFmtId="0" fontId="31" fillId="6" borderId="2" xfId="0" applyFont="1" applyFill="1" applyBorder="1" applyAlignment="1" applyProtection="1">
      <alignment horizontal="left" vertical="center"/>
      <protection locked="0"/>
    </xf>
    <xf numFmtId="0" fontId="31" fillId="6" borderId="7" xfId="0" applyFont="1" applyFill="1" applyBorder="1" applyAlignment="1" applyProtection="1">
      <alignment horizontal="left" vertical="center"/>
      <protection locked="0"/>
    </xf>
    <xf numFmtId="0" fontId="29" fillId="5" borderId="5" xfId="0" applyFont="1" applyFill="1" applyBorder="1" applyAlignment="1">
      <alignment horizontal="center" vertical="center" wrapText="1"/>
    </xf>
    <xf numFmtId="0" fontId="29" fillId="5" borderId="9" xfId="0" applyFont="1" applyFill="1" applyBorder="1" applyAlignment="1">
      <alignment horizontal="center" vertical="center" wrapText="1"/>
    </xf>
    <xf numFmtId="177" fontId="1" fillId="5" borderId="2" xfId="0" applyNumberFormat="1" applyFont="1" applyFill="1" applyBorder="1" applyAlignment="1" applyProtection="1">
      <alignment horizontal="center" vertical="center" wrapText="1"/>
      <protection locked="0"/>
    </xf>
    <xf numFmtId="177" fontId="1" fillId="5" borderId="7" xfId="0" applyNumberFormat="1" applyFont="1" applyFill="1" applyBorder="1" applyAlignment="1" applyProtection="1">
      <alignment horizontal="center" vertical="center" wrapText="1"/>
      <protection locked="0"/>
    </xf>
    <xf numFmtId="0" fontId="31" fillId="9" borderId="3" xfId="0" applyFont="1" applyFill="1" applyBorder="1" applyAlignment="1" applyProtection="1">
      <alignment horizontal="center" vertical="center"/>
      <protection locked="0"/>
    </xf>
    <xf numFmtId="0" fontId="26" fillId="4" borderId="3" xfId="0" applyFont="1" applyFill="1" applyBorder="1" applyAlignment="1">
      <alignment horizontal="center" vertical="center" wrapText="1"/>
    </xf>
    <xf numFmtId="49" fontId="8" fillId="5" borderId="2" xfId="0" applyNumberFormat="1" applyFont="1" applyFill="1" applyBorder="1" applyAlignment="1" applyProtection="1">
      <alignment horizontal="left" vertical="center"/>
      <protection locked="0"/>
    </xf>
    <xf numFmtId="49" fontId="8" fillId="5" borderId="7" xfId="0" applyNumberFormat="1" applyFont="1" applyFill="1" applyBorder="1" applyAlignment="1" applyProtection="1">
      <alignment horizontal="left" vertical="center"/>
      <protection locked="0"/>
    </xf>
    <xf numFmtId="179" fontId="12" fillId="5" borderId="2" xfId="0" applyNumberFormat="1" applyFont="1" applyFill="1" applyBorder="1" applyAlignment="1" applyProtection="1">
      <alignment horizontal="center" vertical="center"/>
      <protection locked="0"/>
    </xf>
    <xf numFmtId="179" fontId="12" fillId="5" borderId="7" xfId="0" applyNumberFormat="1" applyFont="1" applyFill="1" applyBorder="1" applyAlignment="1" applyProtection="1">
      <alignment horizontal="center" vertical="center"/>
      <protection locked="0"/>
    </xf>
    <xf numFmtId="0" fontId="6" fillId="2" borderId="2" xfId="0" applyFont="1" applyFill="1" applyBorder="1" applyAlignment="1">
      <alignment horizontal="right" vertical="top" wrapText="1"/>
    </xf>
    <xf numFmtId="0" fontId="6" fillId="2" borderId="0" xfId="0" applyFont="1" applyFill="1" applyAlignment="1">
      <alignment horizontal="right"/>
    </xf>
    <xf numFmtId="0" fontId="31" fillId="5" borderId="4" xfId="0" applyFont="1" applyFill="1" applyBorder="1" applyAlignment="1" applyProtection="1">
      <alignment horizontal="center" vertical="center" wrapText="1"/>
      <protection locked="0"/>
    </xf>
    <xf numFmtId="0" fontId="31" fillId="5" borderId="5" xfId="0" applyFont="1" applyFill="1" applyBorder="1" applyAlignment="1" applyProtection="1">
      <alignment horizontal="center" vertical="center" wrapText="1"/>
      <protection locked="0"/>
    </xf>
    <xf numFmtId="0" fontId="31" fillId="5" borderId="6" xfId="0" applyFont="1" applyFill="1" applyBorder="1" applyAlignment="1" applyProtection="1">
      <alignment horizontal="center" vertical="center" wrapText="1"/>
      <protection locked="0"/>
    </xf>
    <xf numFmtId="0" fontId="31" fillId="5" borderId="8" xfId="0" applyFont="1" applyFill="1" applyBorder="1" applyAlignment="1" applyProtection="1">
      <alignment horizontal="center" vertical="center" wrapText="1"/>
      <protection locked="0"/>
    </xf>
    <xf numFmtId="0" fontId="31" fillId="5" borderId="9" xfId="0" applyFont="1" applyFill="1" applyBorder="1" applyAlignment="1" applyProtection="1">
      <alignment horizontal="center" vertical="center" wrapText="1"/>
      <protection locked="0"/>
    </xf>
    <xf numFmtId="0" fontId="31" fillId="5" borderId="10" xfId="0" applyFont="1" applyFill="1" applyBorder="1" applyAlignment="1" applyProtection="1">
      <alignment horizontal="center" vertical="center" wrapText="1"/>
      <protection locked="0"/>
    </xf>
    <xf numFmtId="0" fontId="21" fillId="7" borderId="5" xfId="0" applyFont="1" applyFill="1" applyBorder="1" applyAlignment="1">
      <alignment horizontal="center" vertical="center" wrapText="1"/>
    </xf>
    <xf numFmtId="0" fontId="21" fillId="7" borderId="9" xfId="0" applyFont="1" applyFill="1" applyBorder="1" applyAlignment="1">
      <alignment horizontal="center" vertical="center" wrapText="1"/>
    </xf>
    <xf numFmtId="178" fontId="12" fillId="5" borderId="2" xfId="0" applyNumberFormat="1" applyFont="1" applyFill="1" applyBorder="1" applyAlignment="1" applyProtection="1">
      <alignment horizontal="center" vertical="center"/>
      <protection locked="0"/>
    </xf>
    <xf numFmtId="178" fontId="12" fillId="5" borderId="7" xfId="0" applyNumberFormat="1" applyFont="1" applyFill="1" applyBorder="1" applyAlignment="1" applyProtection="1">
      <alignment horizontal="center" vertical="center"/>
      <protection locked="0"/>
    </xf>
    <xf numFmtId="0" fontId="30" fillId="5" borderId="5" xfId="0" applyFont="1" applyFill="1" applyBorder="1" applyAlignment="1" applyProtection="1">
      <alignment horizontal="center" vertical="center"/>
      <protection locked="0"/>
    </xf>
    <xf numFmtId="0" fontId="30" fillId="5" borderId="6" xfId="0" applyFont="1" applyFill="1" applyBorder="1" applyAlignment="1" applyProtection="1">
      <alignment horizontal="center" vertical="center"/>
      <protection locked="0"/>
    </xf>
    <xf numFmtId="0" fontId="30" fillId="5" borderId="9" xfId="0" applyFont="1" applyFill="1" applyBorder="1" applyAlignment="1" applyProtection="1">
      <alignment horizontal="center" vertical="center"/>
      <protection locked="0"/>
    </xf>
    <xf numFmtId="0" fontId="30" fillId="5" borderId="10" xfId="0" applyFont="1" applyFill="1" applyBorder="1" applyAlignment="1" applyProtection="1">
      <alignment horizontal="center" vertical="center"/>
      <protection locked="0"/>
    </xf>
    <xf numFmtId="0" fontId="6" fillId="2" borderId="2" xfId="0" applyFont="1" applyFill="1" applyBorder="1" applyAlignment="1">
      <alignment horizontal="center" vertical="center" wrapText="1"/>
    </xf>
    <xf numFmtId="0" fontId="6" fillId="2" borderId="0" xfId="0" applyFont="1" applyFill="1" applyAlignment="1">
      <alignment horizontal="left" wrapText="1"/>
    </xf>
    <xf numFmtId="0" fontId="4" fillId="2" borderId="0" xfId="0" applyFont="1" applyFill="1" applyAlignment="1">
      <alignment horizontal="center" vertical="center"/>
    </xf>
    <xf numFmtId="0" fontId="5" fillId="3" borderId="1" xfId="0" applyFont="1" applyFill="1" applyBorder="1" applyAlignment="1">
      <alignment horizontal="right" vertical="center" wrapText="1"/>
    </xf>
    <xf numFmtId="0" fontId="34" fillId="5" borderId="1" xfId="0" applyFont="1" applyFill="1" applyBorder="1" applyAlignment="1">
      <alignment horizontal="center" vertical="center" wrapText="1"/>
    </xf>
    <xf numFmtId="0" fontId="34" fillId="5" borderId="7" xfId="0" applyFont="1" applyFill="1" applyBorder="1" applyAlignment="1">
      <alignment horizontal="center" vertical="center" wrapText="1"/>
    </xf>
    <xf numFmtId="49" fontId="8" fillId="5" borderId="3" xfId="0" applyNumberFormat="1" applyFont="1" applyFill="1" applyBorder="1" applyAlignment="1" applyProtection="1">
      <alignment horizontal="center" vertical="center"/>
      <protection locked="0"/>
    </xf>
    <xf numFmtId="0" fontId="31" fillId="5" borderId="2" xfId="0" applyFont="1" applyFill="1" applyBorder="1" applyAlignment="1" applyProtection="1">
      <alignment horizontal="center" vertical="center" wrapText="1"/>
      <protection locked="0"/>
    </xf>
    <xf numFmtId="0" fontId="1" fillId="7" borderId="1" xfId="0" applyFont="1" applyFill="1" applyBorder="1" applyAlignment="1">
      <alignment horizontal="center" vertical="center"/>
    </xf>
    <xf numFmtId="0" fontId="1" fillId="7" borderId="7" xfId="0" applyFont="1" applyFill="1" applyBorder="1" applyAlignment="1">
      <alignment horizontal="center" vertical="center"/>
    </xf>
    <xf numFmtId="0" fontId="8" fillId="2" borderId="2" xfId="0" applyFont="1" applyFill="1" applyBorder="1" applyAlignment="1">
      <alignment horizontal="center" wrapText="1"/>
    </xf>
    <xf numFmtId="0" fontId="42" fillId="11" borderId="1" xfId="0" applyFont="1" applyFill="1" applyBorder="1" applyAlignment="1">
      <alignment horizontal="center" vertical="center" wrapText="1"/>
    </xf>
    <xf numFmtId="0" fontId="42" fillId="11" borderId="7" xfId="0" applyFont="1" applyFill="1" applyBorder="1" applyAlignment="1">
      <alignment horizontal="center" vertical="center" wrapText="1"/>
    </xf>
    <xf numFmtId="0" fontId="1" fillId="12" borderId="3" xfId="0" applyFont="1" applyFill="1" applyBorder="1" applyAlignment="1">
      <alignment horizontal="center" vertical="center" wrapText="1"/>
    </xf>
    <xf numFmtId="49" fontId="12" fillId="5" borderId="2" xfId="0" applyNumberFormat="1" applyFont="1" applyFill="1" applyBorder="1" applyAlignment="1" applyProtection="1">
      <alignment horizontal="center" vertical="center"/>
      <protection locked="0"/>
    </xf>
    <xf numFmtId="49" fontId="12" fillId="5" borderId="7" xfId="0" applyNumberFormat="1" applyFont="1" applyFill="1" applyBorder="1" applyAlignment="1" applyProtection="1">
      <alignment horizontal="center" vertical="center"/>
      <protection locked="0"/>
    </xf>
    <xf numFmtId="0" fontId="6" fillId="2" borderId="0" xfId="0" applyFont="1" applyFill="1" applyAlignment="1">
      <alignment horizontal="center" vertical="top" wrapText="1"/>
    </xf>
    <xf numFmtId="0" fontId="6" fillId="2" borderId="9" xfId="0" applyFont="1" applyFill="1" applyBorder="1" applyAlignment="1">
      <alignment horizontal="center" vertical="top" wrapText="1"/>
    </xf>
    <xf numFmtId="0" fontId="20" fillId="2" borderId="14" xfId="0" applyFont="1" applyFill="1" applyBorder="1" applyAlignment="1">
      <alignment horizontal="left" vertical="center" wrapText="1"/>
    </xf>
    <xf numFmtId="0" fontId="31" fillId="5" borderId="2" xfId="0" applyFont="1" applyFill="1" applyBorder="1" applyAlignment="1" applyProtection="1">
      <alignment horizontal="left" vertical="center" indent="1"/>
      <protection locked="0"/>
    </xf>
    <xf numFmtId="0" fontId="31" fillId="5" borderId="7" xfId="0" applyFont="1" applyFill="1" applyBorder="1" applyAlignment="1" applyProtection="1">
      <alignment horizontal="left" vertical="center" indent="1"/>
      <protection locked="0"/>
    </xf>
    <xf numFmtId="0" fontId="10" fillId="2" borderId="13" xfId="0" applyFont="1" applyFill="1" applyBorder="1" applyAlignment="1">
      <alignment horizontal="center" vertical="center" wrapText="1"/>
    </xf>
    <xf numFmtId="0" fontId="23" fillId="11" borderId="1" xfId="0" applyFont="1" applyFill="1" applyBorder="1" applyAlignment="1">
      <alignment horizontal="center" vertical="center" wrapText="1"/>
    </xf>
    <xf numFmtId="0" fontId="23" fillId="11" borderId="7" xfId="0" applyFont="1" applyFill="1" applyBorder="1" applyAlignment="1">
      <alignment horizontal="center" vertical="center" wrapText="1"/>
    </xf>
    <xf numFmtId="0" fontId="1" fillId="0" borderId="1" xfId="0" applyFont="1" applyBorder="1" applyAlignment="1" applyProtection="1">
      <alignment horizontal="left" vertical="center" wrapText="1"/>
      <protection locked="0"/>
    </xf>
    <xf numFmtId="0" fontId="1" fillId="0" borderId="2" xfId="0" applyFont="1" applyBorder="1" applyAlignment="1" applyProtection="1">
      <alignment horizontal="left" vertical="center" wrapText="1"/>
      <protection locked="0"/>
    </xf>
    <xf numFmtId="0" fontId="1" fillId="0" borderId="7" xfId="0" applyFont="1" applyBorder="1" applyAlignment="1" applyProtection="1">
      <alignment horizontal="left" vertical="center" wrapText="1"/>
      <protection locked="0"/>
    </xf>
    <xf numFmtId="0" fontId="2" fillId="3" borderId="0" xfId="0" applyFont="1" applyFill="1" applyAlignment="1" applyProtection="1">
      <alignment horizontal="center" vertical="center" wrapText="1"/>
      <protection locked="0"/>
    </xf>
    <xf numFmtId="0" fontId="19" fillId="7" borderId="4" xfId="0" applyFont="1" applyFill="1" applyBorder="1" applyAlignment="1">
      <alignment horizontal="center" vertical="center" wrapText="1"/>
    </xf>
    <xf numFmtId="0" fontId="19" fillId="7" borderId="6" xfId="0" applyFont="1" applyFill="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49" fontId="11" fillId="5" borderId="4" xfId="0" applyNumberFormat="1" applyFont="1" applyFill="1" applyBorder="1" applyAlignment="1" applyProtection="1">
      <alignment horizontal="left" vertical="center" wrapText="1"/>
      <protection locked="0"/>
    </xf>
    <xf numFmtId="49" fontId="11" fillId="5" borderId="5" xfId="0" applyNumberFormat="1" applyFont="1" applyFill="1" applyBorder="1" applyAlignment="1" applyProtection="1">
      <alignment horizontal="left" vertical="center" wrapText="1"/>
      <protection locked="0"/>
    </xf>
    <xf numFmtId="49" fontId="11" fillId="5" borderId="6" xfId="0" applyNumberFormat="1" applyFont="1" applyFill="1" applyBorder="1" applyAlignment="1" applyProtection="1">
      <alignment horizontal="left" vertical="center" wrapText="1"/>
      <protection locked="0"/>
    </xf>
    <xf numFmtId="49" fontId="11" fillId="5" borderId="8" xfId="0" applyNumberFormat="1" applyFont="1" applyFill="1" applyBorder="1" applyAlignment="1" applyProtection="1">
      <alignment horizontal="left" vertical="center" wrapText="1"/>
      <protection locked="0"/>
    </xf>
    <xf numFmtId="49" fontId="11" fillId="5" borderId="9" xfId="0" applyNumberFormat="1" applyFont="1" applyFill="1" applyBorder="1" applyAlignment="1" applyProtection="1">
      <alignment horizontal="left" vertical="center" wrapText="1"/>
      <protection locked="0"/>
    </xf>
    <xf numFmtId="49" fontId="11" fillId="5" borderId="10" xfId="0" applyNumberFormat="1" applyFont="1" applyFill="1" applyBorder="1" applyAlignment="1" applyProtection="1">
      <alignment horizontal="left" vertical="center" wrapText="1"/>
      <protection locked="0"/>
    </xf>
    <xf numFmtId="0" fontId="4" fillId="0" borderId="3" xfId="0" applyFont="1" applyBorder="1" applyAlignment="1" applyProtection="1">
      <alignment horizontal="center" vertical="center"/>
      <protection locked="0"/>
    </xf>
    <xf numFmtId="0" fontId="1" fillId="5" borderId="3" xfId="0" applyFont="1" applyFill="1" applyBorder="1" applyAlignment="1" applyProtection="1">
      <alignment horizontal="left" vertical="center" wrapText="1"/>
      <protection locked="0"/>
    </xf>
    <xf numFmtId="181" fontId="31" fillId="5" borderId="3" xfId="0" applyNumberFormat="1" applyFont="1" applyFill="1" applyBorder="1" applyAlignment="1" applyProtection="1">
      <alignment horizontal="center" vertical="center" wrapText="1"/>
      <protection locked="0"/>
    </xf>
    <xf numFmtId="0" fontId="1" fillId="6" borderId="3" xfId="0" applyFont="1" applyFill="1" applyBorder="1" applyAlignment="1" applyProtection="1">
      <alignment horizontal="left" vertical="center" wrapText="1"/>
      <protection locked="0"/>
    </xf>
    <xf numFmtId="0" fontId="1" fillId="6" borderId="3" xfId="0" applyFont="1" applyFill="1" applyBorder="1" applyAlignment="1" applyProtection="1">
      <alignment horizontal="center" vertical="center" wrapText="1"/>
      <protection locked="0"/>
    </xf>
    <xf numFmtId="0" fontId="11" fillId="6" borderId="3" xfId="0" applyFont="1" applyFill="1" applyBorder="1" applyAlignment="1" applyProtection="1">
      <alignment horizontal="center" vertical="center"/>
      <protection locked="0"/>
    </xf>
    <xf numFmtId="0" fontId="11" fillId="6" borderId="3" xfId="0" applyFont="1" applyFill="1" applyBorder="1" applyAlignment="1" applyProtection="1">
      <alignment horizontal="center" vertical="center" wrapText="1"/>
      <protection locked="0"/>
    </xf>
    <xf numFmtId="0" fontId="11" fillId="6" borderId="3" xfId="0" applyFont="1" applyFill="1" applyBorder="1" applyAlignment="1" applyProtection="1">
      <alignment horizontal="left" vertical="center" wrapText="1"/>
      <protection locked="0"/>
    </xf>
    <xf numFmtId="181" fontId="31" fillId="6" borderId="3" xfId="0" applyNumberFormat="1" applyFont="1" applyFill="1" applyBorder="1" applyAlignment="1" applyProtection="1">
      <alignment horizontal="center" vertical="center" wrapText="1"/>
      <protection locked="0"/>
    </xf>
    <xf numFmtId="0" fontId="45" fillId="2" borderId="0" xfId="0" applyFont="1" applyFill="1" applyAlignment="1">
      <alignment horizontal="center" vertical="center" wrapText="1"/>
    </xf>
    <xf numFmtId="0" fontId="1" fillId="6" borderId="3" xfId="0" applyFont="1" applyFill="1" applyBorder="1" applyAlignment="1" applyProtection="1">
      <alignment horizontal="center" vertical="center"/>
      <protection locked="0"/>
    </xf>
    <xf numFmtId="0" fontId="44" fillId="6" borderId="3" xfId="0" applyFont="1" applyFill="1" applyBorder="1" applyAlignment="1" applyProtection="1">
      <alignment horizontal="center" vertical="center" wrapText="1"/>
      <protection locked="0"/>
    </xf>
    <xf numFmtId="0" fontId="1" fillId="5" borderId="3" xfId="0" applyFont="1" applyFill="1" applyBorder="1" applyAlignment="1" applyProtection="1">
      <alignment horizontal="left" vertical="center"/>
      <protection locked="0"/>
    </xf>
    <xf numFmtId="0" fontId="1" fillId="6" borderId="1" xfId="0" applyFont="1" applyFill="1" applyBorder="1" applyAlignment="1" applyProtection="1">
      <alignment horizontal="left" vertical="center" wrapText="1"/>
      <protection locked="0"/>
    </xf>
    <xf numFmtId="0" fontId="1" fillId="6" borderId="2" xfId="0" applyFont="1" applyFill="1" applyBorder="1" applyAlignment="1" applyProtection="1">
      <alignment horizontal="left" vertical="center" wrapText="1"/>
      <protection locked="0"/>
    </xf>
    <xf numFmtId="0" fontId="1" fillId="6" borderId="7" xfId="0" applyFont="1" applyFill="1" applyBorder="1" applyAlignment="1" applyProtection="1">
      <alignment horizontal="left" vertical="center" wrapText="1"/>
      <protection locked="0"/>
    </xf>
    <xf numFmtId="0" fontId="26" fillId="4" borderId="0" xfId="0" applyFont="1" applyFill="1" applyAlignment="1">
      <alignment horizontal="center" vertical="center" wrapText="1"/>
    </xf>
    <xf numFmtId="0" fontId="1" fillId="5" borderId="3" xfId="0" applyFont="1" applyFill="1" applyBorder="1" applyAlignment="1" applyProtection="1">
      <alignment horizontal="center" vertical="center"/>
      <protection locked="0"/>
    </xf>
    <xf numFmtId="0" fontId="7" fillId="6" borderId="3" xfId="0" applyFont="1" applyFill="1" applyBorder="1" applyAlignment="1" applyProtection="1">
      <alignment horizontal="center" vertical="center"/>
      <protection locked="0"/>
    </xf>
    <xf numFmtId="0" fontId="11" fillId="9" borderId="3" xfId="0" applyFont="1" applyFill="1" applyBorder="1" applyAlignment="1" applyProtection="1">
      <alignment horizontal="center" vertical="center" wrapText="1"/>
      <protection locked="0"/>
    </xf>
    <xf numFmtId="0" fontId="3" fillId="4" borderId="2" xfId="0" applyFont="1" applyFill="1" applyBorder="1" applyAlignment="1">
      <alignment horizontal="center" vertical="center"/>
    </xf>
    <xf numFmtId="181" fontId="44" fillId="12" borderId="2" xfId="0" applyNumberFormat="1" applyFont="1" applyFill="1" applyBorder="1" applyAlignment="1">
      <alignment horizontal="center" vertical="center" wrapText="1"/>
    </xf>
    <xf numFmtId="181" fontId="44" fillId="12" borderId="7" xfId="0" applyNumberFormat="1" applyFont="1" applyFill="1" applyBorder="1" applyAlignment="1">
      <alignment horizontal="center" vertical="center" wrapText="1"/>
    </xf>
    <xf numFmtId="181" fontId="44" fillId="12" borderId="1" xfId="0" applyNumberFormat="1" applyFont="1" applyFill="1" applyBorder="1" applyAlignment="1">
      <alignment horizontal="center" vertical="center" wrapText="1"/>
    </xf>
    <xf numFmtId="0" fontId="44" fillId="12" borderId="7" xfId="0" applyFont="1" applyFill="1" applyBorder="1" applyAlignment="1">
      <alignment horizontal="center" vertical="center" wrapText="1"/>
    </xf>
    <xf numFmtId="0" fontId="11" fillId="9" borderId="3" xfId="0" applyFont="1" applyFill="1" applyBorder="1" applyAlignment="1" applyProtection="1">
      <alignment horizontal="center" vertical="center"/>
      <protection locked="0"/>
    </xf>
    <xf numFmtId="181" fontId="44" fillId="12" borderId="3" xfId="0" applyNumberFormat="1" applyFont="1" applyFill="1" applyBorder="1" applyAlignment="1">
      <alignment horizontal="center" vertical="center" wrapText="1"/>
    </xf>
    <xf numFmtId="0" fontId="44" fillId="12" borderId="3" xfId="0" applyFont="1" applyFill="1" applyBorder="1" applyAlignment="1">
      <alignment horizontal="center" vertical="center" wrapText="1"/>
    </xf>
    <xf numFmtId="0" fontId="44" fillId="9" borderId="1" xfId="0" applyFont="1" applyFill="1" applyBorder="1" applyAlignment="1" applyProtection="1">
      <alignment horizontal="center" vertical="center" wrapText="1"/>
      <protection locked="0"/>
    </xf>
    <xf numFmtId="0" fontId="44" fillId="9" borderId="7" xfId="0" applyFont="1" applyFill="1" applyBorder="1" applyAlignment="1" applyProtection="1">
      <alignment horizontal="center" vertical="center" wrapText="1"/>
      <protection locked="0"/>
    </xf>
    <xf numFmtId="0" fontId="14" fillId="2" borderId="0" xfId="0" applyFont="1" applyFill="1" applyAlignment="1">
      <alignment horizontal="center" vertical="center" wrapText="1"/>
    </xf>
    <xf numFmtId="1" fontId="14" fillId="2" borderId="0" xfId="0" applyNumberFormat="1" applyFont="1" applyFill="1" applyAlignment="1">
      <alignment horizontal="center" vertical="center" wrapText="1"/>
    </xf>
    <xf numFmtId="0" fontId="48" fillId="0" borderId="4" xfId="0" applyFont="1" applyBorder="1" applyAlignment="1">
      <alignment horizontal="center" vertical="center" wrapText="1"/>
    </xf>
    <xf numFmtId="0" fontId="48" fillId="0" borderId="5" xfId="0" applyFont="1" applyBorder="1" applyAlignment="1">
      <alignment horizontal="center" vertical="center" wrapText="1"/>
    </xf>
    <xf numFmtId="0" fontId="48" fillId="0" borderId="6" xfId="0" applyFont="1" applyBorder="1" applyAlignment="1">
      <alignment horizontal="center" vertical="center" wrapText="1"/>
    </xf>
    <xf numFmtId="0" fontId="48" fillId="0" borderId="8"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10" xfId="0" applyFont="1" applyBorder="1" applyAlignment="1">
      <alignment horizontal="center" vertical="center" wrapText="1"/>
    </xf>
    <xf numFmtId="0" fontId="47" fillId="0" borderId="3" xfId="0" applyFont="1" applyBorder="1" applyAlignment="1">
      <alignment horizontal="center" vertical="center" wrapText="1"/>
    </xf>
    <xf numFmtId="0" fontId="45" fillId="0" borderId="4" xfId="0" applyFont="1" applyBorder="1" applyAlignment="1">
      <alignment horizontal="center" vertical="center" wrapText="1"/>
    </xf>
    <xf numFmtId="0" fontId="45" fillId="0" borderId="5" xfId="0" applyFont="1" applyBorder="1" applyAlignment="1">
      <alignment horizontal="center" vertical="center" wrapText="1"/>
    </xf>
    <xf numFmtId="0" fontId="45" fillId="0" borderId="6" xfId="0" applyFont="1" applyBorder="1" applyAlignment="1">
      <alignment horizontal="center" vertical="center" wrapText="1"/>
    </xf>
    <xf numFmtId="0" fontId="45" fillId="0" borderId="25" xfId="0" applyFont="1" applyBorder="1" applyAlignment="1">
      <alignment horizontal="center" vertical="center" wrapText="1"/>
    </xf>
    <xf numFmtId="0" fontId="45" fillId="0" borderId="26" xfId="0" applyFont="1" applyBorder="1" applyAlignment="1">
      <alignment horizontal="center" vertical="center" wrapText="1"/>
    </xf>
    <xf numFmtId="0" fontId="1" fillId="10" borderId="24" xfId="0" applyFont="1" applyFill="1" applyBorder="1" applyAlignment="1" applyProtection="1">
      <alignment horizontal="center" vertical="center" wrapText="1"/>
      <protection locked="0"/>
    </xf>
    <xf numFmtId="0" fontId="1" fillId="10" borderId="14" xfId="0" applyFont="1" applyFill="1" applyBorder="1" applyAlignment="1" applyProtection="1">
      <alignment horizontal="center" vertical="center" wrapText="1"/>
      <protection locked="0"/>
    </xf>
    <xf numFmtId="0" fontId="26" fillId="4" borderId="3" xfId="0" applyFont="1" applyFill="1" applyBorder="1" applyAlignment="1">
      <alignment horizontal="center" vertical="center"/>
    </xf>
    <xf numFmtId="0" fontId="1" fillId="2" borderId="1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0" borderId="3" xfId="0" applyFont="1" applyBorder="1" applyAlignment="1">
      <alignment horizontal="center" vertical="center" wrapText="1"/>
    </xf>
    <xf numFmtId="0" fontId="45" fillId="0" borderId="30" xfId="0" applyFont="1" applyBorder="1" applyAlignment="1">
      <alignment horizontal="center" vertical="center" wrapText="1"/>
    </xf>
    <xf numFmtId="0" fontId="45" fillId="0" borderId="31" xfId="0" applyFont="1" applyBorder="1" applyAlignment="1">
      <alignment horizontal="center" vertical="center" wrapText="1"/>
    </xf>
    <xf numFmtId="0" fontId="45" fillId="0" borderId="22" xfId="0" applyFont="1" applyBorder="1" applyAlignment="1">
      <alignment horizontal="center" vertical="center" wrapText="1"/>
    </xf>
    <xf numFmtId="0" fontId="45" fillId="0" borderId="11" xfId="0" applyFont="1" applyBorder="1" applyAlignment="1">
      <alignment horizontal="center" vertical="center" wrapText="1"/>
    </xf>
    <xf numFmtId="0" fontId="45" fillId="0" borderId="35" xfId="0" applyFont="1" applyBorder="1" applyAlignment="1">
      <alignment horizontal="center" vertical="center" wrapText="1"/>
    </xf>
    <xf numFmtId="0" fontId="45" fillId="0" borderId="8" xfId="0" applyFont="1" applyBorder="1" applyAlignment="1">
      <alignment horizontal="center" vertical="center" wrapText="1"/>
    </xf>
    <xf numFmtId="0" fontId="45" fillId="0" borderId="9" xfId="0" applyFont="1" applyBorder="1" applyAlignment="1">
      <alignment horizontal="center" vertical="center" wrapText="1"/>
    </xf>
    <xf numFmtId="0" fontId="45" fillId="0" borderId="10" xfId="0" applyFont="1" applyBorder="1" applyAlignment="1">
      <alignment horizontal="center" vertical="center" wrapText="1"/>
    </xf>
    <xf numFmtId="0" fontId="47" fillId="0" borderId="23" xfId="0" applyFont="1" applyBorder="1" applyAlignment="1">
      <alignment horizontal="center" vertical="center" wrapText="1"/>
    </xf>
    <xf numFmtId="0" fontId="47" fillId="0" borderId="12" xfId="0" applyFont="1" applyBorder="1" applyAlignment="1">
      <alignment horizontal="center" vertical="center" wrapText="1"/>
    </xf>
    <xf numFmtId="0" fontId="47" fillId="0" borderId="36" xfId="0" applyFont="1" applyBorder="1" applyAlignment="1">
      <alignment horizontal="center" vertical="center" wrapText="1"/>
    </xf>
    <xf numFmtId="0" fontId="45" fillId="0" borderId="4" xfId="0" applyFont="1" applyBorder="1" applyAlignment="1">
      <alignment horizontal="left" vertical="top" wrapText="1"/>
    </xf>
    <xf numFmtId="0" fontId="45" fillId="0" borderId="5" xfId="0" applyFont="1" applyBorder="1" applyAlignment="1">
      <alignment horizontal="left" vertical="top" wrapText="1"/>
    </xf>
    <xf numFmtId="0" fontId="45" fillId="0" borderId="6" xfId="0" applyFont="1" applyBorder="1" applyAlignment="1">
      <alignment horizontal="left" vertical="top" wrapText="1"/>
    </xf>
    <xf numFmtId="0" fontId="45" fillId="0" borderId="11" xfId="0" applyFont="1" applyBorder="1" applyAlignment="1">
      <alignment horizontal="left" vertical="top" wrapText="1"/>
    </xf>
    <xf numFmtId="0" fontId="45" fillId="0" borderId="0" xfId="0" applyFont="1" applyAlignment="1">
      <alignment horizontal="left" vertical="top" wrapText="1"/>
    </xf>
    <xf numFmtId="0" fontId="45" fillId="0" borderId="12" xfId="0" applyFont="1" applyBorder="1" applyAlignment="1">
      <alignment horizontal="left" vertical="top" wrapText="1"/>
    </xf>
    <xf numFmtId="0" fontId="45" fillId="0" borderId="8" xfId="0" applyFont="1" applyBorder="1" applyAlignment="1">
      <alignment horizontal="left" vertical="top" wrapText="1"/>
    </xf>
    <xf numFmtId="0" fontId="45" fillId="0" borderId="9" xfId="0" applyFont="1" applyBorder="1" applyAlignment="1">
      <alignment horizontal="left" vertical="top" wrapText="1"/>
    </xf>
    <xf numFmtId="0" fontId="45" fillId="0" borderId="10" xfId="0" applyFont="1" applyBorder="1" applyAlignment="1">
      <alignment horizontal="left" vertical="top" wrapText="1"/>
    </xf>
    <xf numFmtId="0" fontId="48" fillId="0" borderId="1"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27" xfId="0" applyFont="1" applyBorder="1" applyAlignment="1">
      <alignment horizontal="center" vertical="center" wrapText="1"/>
    </xf>
    <xf numFmtId="0" fontId="48" fillId="0" borderId="11" xfId="0" applyFont="1" applyBorder="1" applyAlignment="1">
      <alignment horizontal="center" vertical="center" wrapText="1"/>
    </xf>
    <xf numFmtId="0" fontId="48" fillId="0" borderId="0" xfId="0" applyFont="1" applyAlignment="1">
      <alignment horizontal="center" vertical="center" wrapText="1"/>
    </xf>
    <xf numFmtId="0" fontId="48" fillId="0" borderId="12" xfId="0" applyFont="1" applyBorder="1" applyAlignment="1">
      <alignment horizontal="center" vertical="center" wrapText="1"/>
    </xf>
    <xf numFmtId="0" fontId="49" fillId="0" borderId="4" xfId="0" applyFont="1" applyBorder="1" applyAlignment="1">
      <alignment horizontal="center" vertical="center" wrapText="1"/>
    </xf>
    <xf numFmtId="0" fontId="49" fillId="0" borderId="5" xfId="0" applyFont="1" applyBorder="1" applyAlignment="1">
      <alignment horizontal="center" vertical="center" wrapText="1"/>
    </xf>
    <xf numFmtId="0" fontId="49" fillId="0" borderId="6" xfId="0" applyFont="1" applyBorder="1" applyAlignment="1">
      <alignment horizontal="center" vertical="center" wrapText="1"/>
    </xf>
    <xf numFmtId="0" fontId="49" fillId="0" borderId="8" xfId="0" applyFont="1" applyBorder="1" applyAlignment="1">
      <alignment horizontal="center" vertical="center" wrapText="1"/>
    </xf>
    <xf numFmtId="0" fontId="49" fillId="0" borderId="9" xfId="0" applyFont="1" applyBorder="1" applyAlignment="1">
      <alignment horizontal="center" vertical="center" wrapText="1"/>
    </xf>
    <xf numFmtId="0" fontId="49" fillId="0" borderId="10" xfId="0" applyFont="1" applyBorder="1" applyAlignment="1">
      <alignment horizontal="center" vertical="center" wrapText="1"/>
    </xf>
    <xf numFmtId="0" fontId="45" fillId="0" borderId="29" xfId="0" applyFont="1" applyBorder="1" applyAlignment="1">
      <alignment horizontal="center" vertical="center" wrapText="1"/>
    </xf>
    <xf numFmtId="0" fontId="50" fillId="0" borderId="37" xfId="0" applyFont="1" applyBorder="1" applyAlignment="1">
      <alignment horizontal="center" vertical="center"/>
    </xf>
    <xf numFmtId="0" fontId="50" fillId="0" borderId="38" xfId="0" applyFont="1" applyBorder="1" applyAlignment="1">
      <alignment horizontal="center" vertical="center"/>
    </xf>
    <xf numFmtId="0" fontId="50" fillId="0" borderId="39" xfId="0" applyFont="1" applyBorder="1" applyAlignment="1">
      <alignment horizontal="center" vertical="center"/>
    </xf>
    <xf numFmtId="0" fontId="4" fillId="0" borderId="38" xfId="0" applyFont="1" applyBorder="1" applyAlignment="1">
      <alignment horizontal="center" vertical="center"/>
    </xf>
    <xf numFmtId="0" fontId="52" fillId="0" borderId="37" xfId="1" applyBorder="1" applyAlignment="1" applyProtection="1">
      <alignment horizontal="center" vertical="center"/>
    </xf>
    <xf numFmtId="0" fontId="52" fillId="0" borderId="38" xfId="1" applyBorder="1" applyAlignment="1" applyProtection="1">
      <alignment horizontal="center" vertical="center"/>
    </xf>
    <xf numFmtId="0" fontId="52" fillId="0" borderId="39" xfId="1" applyBorder="1" applyAlignment="1" applyProtection="1">
      <alignment horizontal="center" vertical="center"/>
    </xf>
    <xf numFmtId="0" fontId="52" fillId="13" borderId="41" xfId="1" applyFill="1" applyBorder="1" applyAlignment="1" applyProtection="1">
      <alignment horizontal="center" vertical="center" wrapText="1"/>
    </xf>
    <xf numFmtId="0" fontId="52" fillId="0" borderId="41" xfId="1" applyBorder="1" applyAlignment="1" applyProtection="1">
      <alignment horizontal="center" vertical="center" wrapText="1"/>
    </xf>
    <xf numFmtId="0" fontId="52" fillId="4" borderId="41" xfId="1" applyFill="1" applyBorder="1" applyAlignment="1" applyProtection="1">
      <alignment horizontal="center" vertical="center" wrapText="1"/>
    </xf>
    <xf numFmtId="0" fontId="52" fillId="4" borderId="44" xfId="1" applyFill="1" applyBorder="1" applyAlignment="1" applyProtection="1">
      <alignment horizontal="center" vertical="center" wrapText="1"/>
    </xf>
    <xf numFmtId="0" fontId="52" fillId="16" borderId="41" xfId="1" applyFill="1" applyBorder="1" applyAlignment="1" applyProtection="1">
      <alignment horizontal="center" vertical="center" wrapText="1"/>
    </xf>
    <xf numFmtId="0" fontId="50" fillId="20" borderId="41" xfId="0" applyFont="1" applyFill="1" applyBorder="1" applyAlignment="1">
      <alignment horizontal="center" vertical="center"/>
    </xf>
    <xf numFmtId="0" fontId="52" fillId="19" borderId="41" xfId="1" applyFill="1" applyBorder="1" applyAlignment="1" applyProtection="1">
      <alignment horizontal="center" vertical="center" wrapText="1"/>
    </xf>
    <xf numFmtId="0" fontId="52" fillId="18" borderId="41" xfId="1" applyFill="1" applyBorder="1" applyAlignment="1" applyProtection="1">
      <alignment horizontal="center" vertical="center" wrapText="1"/>
    </xf>
    <xf numFmtId="0" fontId="52" fillId="15" borderId="41" xfId="1" applyFill="1" applyBorder="1" applyAlignment="1" applyProtection="1">
      <alignment horizontal="center" vertical="center" wrapText="1"/>
    </xf>
    <xf numFmtId="0" fontId="50" fillId="23" borderId="41" xfId="0" applyFont="1" applyFill="1" applyBorder="1" applyAlignment="1">
      <alignment horizontal="center" vertical="center"/>
    </xf>
    <xf numFmtId="0" fontId="52" fillId="14" borderId="41" xfId="1" applyFill="1" applyBorder="1" applyAlignment="1" applyProtection="1">
      <alignment horizontal="center" vertical="center" wrapText="1"/>
    </xf>
    <xf numFmtId="0" fontId="52" fillId="15" borderId="41" xfId="1" applyFill="1" applyBorder="1" applyAlignment="1" applyProtection="1">
      <alignment horizontal="center" vertical="center"/>
    </xf>
    <xf numFmtId="0" fontId="50" fillId="22" borderId="41" xfId="0" applyFont="1" applyFill="1" applyBorder="1" applyAlignment="1">
      <alignment horizontal="center" vertical="center"/>
    </xf>
    <xf numFmtId="0" fontId="4" fillId="22" borderId="41" xfId="0" applyFont="1" applyFill="1" applyBorder="1" applyAlignment="1">
      <alignment horizontal="center" vertical="center"/>
    </xf>
    <xf numFmtId="0" fontId="50" fillId="0" borderId="37" xfId="0" applyFont="1" applyBorder="1" applyAlignment="1">
      <alignment horizontal="center" vertical="center" wrapText="1"/>
    </xf>
    <xf numFmtId="0" fontId="50" fillId="0" borderId="39" xfId="0" applyFont="1" applyBorder="1" applyAlignment="1">
      <alignment horizontal="center" vertical="center" wrapText="1"/>
    </xf>
    <xf numFmtId="0" fontId="50" fillId="0" borderId="38" xfId="0" applyFont="1" applyBorder="1" applyAlignment="1">
      <alignment horizontal="center" vertical="center" wrapText="1"/>
    </xf>
    <xf numFmtId="0" fontId="50" fillId="24" borderId="38" xfId="0" applyFont="1" applyFill="1" applyBorder="1" applyAlignment="1">
      <alignment horizontal="center" vertical="center"/>
    </xf>
    <xf numFmtId="0" fontId="50" fillId="24" borderId="39" xfId="0" applyFont="1" applyFill="1" applyBorder="1" applyAlignment="1">
      <alignment horizontal="center" vertical="center"/>
    </xf>
    <xf numFmtId="0" fontId="50" fillId="0" borderId="41" xfId="0" applyFont="1" applyBorder="1" applyAlignment="1">
      <alignment horizontal="center" vertical="center" wrapText="1"/>
    </xf>
    <xf numFmtId="0" fontId="4" fillId="0" borderId="39" xfId="0" applyFont="1" applyBorder="1" applyAlignment="1">
      <alignment horizontal="center" vertical="center"/>
    </xf>
    <xf numFmtId="0" fontId="50" fillId="0" borderId="0" xfId="0" applyFont="1" applyAlignment="1">
      <alignment horizontal="center" vertical="center"/>
    </xf>
    <xf numFmtId="0" fontId="4" fillId="0" borderId="41" xfId="0" applyFont="1" applyBorder="1" applyAlignment="1">
      <alignment horizontal="center" vertical="center" wrapText="1"/>
    </xf>
    <xf numFmtId="0" fontId="50" fillId="0" borderId="47" xfId="0" applyFont="1" applyBorder="1" applyAlignment="1">
      <alignment horizontal="center" vertical="center"/>
    </xf>
    <xf numFmtId="0" fontId="4" fillId="0" borderId="0" xfId="0" applyFont="1" applyAlignment="1">
      <alignment horizontal="center" vertical="center" wrapText="1"/>
    </xf>
    <xf numFmtId="0" fontId="4" fillId="0" borderId="38" xfId="0" applyFont="1" applyBorder="1" applyAlignment="1">
      <alignment horizontal="center" vertical="center" wrapText="1"/>
    </xf>
    <xf numFmtId="0" fontId="50" fillId="0" borderId="0" xfId="0" applyFont="1" applyAlignment="1">
      <alignment horizontal="center" vertical="center" wrapText="1"/>
    </xf>
    <xf numFmtId="0" fontId="4" fillId="0" borderId="47"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44" xfId="0" applyFont="1" applyBorder="1" applyAlignment="1">
      <alignment horizontal="center" vertical="center" wrapText="1"/>
    </xf>
    <xf numFmtId="0" fontId="50" fillId="0" borderId="41" xfId="0" applyFont="1" applyBorder="1" applyAlignment="1">
      <alignment horizontal="center" vertical="center"/>
    </xf>
    <xf numFmtId="0" fontId="50" fillId="0" borderId="42" xfId="0" applyFont="1" applyBorder="1" applyAlignment="1">
      <alignment horizontal="center" vertical="center" wrapText="1"/>
    </xf>
    <xf numFmtId="0" fontId="52" fillId="17" borderId="37" xfId="1" applyFill="1" applyBorder="1" applyAlignment="1" applyProtection="1">
      <alignment horizontal="center" vertical="center" wrapText="1"/>
    </xf>
    <xf numFmtId="0" fontId="52" fillId="17" borderId="41" xfId="1" applyFill="1" applyBorder="1" applyAlignment="1" applyProtection="1">
      <alignment horizontal="center" vertical="center" wrapText="1"/>
    </xf>
    <xf numFmtId="0" fontId="4" fillId="20" borderId="38" xfId="0" applyFont="1" applyFill="1" applyBorder="1" applyAlignment="1">
      <alignment horizontal="center" vertical="center" wrapText="1"/>
    </xf>
    <xf numFmtId="0" fontId="4" fillId="20" borderId="0" xfId="0" applyFont="1" applyFill="1" applyAlignment="1">
      <alignment horizontal="center" vertical="center" wrapText="1"/>
    </xf>
    <xf numFmtId="0" fontId="52" fillId="19" borderId="44" xfId="1" applyFill="1" applyBorder="1" applyAlignment="1" applyProtection="1">
      <alignment horizontal="center" vertical="center" wrapText="1"/>
    </xf>
    <xf numFmtId="0" fontId="1" fillId="0" borderId="70" xfId="0" applyFont="1" applyBorder="1" applyAlignment="1">
      <alignment horizontal="left" vertical="center"/>
    </xf>
    <xf numFmtId="0" fontId="1" fillId="0" borderId="71" xfId="0" applyFont="1" applyBorder="1" applyAlignment="1">
      <alignment horizontal="left" vertical="center"/>
    </xf>
    <xf numFmtId="0" fontId="1" fillId="0" borderId="66" xfId="0" applyFont="1" applyBorder="1" applyAlignment="1">
      <alignment horizontal="center" vertical="center"/>
    </xf>
    <xf numFmtId="0" fontId="1" fillId="0" borderId="67" xfId="0" applyFont="1" applyBorder="1" applyAlignment="1">
      <alignment horizontal="center" vertical="center"/>
    </xf>
    <xf numFmtId="0" fontId="2" fillId="4" borderId="53" xfId="0" applyFont="1" applyFill="1" applyBorder="1" applyAlignment="1">
      <alignment horizontal="center" vertical="center" wrapText="1"/>
    </xf>
    <xf numFmtId="0" fontId="2" fillId="4" borderId="54" xfId="0" applyFont="1" applyFill="1" applyBorder="1" applyAlignment="1">
      <alignment horizontal="center" vertical="center" wrapText="1"/>
    </xf>
    <xf numFmtId="0" fontId="1" fillId="0" borderId="70" xfId="0" applyFont="1" applyBorder="1" applyAlignment="1">
      <alignment horizontal="left" vertical="center" wrapText="1"/>
    </xf>
    <xf numFmtId="0" fontId="1" fillId="0" borderId="71" xfId="0" applyFont="1" applyBorder="1" applyAlignment="1">
      <alignment horizontal="left" vertical="center" wrapText="1"/>
    </xf>
    <xf numFmtId="0" fontId="1" fillId="0" borderId="72" xfId="0" applyFont="1" applyBorder="1" applyAlignment="1">
      <alignment horizontal="left" vertical="center" wrapText="1"/>
    </xf>
    <xf numFmtId="0" fontId="71" fillId="0" borderId="71" xfId="0" applyFont="1" applyBorder="1" applyAlignment="1">
      <alignment horizontal="center" vertical="center"/>
    </xf>
    <xf numFmtId="0" fontId="71" fillId="0" borderId="72" xfId="0" applyFont="1" applyBorder="1" applyAlignment="1">
      <alignment horizontal="center" vertical="center"/>
    </xf>
    <xf numFmtId="0" fontId="2" fillId="4" borderId="55" xfId="0" applyFont="1" applyFill="1" applyBorder="1" applyAlignment="1">
      <alignment horizontal="center" vertical="center" wrapText="1"/>
    </xf>
    <xf numFmtId="0" fontId="2" fillId="4" borderId="56" xfId="0" applyFont="1" applyFill="1" applyBorder="1" applyAlignment="1">
      <alignment horizontal="center" vertical="center" wrapText="1"/>
    </xf>
    <xf numFmtId="0" fontId="1" fillId="0" borderId="63" xfId="0" applyFont="1" applyBorder="1" applyAlignment="1">
      <alignment horizontal="left" vertical="center"/>
    </xf>
    <xf numFmtId="0" fontId="1" fillId="0" borderId="64" xfId="0" applyFont="1" applyBorder="1" applyAlignment="1">
      <alignment horizontal="left" vertical="center"/>
    </xf>
    <xf numFmtId="0" fontId="1" fillId="0" borderId="65" xfId="0" applyFont="1" applyBorder="1" applyAlignment="1">
      <alignment horizontal="left" vertical="center"/>
    </xf>
    <xf numFmtId="0" fontId="1" fillId="0" borderId="76" xfId="0" applyFont="1" applyBorder="1" applyAlignment="1">
      <alignment horizontal="center" vertical="center"/>
    </xf>
    <xf numFmtId="0" fontId="1" fillId="0" borderId="77" xfId="0" applyFont="1" applyBorder="1" applyAlignment="1">
      <alignment horizontal="center" vertical="center"/>
    </xf>
    <xf numFmtId="0" fontId="1" fillId="0" borderId="78" xfId="0" applyFont="1" applyBorder="1" applyAlignment="1">
      <alignment horizontal="left" vertical="center" wrapText="1"/>
    </xf>
    <xf numFmtId="0" fontId="1" fillId="0" borderId="79" xfId="0" applyFont="1" applyBorder="1" applyAlignment="1">
      <alignment horizontal="left" vertical="center" wrapText="1"/>
    </xf>
    <xf numFmtId="0" fontId="1" fillId="0" borderId="80" xfId="0" applyFont="1" applyBorder="1" applyAlignment="1">
      <alignment horizontal="left" vertical="center"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1" fillId="0" borderId="41" xfId="0" applyFont="1" applyBorder="1" applyAlignment="1">
      <alignment horizontal="left" vertical="top" wrapText="1"/>
    </xf>
    <xf numFmtId="0" fontId="1" fillId="0" borderId="0" xfId="0" applyFont="1" applyAlignment="1">
      <alignment horizontal="left" vertical="top" wrapText="1"/>
    </xf>
    <xf numFmtId="0" fontId="1" fillId="0" borderId="42" xfId="0" applyFont="1" applyBorder="1" applyAlignment="1">
      <alignment horizontal="left" vertical="top" wrapText="1"/>
    </xf>
    <xf numFmtId="0" fontId="1" fillId="0" borderId="44" xfId="0" applyFont="1" applyBorder="1" applyAlignment="1">
      <alignment horizontal="left" vertical="top" wrapText="1"/>
    </xf>
    <xf numFmtId="0" fontId="1" fillId="0" borderId="47" xfId="0" applyFont="1" applyBorder="1" applyAlignment="1">
      <alignment horizontal="left" vertical="top" wrapText="1"/>
    </xf>
    <xf numFmtId="0" fontId="1" fillId="0" borderId="45" xfId="0" applyFont="1" applyBorder="1" applyAlignment="1">
      <alignment horizontal="left" vertical="top" wrapText="1"/>
    </xf>
    <xf numFmtId="0" fontId="2" fillId="4" borderId="68" xfId="0" applyFont="1" applyFill="1" applyBorder="1" applyAlignment="1">
      <alignment horizontal="center" vertical="center" wrapText="1"/>
    </xf>
    <xf numFmtId="0" fontId="2" fillId="4" borderId="69" xfId="0" applyFont="1" applyFill="1" applyBorder="1" applyAlignment="1">
      <alignment horizontal="center" vertical="center" wrapText="1"/>
    </xf>
    <xf numFmtId="0" fontId="70" fillId="9" borderId="37" xfId="0" applyFont="1" applyFill="1" applyBorder="1" applyAlignment="1" applyProtection="1">
      <alignment horizontal="center" vertical="center" wrapText="1"/>
      <protection locked="0"/>
    </xf>
    <xf numFmtId="0" fontId="70" fillId="9" borderId="38" xfId="0" applyFont="1" applyFill="1" applyBorder="1" applyAlignment="1" applyProtection="1">
      <alignment horizontal="center" vertical="center" wrapText="1"/>
      <protection locked="0"/>
    </xf>
    <xf numFmtId="0" fontId="70" fillId="9" borderId="39" xfId="0" applyFont="1" applyFill="1" applyBorder="1" applyAlignment="1" applyProtection="1">
      <alignment horizontal="center" vertical="center" wrapText="1"/>
      <protection locked="0"/>
    </xf>
    <xf numFmtId="0" fontId="70" fillId="9" borderId="44" xfId="0" applyFont="1" applyFill="1" applyBorder="1" applyAlignment="1" applyProtection="1">
      <alignment horizontal="center" vertical="center" wrapText="1"/>
      <protection locked="0"/>
    </xf>
    <xf numFmtId="0" fontId="70" fillId="9" borderId="47" xfId="0" applyFont="1" applyFill="1" applyBorder="1" applyAlignment="1" applyProtection="1">
      <alignment horizontal="center" vertical="center" wrapText="1"/>
      <protection locked="0"/>
    </xf>
    <xf numFmtId="0" fontId="70" fillId="9" borderId="45" xfId="0" applyFont="1" applyFill="1" applyBorder="1" applyAlignment="1" applyProtection="1">
      <alignment horizontal="center" vertical="center" wrapText="1"/>
      <protection locked="0"/>
    </xf>
    <xf numFmtId="0" fontId="8" fillId="2" borderId="50" xfId="0" applyFont="1" applyFill="1" applyBorder="1" applyAlignment="1">
      <alignment horizontal="left" vertical="center" wrapText="1"/>
    </xf>
    <xf numFmtId="0" fontId="8" fillId="2" borderId="51" xfId="0" applyFont="1" applyFill="1" applyBorder="1" applyAlignment="1">
      <alignment horizontal="left" vertical="center" wrapText="1"/>
    </xf>
    <xf numFmtId="0" fontId="8" fillId="2" borderId="52" xfId="0" applyFont="1" applyFill="1" applyBorder="1" applyAlignment="1">
      <alignment horizontal="left" vertical="center" wrapText="1"/>
    </xf>
    <xf numFmtId="0" fontId="8" fillId="2" borderId="57" xfId="0" applyFont="1" applyFill="1" applyBorder="1" applyAlignment="1">
      <alignment horizontal="left" vertical="center" wrapText="1"/>
    </xf>
    <xf numFmtId="0" fontId="8" fillId="2" borderId="0" xfId="0" applyFont="1" applyFill="1" applyAlignment="1">
      <alignment horizontal="left" vertical="center" wrapText="1"/>
    </xf>
    <xf numFmtId="0" fontId="8" fillId="2" borderId="58" xfId="0" applyFont="1" applyFill="1" applyBorder="1" applyAlignment="1">
      <alignment horizontal="left" vertical="center" wrapText="1"/>
    </xf>
    <xf numFmtId="0" fontId="8" fillId="2" borderId="73" xfId="0" applyFont="1" applyFill="1" applyBorder="1" applyAlignment="1">
      <alignment horizontal="left" vertical="center" wrapText="1"/>
    </xf>
    <xf numFmtId="0" fontId="8" fillId="2" borderId="74" xfId="0" applyFont="1" applyFill="1" applyBorder="1" applyAlignment="1">
      <alignment horizontal="left" vertical="center" wrapText="1"/>
    </xf>
    <xf numFmtId="0" fontId="8" fillId="2" borderId="75" xfId="0" applyFont="1" applyFill="1" applyBorder="1" applyAlignment="1">
      <alignment horizontal="left" vertical="center" wrapText="1"/>
    </xf>
    <xf numFmtId="0" fontId="2" fillId="4" borderId="11" xfId="2" applyFont="1" applyFill="1" applyBorder="1" applyAlignment="1" applyProtection="1">
      <alignment horizontal="center" vertical="center" wrapText="1"/>
    </xf>
    <xf numFmtId="0" fontId="2" fillId="4" borderId="0" xfId="2" applyFont="1" applyFill="1" applyAlignment="1" applyProtection="1">
      <alignment horizontal="center" vertical="center" wrapText="1"/>
    </xf>
    <xf numFmtId="0" fontId="2" fillId="4" borderId="3" xfId="2" applyFont="1" applyFill="1" applyBorder="1" applyAlignment="1" applyProtection="1">
      <alignment horizontal="center" vertical="center" wrapText="1"/>
    </xf>
    <xf numFmtId="0" fontId="73" fillId="5" borderId="3" xfId="2" applyFont="1" applyFill="1" applyBorder="1" applyAlignment="1">
      <alignment horizontal="center" vertical="center" wrapText="1"/>
      <protection locked="0"/>
    </xf>
    <xf numFmtId="0" fontId="2" fillId="3" borderId="1" xfId="2" applyFont="1" applyFill="1" applyBorder="1" applyAlignment="1" applyProtection="1">
      <alignment horizontal="center" vertical="center" wrapText="1"/>
    </xf>
    <xf numFmtId="0" fontId="2" fillId="3" borderId="2" xfId="2" applyFont="1" applyFill="1" applyBorder="1" applyAlignment="1" applyProtection="1">
      <alignment horizontal="center" vertical="center" wrapText="1"/>
    </xf>
    <xf numFmtId="0" fontId="2" fillId="3" borderId="7" xfId="2" applyFont="1" applyFill="1" applyBorder="1" applyAlignment="1" applyProtection="1">
      <alignment horizontal="center" vertical="center" wrapText="1"/>
    </xf>
    <xf numFmtId="0" fontId="1" fillId="2" borderId="0" xfId="2" applyFont="1" applyFill="1" applyAlignment="1" applyProtection="1">
      <alignment horizontal="center" vertical="center" wrapText="1"/>
    </xf>
    <xf numFmtId="0" fontId="2" fillId="3" borderId="11" xfId="2" applyFont="1" applyFill="1" applyBorder="1" applyAlignment="1" applyProtection="1">
      <alignment horizontal="center" vertical="center" wrapText="1"/>
    </xf>
    <xf numFmtId="0" fontId="2" fillId="3" borderId="0" xfId="2" applyFont="1" applyFill="1" applyAlignment="1" applyProtection="1">
      <alignment horizontal="center" vertical="center" wrapText="1"/>
    </xf>
    <xf numFmtId="0" fontId="2" fillId="4" borderId="4" xfId="2" applyFont="1" applyFill="1" applyBorder="1" applyAlignment="1" applyProtection="1">
      <alignment horizontal="center" vertical="center" wrapText="1"/>
    </xf>
    <xf numFmtId="0" fontId="2" fillId="4" borderId="5" xfId="2" applyFont="1" applyFill="1" applyBorder="1" applyAlignment="1" applyProtection="1">
      <alignment horizontal="center" vertical="center" wrapText="1"/>
    </xf>
    <xf numFmtId="0" fontId="2" fillId="4" borderId="6" xfId="2" applyFont="1" applyFill="1" applyBorder="1" applyAlignment="1" applyProtection="1">
      <alignment horizontal="center" vertical="center" wrapText="1"/>
    </xf>
    <xf numFmtId="186" fontId="1" fillId="5" borderId="3" xfId="2" applyNumberFormat="1" applyFont="1" applyFill="1" applyBorder="1" applyAlignment="1">
      <alignment horizontal="center" vertical="center" wrapText="1"/>
      <protection locked="0"/>
    </xf>
    <xf numFmtId="0" fontId="72" fillId="2" borderId="2" xfId="2" applyFont="1" applyFill="1" applyBorder="1" applyAlignment="1" applyProtection="1">
      <alignment horizontal="center" wrapText="1"/>
    </xf>
    <xf numFmtId="0" fontId="1" fillId="5" borderId="1" xfId="2" applyFont="1" applyFill="1" applyBorder="1" applyAlignment="1">
      <alignment horizontal="center" vertical="center" wrapText="1"/>
      <protection locked="0"/>
    </xf>
    <xf numFmtId="0" fontId="1" fillId="5" borderId="7" xfId="2" applyFont="1" applyFill="1" applyBorder="1" applyAlignment="1">
      <alignment horizontal="center" vertical="center" wrapText="1"/>
      <protection locked="0"/>
    </xf>
    <xf numFmtId="0" fontId="1" fillId="2" borderId="11" xfId="2" applyFont="1" applyFill="1" applyBorder="1" applyAlignment="1" applyProtection="1">
      <alignment horizontal="left" vertical="center"/>
    </xf>
    <xf numFmtId="0" fontId="1" fillId="2" borderId="0" xfId="2" applyFont="1" applyFill="1" applyAlignment="1" applyProtection="1">
      <alignment horizontal="left" vertical="center"/>
    </xf>
    <xf numFmtId="0" fontId="73" fillId="5" borderId="3" xfId="2" applyFont="1" applyFill="1" applyBorder="1" applyAlignment="1" applyProtection="1">
      <alignment horizontal="center" vertical="center" wrapText="1"/>
    </xf>
    <xf numFmtId="0" fontId="72" fillId="2" borderId="0" xfId="2" applyFont="1" applyFill="1" applyAlignment="1" applyProtection="1">
      <alignment horizontal="center" wrapText="1"/>
    </xf>
    <xf numFmtId="185" fontId="1" fillId="12" borderId="1" xfId="2" applyNumberFormat="1" applyFont="1" applyFill="1" applyBorder="1" applyAlignment="1" applyProtection="1">
      <alignment horizontal="center" vertical="center"/>
    </xf>
    <xf numFmtId="185" fontId="1" fillId="12" borderId="7" xfId="2" applyNumberFormat="1" applyFont="1" applyFill="1" applyBorder="1" applyAlignment="1" applyProtection="1">
      <alignment horizontal="center" vertical="center"/>
    </xf>
    <xf numFmtId="0" fontId="1" fillId="2" borderId="12" xfId="2" applyFont="1" applyFill="1" applyBorder="1" applyAlignment="1" applyProtection="1">
      <alignment horizontal="left" vertical="center"/>
    </xf>
    <xf numFmtId="0" fontId="1" fillId="5" borderId="86" xfId="0" applyFont="1" applyFill="1" applyBorder="1" applyAlignment="1">
      <alignment horizontal="left" vertical="center"/>
    </xf>
    <xf numFmtId="0" fontId="1" fillId="5" borderId="86" xfId="0" applyFont="1" applyFill="1" applyBorder="1" applyAlignment="1">
      <alignment horizontal="left" vertical="center" wrapText="1"/>
    </xf>
    <xf numFmtId="0" fontId="1" fillId="38" borderId="86" xfId="0" applyFont="1" applyFill="1" applyBorder="1" applyAlignment="1">
      <alignment horizontal="left" vertical="center" wrapText="1"/>
    </xf>
    <xf numFmtId="0" fontId="0" fillId="0" borderId="0" xfId="0">
      <alignment vertical="center"/>
    </xf>
    <xf numFmtId="0" fontId="1" fillId="0" borderId="86" xfId="0" applyFont="1" applyBorder="1" applyAlignment="1">
      <alignment horizontal="center" vertical="center" wrapText="1"/>
    </xf>
    <xf numFmtId="0" fontId="1" fillId="0" borderId="86" xfId="0" applyFont="1" applyBorder="1" applyAlignment="1">
      <alignment horizontal="left" vertical="center" wrapText="1"/>
    </xf>
    <xf numFmtId="0" fontId="1" fillId="5" borderId="71" xfId="0" applyFont="1" applyFill="1" applyBorder="1" applyAlignment="1">
      <alignment horizontal="center" vertical="center"/>
    </xf>
    <xf numFmtId="0" fontId="76" fillId="5" borderId="71" xfId="0" applyFont="1" applyFill="1" applyBorder="1" applyAlignment="1">
      <alignment horizontal="center" vertical="center"/>
    </xf>
    <xf numFmtId="0" fontId="71" fillId="9" borderId="86" xfId="0" applyFont="1" applyFill="1" applyBorder="1" applyAlignment="1">
      <alignment horizontal="center" vertical="center"/>
    </xf>
    <xf numFmtId="0" fontId="50" fillId="0" borderId="90" xfId="0" applyFont="1" applyBorder="1" applyAlignment="1">
      <alignment horizontal="center" vertical="center"/>
    </xf>
    <xf numFmtId="0" fontId="4" fillId="0" borderId="91" xfId="0" applyFont="1" applyBorder="1" applyAlignment="1">
      <alignment horizontal="center" vertical="center"/>
    </xf>
    <xf numFmtId="0" fontId="4" fillId="0" borderId="92" xfId="0" applyFont="1" applyBorder="1" applyAlignment="1">
      <alignment horizontal="center" vertical="center"/>
    </xf>
    <xf numFmtId="0" fontId="2" fillId="37" borderId="79" xfId="0" applyFont="1" applyFill="1" applyBorder="1" applyAlignment="1">
      <alignment horizontal="center" vertical="center" wrapText="1"/>
    </xf>
    <xf numFmtId="0" fontId="2" fillId="37" borderId="86" xfId="0" applyFont="1" applyFill="1" applyBorder="1" applyAlignment="1">
      <alignment horizontal="center" vertical="center"/>
    </xf>
    <xf numFmtId="0" fontId="74" fillId="0" borderId="86" xfId="0" applyFont="1" applyBorder="1" applyAlignment="1">
      <alignment horizontal="center" vertical="center" wrapText="1"/>
    </xf>
    <xf numFmtId="0" fontId="77" fillId="0" borderId="90" xfId="3" applyBorder="1" applyAlignment="1" applyProtection="1">
      <alignment horizontal="center" vertical="center"/>
    </xf>
    <xf numFmtId="0" fontId="77" fillId="0" borderId="91" xfId="3" applyBorder="1" applyAlignment="1" applyProtection="1">
      <alignment horizontal="center" vertical="center"/>
    </xf>
    <xf numFmtId="0" fontId="77" fillId="0" borderId="92" xfId="3" applyBorder="1" applyAlignment="1" applyProtection="1">
      <alignment horizontal="center" vertical="center"/>
    </xf>
    <xf numFmtId="0" fontId="77" fillId="0" borderId="93" xfId="3" applyBorder="1" applyAlignment="1" applyProtection="1">
      <alignment horizontal="center" vertical="center"/>
    </xf>
    <xf numFmtId="0" fontId="77" fillId="0" borderId="64" xfId="3" applyBorder="1" applyAlignment="1" applyProtection="1">
      <alignment horizontal="center" vertical="center"/>
    </xf>
    <xf numFmtId="0" fontId="77" fillId="0" borderId="65" xfId="3" applyBorder="1" applyAlignment="1" applyProtection="1">
      <alignment horizontal="center" vertical="center"/>
    </xf>
    <xf numFmtId="0" fontId="2" fillId="37" borderId="86" xfId="0" applyFont="1" applyFill="1" applyBorder="1" applyAlignment="1">
      <alignment horizontal="center" vertical="center" wrapText="1"/>
    </xf>
    <xf numFmtId="0" fontId="1" fillId="0" borderId="86" xfId="0" applyFont="1" applyBorder="1" applyAlignment="1">
      <alignment horizontal="left" vertical="center"/>
    </xf>
    <xf numFmtId="0" fontId="75" fillId="5" borderId="71" xfId="0" applyFont="1" applyFill="1" applyBorder="1" applyAlignment="1">
      <alignment horizontal="center" vertical="center"/>
    </xf>
    <xf numFmtId="0" fontId="1" fillId="5" borderId="94" xfId="0" applyFont="1" applyFill="1" applyBorder="1" applyAlignment="1" applyProtection="1">
      <alignment horizontal="center" vertical="center" wrapText="1"/>
      <protection locked="0"/>
    </xf>
    <xf numFmtId="0" fontId="1" fillId="6" borderId="94" xfId="0" applyFont="1" applyFill="1" applyBorder="1" applyAlignment="1" applyProtection="1">
      <alignment horizontal="center" vertical="center" wrapText="1"/>
      <protection locked="0"/>
    </xf>
    <xf numFmtId="0" fontId="2" fillId="3" borderId="12" xfId="0" applyFont="1" applyFill="1" applyBorder="1" applyAlignment="1">
      <alignment horizontal="center" vertical="center" wrapText="1"/>
    </xf>
    <xf numFmtId="0" fontId="1" fillId="5" borderId="94" xfId="0" applyFont="1" applyFill="1" applyBorder="1" applyAlignment="1" applyProtection="1">
      <alignment horizontal="left" vertical="center" wrapText="1"/>
      <protection locked="0"/>
    </xf>
    <xf numFmtId="0" fontId="1" fillId="6" borderId="94" xfId="0" applyFont="1" applyFill="1" applyBorder="1" applyAlignment="1" applyProtection="1">
      <alignment horizontal="left" vertical="center" wrapText="1"/>
      <protection locked="0"/>
    </xf>
    <xf numFmtId="0" fontId="15" fillId="2" borderId="0" xfId="0" applyFont="1" applyFill="1" applyAlignment="1">
      <alignment horizontal="center" wrapText="1"/>
    </xf>
    <xf numFmtId="0" fontId="79" fillId="2" borderId="0" xfId="0" applyFont="1" applyFill="1" applyAlignment="1">
      <alignment horizontal="center"/>
    </xf>
    <xf numFmtId="0" fontId="43" fillId="11" borderId="94" xfId="0" applyFont="1" applyFill="1" applyBorder="1" applyAlignment="1">
      <alignment horizontal="center" vertical="center" wrapText="1"/>
    </xf>
    <xf numFmtId="0" fontId="8" fillId="6" borderId="94" xfId="0" applyFont="1" applyFill="1" applyBorder="1" applyAlignment="1" applyProtection="1">
      <alignment horizontal="left" vertical="center"/>
      <protection locked="0"/>
    </xf>
    <xf numFmtId="0" fontId="8" fillId="5" borderId="95" xfId="0" applyFont="1" applyFill="1" applyBorder="1" applyAlignment="1" applyProtection="1">
      <alignment horizontal="center" vertical="center"/>
      <protection locked="0"/>
    </xf>
    <xf numFmtId="0" fontId="8" fillId="5" borderId="96" xfId="0" applyFont="1" applyFill="1" applyBorder="1" applyAlignment="1" applyProtection="1">
      <alignment horizontal="center" vertical="center"/>
      <protection locked="0"/>
    </xf>
    <xf numFmtId="0" fontId="8" fillId="5" borderId="97" xfId="0" applyFont="1" applyFill="1" applyBorder="1" applyAlignment="1" applyProtection="1">
      <alignment horizontal="center" vertical="center"/>
      <protection locked="0"/>
    </xf>
    <xf numFmtId="0" fontId="40" fillId="11" borderId="94" xfId="0" applyFont="1" applyFill="1" applyBorder="1" applyAlignment="1">
      <alignment horizontal="center" vertical="center" wrapText="1"/>
    </xf>
    <xf numFmtId="0" fontId="8" fillId="5" borderId="94" xfId="0" applyFont="1" applyFill="1" applyBorder="1" applyAlignment="1" applyProtection="1">
      <alignment horizontal="center" vertical="center"/>
      <protection locked="0"/>
    </xf>
    <xf numFmtId="0" fontId="8" fillId="6" borderId="95" xfId="0" applyFont="1" applyFill="1" applyBorder="1" applyAlignment="1" applyProtection="1">
      <alignment horizontal="center" vertical="center"/>
      <protection locked="0"/>
    </xf>
    <xf numFmtId="0" fontId="8" fillId="6" borderId="96" xfId="0" applyFont="1" applyFill="1" applyBorder="1" applyAlignment="1" applyProtection="1">
      <alignment horizontal="center" vertical="center"/>
      <protection locked="0"/>
    </xf>
    <xf numFmtId="0" fontId="8" fillId="6" borderId="97" xfId="0" applyFont="1" applyFill="1" applyBorder="1" applyAlignment="1" applyProtection="1">
      <alignment horizontal="center" vertical="center"/>
      <protection locked="0"/>
    </xf>
    <xf numFmtId="0" fontId="42" fillId="11" borderId="94" xfId="0" applyFont="1" applyFill="1" applyBorder="1" applyAlignment="1">
      <alignment horizontal="center" vertical="center" wrapText="1"/>
    </xf>
    <xf numFmtId="0" fontId="8" fillId="6" borderId="94" xfId="0" applyFont="1" applyFill="1" applyBorder="1" applyAlignment="1" applyProtection="1">
      <alignment horizontal="center" vertical="center"/>
      <protection locked="0"/>
    </xf>
    <xf numFmtId="0" fontId="5" fillId="3" borderId="0" xfId="0" applyFont="1" applyFill="1" applyAlignment="1">
      <alignment horizontal="center" vertical="center"/>
    </xf>
    <xf numFmtId="0" fontId="8" fillId="5" borderId="94" xfId="0" applyFont="1" applyFill="1" applyBorder="1" applyAlignment="1" applyProtection="1">
      <alignment horizontal="left" vertical="center"/>
      <protection locked="0"/>
    </xf>
    <xf numFmtId="0" fontId="39" fillId="11" borderId="94" xfId="0" applyFont="1" applyFill="1" applyBorder="1" applyAlignment="1">
      <alignment horizontal="center" vertical="center" wrapText="1"/>
    </xf>
    <xf numFmtId="0" fontId="8" fillId="5" borderId="94" xfId="0" applyFont="1" applyFill="1" applyBorder="1" applyAlignment="1" applyProtection="1">
      <alignment horizontal="left" vertical="center" wrapText="1"/>
      <protection locked="0"/>
    </xf>
    <xf numFmtId="0" fontId="8" fillId="6" borderId="94" xfId="0" applyFont="1" applyFill="1" applyBorder="1" applyAlignment="1" applyProtection="1">
      <alignment horizontal="left" vertical="center" wrapText="1"/>
      <protection locked="0"/>
    </xf>
    <xf numFmtId="0" fontId="23" fillId="11" borderId="94" xfId="0" applyFont="1" applyFill="1" applyBorder="1" applyAlignment="1">
      <alignment horizontal="center" vertical="center" wrapText="1"/>
    </xf>
    <xf numFmtId="49" fontId="7" fillId="5" borderId="1" xfId="0" applyNumberFormat="1" applyFont="1" applyFill="1" applyBorder="1" applyAlignment="1" applyProtection="1">
      <alignment horizontal="center" vertical="center"/>
      <protection locked="0"/>
    </xf>
    <xf numFmtId="0" fontId="7" fillId="5" borderId="4" xfId="0" applyFont="1" applyFill="1" applyBorder="1" applyAlignment="1" applyProtection="1">
      <alignment horizontal="center" vertical="center" wrapText="1"/>
      <protection locked="0"/>
    </xf>
  </cellXfs>
  <cellStyles count="4">
    <cellStyle name="常规" xfId="0" builtinId="0"/>
    <cellStyle name="常规 2" xfId="1" xr:uid="{00000000-0005-0000-0000-000001000000}"/>
    <cellStyle name="常规 3" xfId="2" xr:uid="{00000000-0005-0000-0000-000002000000}"/>
    <cellStyle name="超链接" xfId="3" xr:uid="{00000000-0005-0000-0000-000003000000}"/>
  </cellStyles>
  <dxfs count="64">
    <dxf>
      <font>
        <color rgb="FFF7F7EB"/>
      </font>
    </dxf>
    <dxf>
      <font>
        <color rgb="FFF7F7EB"/>
      </font>
    </dxf>
    <dxf>
      <font>
        <color rgb="FFF7F7EB"/>
      </font>
    </dxf>
    <dxf>
      <font>
        <color rgb="FFF7F7EB"/>
      </font>
    </dxf>
    <dxf>
      <font>
        <color rgb="FFF7F7EB"/>
      </font>
    </dxf>
    <dxf>
      <fill>
        <patternFill patternType="solid">
          <bgColor rgb="FFFFFFFF"/>
        </patternFill>
      </fill>
      <border>
        <left style="thin">
          <color indexed="64"/>
        </left>
        <right style="thin">
          <color indexed="64"/>
        </right>
        <top style="thin">
          <color indexed="64"/>
        </top>
        <bottom style="thin">
          <color indexed="64"/>
        </bottom>
      </border>
    </dxf>
    <dxf>
      <font>
        <color rgb="FFFF0000"/>
      </font>
    </dxf>
    <dxf>
      <font>
        <color rgb="FFFF0000"/>
      </font>
    </dxf>
    <dxf>
      <fill>
        <patternFill patternType="solid">
          <bgColor rgb="FFF7F7EB"/>
        </patternFill>
      </fill>
      <border>
        <left style="thin">
          <color rgb="FFF7F7EB"/>
        </left>
        <right style="thin">
          <color rgb="FFF7F7EB"/>
        </right>
        <top/>
        <bottom style="thin">
          <color rgb="FFF7F7EB"/>
        </bottom>
      </border>
    </dxf>
    <dxf>
      <fill>
        <patternFill patternType="solid">
          <bgColor rgb="FFF7F7EB"/>
        </patternFill>
      </fill>
      <border>
        <left/>
        <right style="thin">
          <color rgb="FFF7F7EB"/>
        </right>
        <top/>
        <bottom style="thin">
          <color rgb="FFF7F7EB"/>
        </bottom>
      </border>
    </dxf>
    <dxf>
      <font>
        <color rgb="FF2F75B6"/>
      </font>
    </dxf>
    <dxf>
      <font>
        <color rgb="FFF7F7EB"/>
      </font>
      <fill>
        <patternFill patternType="solid">
          <bgColor rgb="FFF7F7EB"/>
        </patternFill>
      </fill>
      <border>
        <left style="thin">
          <color rgb="FFF7F7EB"/>
        </left>
        <right style="thin">
          <color rgb="FFF7F7EB"/>
        </right>
        <top/>
        <bottom style="thin">
          <color rgb="FFF7F7EB"/>
        </bottom>
      </border>
    </dxf>
    <dxf>
      <font>
        <color rgb="FF9C0006"/>
      </font>
      <fill>
        <patternFill patternType="solid">
          <bgColor rgb="FFFFC7CE"/>
        </patternFill>
      </fill>
    </dxf>
    <dxf>
      <font>
        <color rgb="FF9C0006"/>
      </font>
      <fill>
        <patternFill patternType="solid">
          <bgColor rgb="FFFFC7CE"/>
        </patternFill>
      </fill>
    </dxf>
    <dxf>
      <font>
        <b/>
        <color rgb="FF000000"/>
      </font>
    </dxf>
    <dxf>
      <font>
        <color rgb="FF9C0006"/>
      </font>
      <fill>
        <patternFill patternType="solid">
          <bgColor rgb="FFFFC7CE"/>
        </patternFill>
      </fill>
    </dxf>
    <dxf>
      <font>
        <color rgb="FFF7F7EB"/>
      </font>
      <fill>
        <patternFill patternType="solid">
          <bgColor rgb="FFF7F7EB"/>
        </patternFill>
      </fill>
      <border>
        <left/>
        <right/>
        <top/>
        <bottom/>
      </border>
    </dxf>
    <dxf>
      <font>
        <color rgb="FF9C0006"/>
      </font>
      <fill>
        <patternFill patternType="solid">
          <bgColor rgb="FFFFC7CE"/>
        </patternFill>
      </fill>
    </dxf>
    <dxf>
      <font>
        <b/>
      </font>
    </dxf>
    <dxf>
      <font>
        <color rgb="FFF7F7EB"/>
      </font>
      <fill>
        <patternFill patternType="solid">
          <bgColor rgb="FFF7F7EB"/>
        </patternFill>
      </fill>
      <border>
        <left/>
        <right/>
        <top/>
        <bottom/>
      </border>
    </dxf>
    <dxf>
      <font>
        <b/>
        <color rgb="FF000000"/>
      </font>
    </dxf>
    <dxf>
      <font>
        <color rgb="FF9C0006"/>
      </font>
      <fill>
        <patternFill patternType="solid">
          <bgColor rgb="FFFFC7CE"/>
        </patternFill>
      </fill>
    </dxf>
    <dxf>
      <font>
        <color rgb="FF2F75B6"/>
      </font>
    </dxf>
    <dxf>
      <font>
        <color rgb="FFF7F7EB"/>
      </font>
      <fill>
        <patternFill patternType="solid">
          <bgColor rgb="FFF7F7EB"/>
        </patternFill>
      </fill>
      <border>
        <left/>
        <right/>
        <top/>
        <bottom/>
      </border>
    </dxf>
    <dxf>
      <font>
        <color rgb="FFF7F7EB"/>
      </font>
      <fill>
        <patternFill patternType="solid">
          <bgColor rgb="FFF7F7EB"/>
        </patternFill>
      </fill>
      <border>
        <left/>
        <right/>
        <top/>
        <bottom/>
      </border>
    </dxf>
    <dxf>
      <font>
        <color rgb="FFF7F7EB"/>
      </font>
      <fill>
        <patternFill patternType="solid">
          <bgColor rgb="FFF7F7EB"/>
        </patternFill>
      </fill>
      <border>
        <left/>
        <right/>
        <top/>
        <bottom/>
      </border>
    </dxf>
    <dxf>
      <font>
        <color rgb="FFF7F7EB"/>
      </font>
      <fill>
        <patternFill patternType="solid">
          <bgColor rgb="FFF7F7EB"/>
        </patternFill>
      </fill>
      <border>
        <left/>
        <right/>
        <top/>
        <bottom/>
      </border>
    </dxf>
    <dxf>
      <font>
        <color rgb="FFF7F7EB"/>
      </font>
      <fill>
        <patternFill patternType="solid">
          <bgColor rgb="FFF7F7EB"/>
        </patternFill>
      </fill>
      <border>
        <left/>
        <right/>
        <top/>
        <bottom/>
      </border>
    </dxf>
    <dxf>
      <font>
        <color rgb="FFF7F7EB"/>
      </font>
      <fill>
        <patternFill patternType="solid">
          <bgColor rgb="FFF7F7EB"/>
        </patternFill>
      </fill>
      <border>
        <left/>
        <right/>
        <top/>
        <bottom/>
      </border>
    </dxf>
    <dxf>
      <font>
        <color rgb="FFFF0000"/>
      </font>
    </dxf>
    <dxf>
      <font>
        <color rgb="FFFFFFFF"/>
      </font>
    </dxf>
    <dxf>
      <fill>
        <patternFill patternType="solid">
          <bgColor rgb="FFE2EFD9"/>
        </patternFill>
      </fill>
    </dxf>
    <dxf>
      <fill>
        <patternFill patternType="solid">
          <bgColor rgb="FFDEEAF6"/>
        </patternFill>
      </fill>
    </dxf>
    <dxf>
      <fill>
        <patternFill patternType="solid">
          <bgColor rgb="FFFBE4D5"/>
        </patternFill>
      </fill>
    </dxf>
    <dxf>
      <font>
        <color rgb="FFDE0000"/>
      </font>
      <fill>
        <patternFill patternType="solid">
          <bgColor rgb="FFA5A5A5"/>
        </patternFill>
      </fill>
    </dxf>
    <dxf>
      <font>
        <color rgb="FFFE9C00"/>
      </font>
      <fill>
        <patternFill patternType="solid">
          <bgColor rgb="FFD8D8D8"/>
        </patternFill>
      </fill>
    </dxf>
    <dxf>
      <font>
        <color rgb="FF00E900"/>
      </font>
      <fill>
        <patternFill patternType="solid">
          <bgColor rgb="FFFFFFFF"/>
        </patternFill>
      </fill>
    </dxf>
    <dxf>
      <fill>
        <patternFill patternType="solid">
          <bgColor rgb="FFF7CAAC"/>
        </patternFill>
      </fill>
    </dxf>
    <dxf>
      <fill>
        <patternFill patternType="solid">
          <bgColor rgb="FFFBE4D5"/>
        </patternFill>
      </fill>
    </dxf>
    <dxf>
      <fill>
        <patternFill patternType="solid">
          <bgColor rgb="FFFBE4D5"/>
        </patternFill>
      </fill>
    </dxf>
    <dxf>
      <fill>
        <patternFill patternType="solid">
          <bgColor rgb="FFF4B083"/>
        </patternFill>
      </fill>
    </dxf>
    <dxf>
      <fill>
        <gradientFill>
          <stop position="0">
            <color rgb="FFFBE4D5"/>
          </stop>
          <stop position="1">
            <color rgb="FFDEEBF6"/>
          </stop>
        </gradientFill>
      </fill>
    </dxf>
    <dxf>
      <fill>
        <gradientFill degree="180">
          <stop position="0">
            <color rgb="FFFFFFFF"/>
          </stop>
          <stop position="1">
            <color rgb="FFFBE4D5"/>
          </stop>
        </gradientFill>
      </fill>
    </dxf>
    <dxf>
      <fill>
        <gradientFill>
          <stop position="0">
            <color rgb="FFFFFFFF"/>
          </stop>
          <stop position="1">
            <color rgb="FFDEEBF6"/>
          </stop>
        </gradientFill>
      </fill>
    </dxf>
    <dxf>
      <font>
        <color rgb="FFFFFFFF"/>
      </font>
    </dxf>
    <dxf>
      <fill>
        <gradientFill degree="180">
          <stop position="0">
            <color rgb="FFDEEBF6"/>
          </stop>
          <stop position="1">
            <color rgb="FFFBE4D5"/>
          </stop>
        </gradientFill>
      </fill>
    </dxf>
    <dxf>
      <fill>
        <gradientFill degree="180">
          <stop position="0">
            <color rgb="FFFFFFFF"/>
          </stop>
          <stop position="1">
            <color rgb="FFFBE4D5"/>
          </stop>
        </gradientFill>
      </fill>
    </dxf>
    <dxf>
      <fill>
        <gradientFill>
          <stop position="0">
            <color rgb="FFFFFFFF"/>
          </stop>
          <stop position="1">
            <color rgb="FFDEEBF6"/>
          </stop>
        </gradientFill>
      </fill>
    </dxf>
    <dxf>
      <fill>
        <gradientFill>
          <stop position="0">
            <color rgb="FFFBE4D5"/>
          </stop>
          <stop position="1">
            <color rgb="FFDEEBF6"/>
          </stop>
        </gradientFill>
      </fill>
    </dxf>
    <dxf>
      <font>
        <b/>
        <color rgb="FFFF0000"/>
      </font>
    </dxf>
    <dxf>
      <fill>
        <gradientFill degree="180">
          <stop position="0">
            <color rgb="FFFFFFFF"/>
          </stop>
          <stop position="1">
            <color rgb="FFFBE4D5"/>
          </stop>
        </gradientFill>
      </fill>
    </dxf>
    <dxf>
      <fill>
        <gradientFill>
          <stop position="0">
            <color rgb="FFFFFFFF"/>
          </stop>
          <stop position="1">
            <color rgb="FFDEEBF6"/>
          </stop>
        </gradientFill>
      </fill>
    </dxf>
    <dxf>
      <font>
        <b/>
        <color rgb="FF00B0F0"/>
      </font>
    </dxf>
    <dxf>
      <font>
        <b/>
        <color rgb="FF00B0F0"/>
      </font>
    </dxf>
    <dxf>
      <font>
        <b/>
        <color rgb="FF00B0F0"/>
      </font>
    </dxf>
    <dxf>
      <font>
        <b/>
        <color rgb="FF00B0F0"/>
      </font>
    </dxf>
    <dxf>
      <font>
        <b/>
        <color rgb="FF00B0F0"/>
      </font>
    </dxf>
    <dxf>
      <font>
        <b/>
        <color rgb="FF00B0F0"/>
      </font>
    </dxf>
    <dxf>
      <font>
        <b/>
        <color rgb="FF00B0F0"/>
      </font>
    </dxf>
    <dxf>
      <font>
        <b/>
        <color rgb="FF00B0F0"/>
      </font>
    </dxf>
    <dxf>
      <font>
        <b/>
        <color rgb="FF00B0F0"/>
      </font>
    </dxf>
    <dxf>
      <font>
        <b/>
        <color rgb="FF00B0F0"/>
      </font>
    </dxf>
    <dxf>
      <font>
        <b/>
        <color rgb="FF00B0F0"/>
      </font>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www.wps.cn/officeDocument/2020/cellImage" Target="NUL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v>基础属性</c:v>
          </c:tx>
          <c:spPr>
            <a:solidFill>
              <a:srgbClr val="00B0F0">
                <a:alpha val="75000"/>
              </a:srgbClr>
            </a:solidFill>
            <a:ln>
              <a:noFill/>
            </a:ln>
            <a:effectLst/>
          </c:spPr>
          <c:dLbls>
            <c:spPr>
              <a:noFill/>
              <a:ln>
                <a:noFill/>
              </a:ln>
              <a:effectLst/>
            </c:spPr>
            <c:txPr>
              <a:bodyPr rot="0" spcFirstLastPara="0" vertOverflow="ellipsis" vert="horz" wrap="square" lIns="38100" tIns="19050" rIns="38100" bIns="19050" anchor="ctr" anchorCtr="1"/>
              <a:lstStyle/>
              <a:p>
                <a:pPr>
                  <a:defRPr lang="zh-CN" sz="8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主要!$C$14:$E$19</c:f>
              <c:strCache>
                <c:ptCount val="6"/>
                <c:pt idx="0">
                  <c:v>力量</c:v>
                </c:pt>
                <c:pt idx="1">
                  <c:v>敏捷</c:v>
                </c:pt>
                <c:pt idx="2">
                  <c:v>体质</c:v>
                </c:pt>
                <c:pt idx="3">
                  <c:v>智力</c:v>
                </c:pt>
                <c:pt idx="4">
                  <c:v>感知</c:v>
                </c:pt>
                <c:pt idx="5">
                  <c:v>魅力</c:v>
                </c:pt>
              </c:strCache>
            </c:strRef>
          </c:cat>
          <c:val>
            <c:numRef>
              <c:f>主要!$F$14:$F$19</c:f>
              <c:numCache>
                <c:formatCode>General</c:formatCode>
                <c:ptCount val="6"/>
                <c:pt idx="0">
                  <c:v>8</c:v>
                </c:pt>
                <c:pt idx="1">
                  <c:v>15</c:v>
                </c:pt>
                <c:pt idx="2">
                  <c:v>13</c:v>
                </c:pt>
                <c:pt idx="3">
                  <c:v>18</c:v>
                </c:pt>
                <c:pt idx="4">
                  <c:v>17</c:v>
                </c:pt>
                <c:pt idx="5">
                  <c:v>10</c:v>
                </c:pt>
              </c:numCache>
            </c:numRef>
          </c:val>
          <c:extLst>
            <c:ext xmlns:c16="http://schemas.microsoft.com/office/drawing/2014/chart" uri="{C3380CC4-5D6E-409C-BE32-E72D297353CC}">
              <c16:uniqueId val="{00000000-50D8-44B6-8226-69BA44F1C3DF}"/>
            </c:ext>
          </c:extLst>
        </c:ser>
        <c:dLbls>
          <c:showLegendKey val="0"/>
          <c:showVal val="0"/>
          <c:showCatName val="0"/>
          <c:showSerName val="0"/>
          <c:showPercent val="0"/>
          <c:showBubbleSize val="0"/>
        </c:dLbls>
        <c:axId val="17485398"/>
        <c:axId val="602771328"/>
      </c:radarChart>
      <c:catAx>
        <c:axId val="1748539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crossAx val="602771328"/>
        <c:crosses val="autoZero"/>
        <c:auto val="1"/>
        <c:lblAlgn val="ctr"/>
        <c:lblOffset val="100"/>
        <c:noMultiLvlLbl val="0"/>
      </c:catAx>
      <c:valAx>
        <c:axId val="602771328"/>
        <c:scaling>
          <c:orientation val="minMax"/>
          <c:max val="25"/>
        </c:scaling>
        <c:delete val="0"/>
        <c:axPos val="l"/>
        <c:majorGridlines>
          <c:spPr>
            <a:ln w="9525" cap="rnd" cmpd="sng" algn="ctr">
              <a:solidFill>
                <a:schemeClr val="bg1">
                  <a:lumMod val="50000"/>
                </a:schemeClr>
              </a:solidFill>
              <a:round/>
            </a:ln>
            <a:effectLst/>
          </c:spPr>
        </c:majorGridlines>
        <c:numFmt formatCode="General" sourceLinked="1"/>
        <c:majorTickMark val="none"/>
        <c:minorTickMark val="none"/>
        <c:tickLblPos val="none"/>
        <c:spPr>
          <a:noFill/>
          <a:ln>
            <a:noFill/>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crossAx val="17485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85000"/>
        </a:schemeClr>
      </a:solidFill>
      <a:round/>
    </a:ln>
    <a:effectLst/>
  </c:spPr>
  <c:txPr>
    <a:bodyPr/>
    <a:lstStyle/>
    <a:p>
      <a:pPr>
        <a:defRPr lang="zh-CN" sz="1000">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rgbClr val="00B0F0">
                  <a:alpha val="75000"/>
                </a:srgbClr>
              </a:solidFill>
              <a:round/>
            </a:ln>
            <a:effectLst/>
          </c:spPr>
          <c:marker>
            <c:symbol val="circle"/>
            <c:size val="5"/>
            <c:spPr>
              <a:solidFill>
                <a:srgbClr val="0070C0">
                  <a:alpha val="75000"/>
                </a:srgbClr>
              </a:solidFill>
              <a:ln w="9525">
                <a:noFill/>
              </a:ln>
              <a:effectLst/>
            </c:spPr>
          </c:marker>
          <c:dPt>
            <c:idx val="1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0CF9-4CD8-9C40-308C0E75DA27}"/>
              </c:ext>
            </c:extLst>
          </c:dPt>
          <c:dLbls>
            <c:spPr>
              <a:noFill/>
              <a:ln>
                <a:noFill/>
              </a:ln>
              <a:effectLst/>
            </c:spPr>
            <c:txPr>
              <a:bodyPr rot="0" spcFirstLastPara="0" vertOverflow="ellipsis" vert="horz" wrap="square" lIns="38100" tIns="19050" rIns="38100" bIns="19050" anchor="ctr" anchorCtr="1"/>
              <a:lstStyle/>
              <a:p>
                <a:pPr>
                  <a:defRPr lang="zh-CN" sz="6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综合数据!$P$2:$P$19</c:f>
              <c:strCache>
                <c:ptCount val="18"/>
                <c:pt idx="0">
                  <c:v>运动</c:v>
                </c:pt>
                <c:pt idx="1">
                  <c:v>体操</c:v>
                </c:pt>
                <c:pt idx="2">
                  <c:v>巧手</c:v>
                </c:pt>
                <c:pt idx="3">
                  <c:v>隐匿</c:v>
                </c:pt>
                <c:pt idx="4">
                  <c:v>奥秘</c:v>
                </c:pt>
                <c:pt idx="5">
                  <c:v>历史</c:v>
                </c:pt>
                <c:pt idx="6">
                  <c:v>调查</c:v>
                </c:pt>
                <c:pt idx="7">
                  <c:v>自然</c:v>
                </c:pt>
                <c:pt idx="8">
                  <c:v>宗教</c:v>
                </c:pt>
                <c:pt idx="9">
                  <c:v>驯兽</c:v>
                </c:pt>
                <c:pt idx="10">
                  <c:v>洞悉</c:v>
                </c:pt>
                <c:pt idx="11">
                  <c:v>医药</c:v>
                </c:pt>
                <c:pt idx="12">
                  <c:v>察觉</c:v>
                </c:pt>
                <c:pt idx="13">
                  <c:v>求生</c:v>
                </c:pt>
                <c:pt idx="14">
                  <c:v>欺瞒</c:v>
                </c:pt>
                <c:pt idx="15">
                  <c:v>威吓</c:v>
                </c:pt>
                <c:pt idx="16">
                  <c:v>表演</c:v>
                </c:pt>
                <c:pt idx="17">
                  <c:v>游说</c:v>
                </c:pt>
              </c:strCache>
            </c:strRef>
          </c:cat>
          <c:val>
            <c:numRef>
              <c:f>综合数据!$Q$2:$Q$19</c:f>
              <c:numCache>
                <c:formatCode>General</c:formatCode>
                <c:ptCount val="18"/>
                <c:pt idx="0">
                  <c:v>-1</c:v>
                </c:pt>
                <c:pt idx="1">
                  <c:v>4</c:v>
                </c:pt>
                <c:pt idx="2">
                  <c:v>4</c:v>
                </c:pt>
                <c:pt idx="3">
                  <c:v>6</c:v>
                </c:pt>
                <c:pt idx="4">
                  <c:v>4</c:v>
                </c:pt>
                <c:pt idx="5">
                  <c:v>2</c:v>
                </c:pt>
                <c:pt idx="6">
                  <c:v>6</c:v>
                </c:pt>
                <c:pt idx="7">
                  <c:v>4</c:v>
                </c:pt>
                <c:pt idx="8">
                  <c:v>4</c:v>
                </c:pt>
                <c:pt idx="9">
                  <c:v>4</c:v>
                </c:pt>
                <c:pt idx="10">
                  <c:v>6</c:v>
                </c:pt>
                <c:pt idx="11">
                  <c:v>6</c:v>
                </c:pt>
                <c:pt idx="12">
                  <c:v>6</c:v>
                </c:pt>
                <c:pt idx="13">
                  <c:v>4</c:v>
                </c:pt>
                <c:pt idx="14">
                  <c:v>0</c:v>
                </c:pt>
                <c:pt idx="15">
                  <c:v>0</c:v>
                </c:pt>
                <c:pt idx="16">
                  <c:v>0</c:v>
                </c:pt>
                <c:pt idx="17">
                  <c:v>0</c:v>
                </c:pt>
              </c:numCache>
            </c:numRef>
          </c:val>
          <c:extLst>
            <c:ext xmlns:c16="http://schemas.microsoft.com/office/drawing/2014/chart" uri="{C3380CC4-5D6E-409C-BE32-E72D297353CC}">
              <c16:uniqueId val="{00000002-0CF9-4CD8-9C40-308C0E75DA27}"/>
            </c:ext>
          </c:extLst>
        </c:ser>
        <c:dLbls>
          <c:showLegendKey val="0"/>
          <c:showVal val="0"/>
          <c:showCatName val="0"/>
          <c:showSerName val="0"/>
          <c:showPercent val="0"/>
          <c:showBubbleSize val="0"/>
        </c:dLbls>
        <c:axId val="997996615"/>
        <c:axId val="630222631"/>
      </c:radarChart>
      <c:catAx>
        <c:axId val="99799661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crossAx val="630222631"/>
        <c:crosses val="autoZero"/>
        <c:auto val="1"/>
        <c:lblAlgn val="ctr"/>
        <c:lblOffset val="100"/>
        <c:noMultiLvlLbl val="0"/>
      </c:catAx>
      <c:valAx>
        <c:axId val="630222631"/>
        <c:scaling>
          <c:orientation val="minMax"/>
          <c:max val="15"/>
          <c:min val="-6"/>
        </c:scaling>
        <c:delete val="0"/>
        <c:axPos val="l"/>
        <c:majorGridlines>
          <c:spPr>
            <a:ln w="9525" cap="flat" cmpd="sng" algn="ctr">
              <a:solidFill>
                <a:schemeClr val="bg1">
                  <a:lumMod val="50000"/>
                </a:schemeClr>
              </a:solidFill>
              <a:round/>
            </a:ln>
            <a:effectLst/>
          </c:spPr>
        </c:majorGridlines>
        <c:numFmt formatCode="General" sourceLinked="1"/>
        <c:majorTickMark val="in"/>
        <c:minorTickMark val="none"/>
        <c:tickLblPos val="none"/>
        <c:spPr>
          <a:noFill/>
          <a:ln>
            <a:solidFill>
              <a:schemeClr val="bg1">
                <a:lumMod val="85000"/>
              </a:schemeClr>
            </a:solid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crossAx val="997996615"/>
        <c:crosses val="autoZero"/>
        <c:crossBetween val="between"/>
        <c:majorUnit val="6"/>
      </c:valAx>
      <c:spPr>
        <a:noFill/>
        <a:ln>
          <a:noFill/>
        </a:ln>
        <a:effectLst/>
      </c:spPr>
    </c:plotArea>
    <c:plotVisOnly val="1"/>
    <c:dispBlanksAs val="gap"/>
    <c:showDLblsOverMax val="0"/>
  </c:chart>
  <c:spPr>
    <a:solidFill>
      <a:schemeClr val="bg1"/>
    </a:solidFill>
    <a:ln w="9525" cap="flat" cmpd="sng" algn="ctr">
      <a:solidFill>
        <a:schemeClr val="bg1">
          <a:lumMod val="8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47</xdr:col>
      <xdr:colOff>0</xdr:colOff>
      <xdr:row>12</xdr:row>
      <xdr:rowOff>88292</xdr:rowOff>
    </xdr:from>
    <xdr:to>
      <xdr:col>69</xdr:col>
      <xdr:colOff>0</xdr:colOff>
      <xdr:row>27</xdr:row>
      <xdr:rowOff>100905</xdr:rowOff>
    </xdr:to>
    <xdr:graphicFrame macro="">
      <xdr:nvGraphicFramePr>
        <xdr:cNvPr id="2" name="图表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0</xdr:colOff>
      <xdr:row>30</xdr:row>
      <xdr:rowOff>37861</xdr:rowOff>
    </xdr:from>
    <xdr:to>
      <xdr:col>69</xdr:col>
      <xdr:colOff>0</xdr:colOff>
      <xdr:row>44</xdr:row>
      <xdr:rowOff>50452</xdr:rowOff>
    </xdr:to>
    <xdr:graphicFrame macro="">
      <xdr:nvGraphicFramePr>
        <xdr:cNvPr id="3" name="图表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40</xdr:col>
      <xdr:colOff>19422</xdr:colOff>
      <xdr:row>4</xdr:row>
      <xdr:rowOff>139154</xdr:rowOff>
    </xdr:from>
    <xdr:to>
      <xdr:col>41</xdr:col>
      <xdr:colOff>185220</xdr:colOff>
      <xdr:row>7</xdr:row>
      <xdr:rowOff>0</xdr:rowOff>
    </xdr:to>
    <xdr:pic>
      <xdr:nvPicPr>
        <xdr:cNvPr id="2" name="图片 1" descr="Sintiacutetulo-7_zpsfea275e0">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8478520" y="1023620"/>
          <a:ext cx="377190" cy="452120"/>
        </a:xfrm>
        <a:prstGeom prst="rect">
          <a:avLst/>
        </a:prstGeom>
        <a:noFill/>
        <a:ln w="9525" cap="flat" cmpd="sng">
          <a:noFill/>
          <a:prstDash val="solid"/>
          <a:miter/>
        </a:ln>
        <a:effectLst/>
      </xdr:spPr>
    </xdr:pic>
    <xdr:clientData/>
  </xdr:twoCellAnchor>
  <xdr:twoCellAnchor>
    <xdr:from>
      <xdr:col>40</xdr:col>
      <xdr:colOff>11842</xdr:colOff>
      <xdr:row>11</xdr:row>
      <xdr:rowOff>0</xdr:rowOff>
    </xdr:from>
    <xdr:to>
      <xdr:col>41</xdr:col>
      <xdr:colOff>179535</xdr:colOff>
      <xdr:row>13</xdr:row>
      <xdr:rowOff>0</xdr:rowOff>
    </xdr:to>
    <xdr:pic>
      <xdr:nvPicPr>
        <xdr:cNvPr id="3" name="图片 2"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a:stretch>
          <a:fillRect/>
        </a:stretch>
      </xdr:blipFill>
      <xdr:spPr>
        <a:xfrm>
          <a:off x="8470900" y="2315210"/>
          <a:ext cx="379095" cy="411480"/>
        </a:xfrm>
        <a:prstGeom prst="rect">
          <a:avLst/>
        </a:prstGeom>
        <a:noFill/>
        <a:ln w="9525" cap="flat" cmpd="sng">
          <a:noFill/>
          <a:prstDash val="solid"/>
          <a:miter/>
        </a:ln>
        <a:effectLst/>
      </xdr:spPr>
    </xdr:pic>
    <xdr:clientData/>
  </xdr:twoCellAnchor>
  <xdr:twoCellAnchor>
    <xdr:from>
      <xdr:col>40</xdr:col>
      <xdr:colOff>11842</xdr:colOff>
      <xdr:row>14</xdr:row>
      <xdr:rowOff>0</xdr:rowOff>
    </xdr:from>
    <xdr:to>
      <xdr:col>41</xdr:col>
      <xdr:colOff>179535</xdr:colOff>
      <xdr:row>16</xdr:row>
      <xdr:rowOff>0</xdr:rowOff>
    </xdr:to>
    <xdr:pic>
      <xdr:nvPicPr>
        <xdr:cNvPr id="4" name="图片 3" descr=" ">
          <a:extLst>
            <a:ext uri="{FF2B5EF4-FFF2-40B4-BE49-F238E27FC236}">
              <a16:creationId xmlns:a16="http://schemas.microsoft.com/office/drawing/2014/main" id="{00000000-0008-0000-0E00-000004000000}"/>
            </a:ext>
          </a:extLst>
        </xdr:cNvPr>
        <xdr:cNvPicPr/>
      </xdr:nvPicPr>
      <xdr:blipFill>
        <a:blip xmlns:r="http://schemas.openxmlformats.org/officeDocument/2006/relationships" r:embed="rId3"/>
        <a:srcRect/>
        <a:stretch>
          <a:fillRect/>
        </a:stretch>
      </xdr:blipFill>
      <xdr:spPr>
        <a:xfrm>
          <a:off x="8470900" y="2926715"/>
          <a:ext cx="379095" cy="419100"/>
        </a:xfrm>
        <a:prstGeom prst="rect">
          <a:avLst/>
        </a:prstGeom>
        <a:noFill/>
        <a:ln w="9525" cap="flat" cmpd="sng">
          <a:noFill/>
          <a:prstDash val="solid"/>
          <a:miter/>
        </a:ln>
        <a:effectLst/>
      </xdr:spPr>
    </xdr:pic>
    <xdr:clientData/>
  </xdr:twoCellAnchor>
  <xdr:twoCellAnchor>
    <xdr:from>
      <xdr:col>40</xdr:col>
      <xdr:colOff>14448</xdr:colOff>
      <xdr:row>17</xdr:row>
      <xdr:rowOff>0</xdr:rowOff>
    </xdr:from>
    <xdr:to>
      <xdr:col>41</xdr:col>
      <xdr:colOff>183799</xdr:colOff>
      <xdr:row>18</xdr:row>
      <xdr:rowOff>126920</xdr:rowOff>
    </xdr:to>
    <xdr:pic>
      <xdr:nvPicPr>
        <xdr:cNvPr id="5" name="图片 4" descr=" ">
          <a:extLst>
            <a:ext uri="{FF2B5EF4-FFF2-40B4-BE49-F238E27FC236}">
              <a16:creationId xmlns:a16="http://schemas.microsoft.com/office/drawing/2014/main" id="{00000000-0008-0000-0E00-000005000000}"/>
            </a:ext>
          </a:extLst>
        </xdr:cNvPr>
        <xdr:cNvPicPr/>
      </xdr:nvPicPr>
      <xdr:blipFill>
        <a:blip xmlns:r="http://schemas.openxmlformats.org/officeDocument/2006/relationships" r:embed="rId4"/>
        <a:srcRect/>
        <a:stretch>
          <a:fillRect/>
        </a:stretch>
      </xdr:blipFill>
      <xdr:spPr>
        <a:xfrm>
          <a:off x="8473440" y="3547110"/>
          <a:ext cx="380365" cy="358140"/>
        </a:xfrm>
        <a:prstGeom prst="rect">
          <a:avLst/>
        </a:prstGeom>
        <a:noFill/>
        <a:ln w="9525" cap="flat" cmpd="sng">
          <a:noFill/>
          <a:prstDash val="solid"/>
          <a:miter/>
        </a:ln>
        <a:effectLst/>
      </xdr:spPr>
    </xdr:pic>
    <xdr:clientData/>
  </xdr:twoCellAnchor>
  <xdr:twoCellAnchor>
    <xdr:from>
      <xdr:col>25</xdr:col>
      <xdr:colOff>0</xdr:colOff>
      <xdr:row>32</xdr:row>
      <xdr:rowOff>0</xdr:rowOff>
    </xdr:from>
    <xdr:to>
      <xdr:col>40</xdr:col>
      <xdr:colOff>90715</xdr:colOff>
      <xdr:row>34</xdr:row>
      <xdr:rowOff>0</xdr:rowOff>
    </xdr:to>
    <xdr:sp macro="" textlink="">
      <xdr:nvSpPr>
        <xdr:cNvPr id="6" name="bentUpArrow">
          <a:extLst>
            <a:ext uri="{FF2B5EF4-FFF2-40B4-BE49-F238E27FC236}">
              <a16:creationId xmlns:a16="http://schemas.microsoft.com/office/drawing/2014/main" id="{00000000-0008-0000-0E00-000006000000}"/>
            </a:ext>
          </a:extLst>
        </xdr:cNvPr>
        <xdr:cNvSpPr/>
      </xdr:nvSpPr>
      <xdr:spPr>
        <a:xfrm>
          <a:off x="5286375" y="6560820"/>
          <a:ext cx="3263265" cy="422910"/>
        </a:xfrm>
        <a:prstGeom prst="bentUpArrow">
          <a:avLst/>
        </a:prstGeom>
        <a:solidFill>
          <a:srgbClr val="ED7931"/>
        </a:solidFill>
        <a:ln w="9525" cap="flat" cmpd="sng">
          <a:solidFill>
            <a:srgbClr val="AD561E"/>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pan.baidu.com/s/14MzyKP3pYz5a_wFUHdzcEA?pwd=aibm" TargetMode="External"/><Relationship Id="rId1" Type="http://schemas.openxmlformats.org/officeDocument/2006/relationships/hyperlink" Target="https://www.&#22825;&#40607;.top:8080/home.html"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50"/>
  <sheetViews>
    <sheetView tabSelected="1" topLeftCell="A10" zoomScale="98" workbookViewId="0">
      <selection activeCell="V24" sqref="V24:AT50"/>
    </sheetView>
  </sheetViews>
  <sheetFormatPr defaultColWidth="9" defaultRowHeight="14.5" x14ac:dyDescent="0.25"/>
  <cols>
    <col min="1" max="48" width="2.36328125" style="1" customWidth="1"/>
    <col min="49" max="16384" width="9" style="1"/>
  </cols>
  <sheetData>
    <row r="1" spans="1:47" ht="17" customHeight="1" x14ac:dyDescent="0.25">
      <c r="A1" s="2"/>
      <c r="B1" s="2"/>
      <c r="C1" s="2"/>
      <c r="D1" s="2"/>
      <c r="E1" s="2"/>
      <c r="F1" s="2"/>
      <c r="G1" s="2"/>
      <c r="H1" s="2"/>
      <c r="I1" s="2"/>
      <c r="J1" s="2"/>
      <c r="K1" s="2"/>
      <c r="L1" s="2"/>
      <c r="M1" s="2"/>
      <c r="N1" s="2"/>
      <c r="O1" s="2"/>
      <c r="P1" s="2"/>
      <c r="Q1" s="2"/>
      <c r="R1" s="2"/>
      <c r="S1" s="2"/>
      <c r="T1" s="581" t="s">
        <v>0</v>
      </c>
      <c r="U1" s="581"/>
      <c r="V1" s="581"/>
      <c r="W1" s="581"/>
      <c r="X1" s="581"/>
      <c r="Y1" s="581"/>
      <c r="Z1" s="581"/>
      <c r="AA1" s="581"/>
      <c r="AB1" s="581"/>
      <c r="AC1" s="2"/>
      <c r="AD1" s="2"/>
      <c r="AE1" s="2"/>
      <c r="AF1" s="2"/>
      <c r="AG1" s="2"/>
      <c r="AH1" s="2"/>
      <c r="AI1" s="2"/>
      <c r="AJ1" s="2"/>
      <c r="AK1" s="2"/>
      <c r="AL1" s="2"/>
      <c r="AM1" s="2"/>
      <c r="AN1" s="2"/>
      <c r="AO1" s="2"/>
      <c r="AP1" s="580" t="str">
        <f>IF(E5="","请选择背景",IF(AND(V3&lt;&gt;"",V4=""),"个性需两条",""))</f>
        <v/>
      </c>
      <c r="AQ1" s="580"/>
      <c r="AR1" s="580"/>
      <c r="AS1" s="580"/>
      <c r="AT1" s="580"/>
      <c r="AU1" s="2"/>
    </row>
    <row r="2" spans="1:47" ht="17" customHeight="1" x14ac:dyDescent="0.25"/>
    <row r="3" spans="1:47" ht="17" customHeight="1" x14ac:dyDescent="0.25">
      <c r="B3" s="520" t="s">
        <v>1</v>
      </c>
      <c r="C3" s="521"/>
      <c r="D3" s="521"/>
      <c r="E3" s="556" t="str">
        <f>IF(主要!D3="","",主要!D3)</f>
        <v>瑞茵.戴派</v>
      </c>
      <c r="F3" s="556"/>
      <c r="G3" s="556"/>
      <c r="H3" s="556"/>
      <c r="I3" s="556"/>
      <c r="J3" s="556"/>
      <c r="K3" s="556"/>
      <c r="L3" s="556"/>
      <c r="M3" s="556"/>
      <c r="N3" s="556"/>
      <c r="O3" s="556"/>
      <c r="P3" s="556"/>
      <c r="R3" s="538" t="s">
        <v>2</v>
      </c>
      <c r="S3" s="539"/>
      <c r="T3" s="539"/>
      <c r="U3" s="540"/>
      <c r="V3" s="535" t="s">
        <v>8894</v>
      </c>
      <c r="W3" s="536"/>
      <c r="X3" s="536"/>
      <c r="Y3" s="536"/>
      <c r="Z3" s="536"/>
      <c r="AA3" s="536"/>
      <c r="AB3" s="536"/>
      <c r="AC3" s="536"/>
      <c r="AD3" s="536"/>
      <c r="AE3" s="536"/>
      <c r="AF3" s="536"/>
      <c r="AG3" s="536"/>
      <c r="AH3" s="536"/>
      <c r="AI3" s="536"/>
      <c r="AJ3" s="536"/>
      <c r="AK3" s="536"/>
      <c r="AL3" s="536"/>
      <c r="AM3" s="536"/>
      <c r="AN3" s="536"/>
      <c r="AO3" s="536"/>
      <c r="AP3" s="536"/>
      <c r="AQ3" s="536"/>
      <c r="AR3" s="536"/>
      <c r="AS3" s="536"/>
      <c r="AT3" s="537"/>
    </row>
    <row r="4" spans="1:47" ht="17" customHeight="1" x14ac:dyDescent="0.25">
      <c r="B4" s="520" t="s">
        <v>3</v>
      </c>
      <c r="C4" s="521"/>
      <c r="D4" s="522"/>
      <c r="E4" s="577" t="str">
        <f>IF(主要!D4="","",主要!D4)</f>
        <v>人心比痔疮更可怕</v>
      </c>
      <c r="F4" s="578"/>
      <c r="G4" s="578"/>
      <c r="H4" s="578"/>
      <c r="I4" s="578"/>
      <c r="J4" s="578"/>
      <c r="K4" s="578"/>
      <c r="L4" s="578"/>
      <c r="M4" s="578"/>
      <c r="N4" s="578"/>
      <c r="O4" s="578"/>
      <c r="P4" s="579"/>
      <c r="R4" s="541"/>
      <c r="S4" s="542"/>
      <c r="T4" s="542"/>
      <c r="U4" s="543"/>
      <c r="V4" s="523" t="s">
        <v>8895</v>
      </c>
      <c r="W4" s="524"/>
      <c r="X4" s="524"/>
      <c r="Y4" s="524"/>
      <c r="Z4" s="524"/>
      <c r="AA4" s="524"/>
      <c r="AB4" s="524"/>
      <c r="AC4" s="524"/>
      <c r="AD4" s="524"/>
      <c r="AE4" s="524"/>
      <c r="AF4" s="524"/>
      <c r="AG4" s="524"/>
      <c r="AH4" s="524"/>
      <c r="AI4" s="524"/>
      <c r="AJ4" s="524"/>
      <c r="AK4" s="524"/>
      <c r="AL4" s="524"/>
      <c r="AM4" s="524"/>
      <c r="AN4" s="524"/>
      <c r="AO4" s="524"/>
      <c r="AP4" s="524"/>
      <c r="AQ4" s="524"/>
      <c r="AR4" s="524"/>
      <c r="AS4" s="524"/>
      <c r="AT4" s="525"/>
    </row>
    <row r="5" spans="1:47" ht="17" customHeight="1" x14ac:dyDescent="0.25">
      <c r="B5" s="520" t="s">
        <v>4</v>
      </c>
      <c r="C5" s="521"/>
      <c r="D5" s="522"/>
      <c r="E5" s="550" t="s">
        <v>8887</v>
      </c>
      <c r="F5" s="551"/>
      <c r="G5" s="551"/>
      <c r="H5" s="551"/>
      <c r="I5" s="551"/>
      <c r="J5" s="551"/>
      <c r="K5" s="551"/>
      <c r="L5" s="551"/>
      <c r="M5" s="551"/>
      <c r="N5" s="551"/>
      <c r="O5" s="551"/>
      <c r="P5" s="552"/>
      <c r="R5" s="547" t="s">
        <v>5</v>
      </c>
      <c r="S5" s="548"/>
      <c r="T5" s="548"/>
      <c r="U5" s="549"/>
      <c r="V5" s="535" t="s">
        <v>8896</v>
      </c>
      <c r="W5" s="536"/>
      <c r="X5" s="536"/>
      <c r="Y5" s="536"/>
      <c r="Z5" s="536"/>
      <c r="AA5" s="536"/>
      <c r="AB5" s="536"/>
      <c r="AC5" s="536"/>
      <c r="AD5" s="536"/>
      <c r="AE5" s="536"/>
      <c r="AF5" s="536"/>
      <c r="AG5" s="536"/>
      <c r="AH5" s="536"/>
      <c r="AI5" s="536"/>
      <c r="AJ5" s="536"/>
      <c r="AK5" s="536"/>
      <c r="AL5" s="536"/>
      <c r="AM5" s="536"/>
      <c r="AN5" s="536"/>
      <c r="AO5" s="536"/>
      <c r="AP5" s="536"/>
      <c r="AQ5" s="536"/>
      <c r="AR5" s="536"/>
      <c r="AS5" s="536"/>
      <c r="AT5" s="537"/>
    </row>
    <row r="6" spans="1:47" ht="17" customHeight="1" x14ac:dyDescent="0.25">
      <c r="B6" s="520" t="s">
        <v>6</v>
      </c>
      <c r="C6" s="521"/>
      <c r="D6" s="522"/>
      <c r="E6" s="553" t="s">
        <v>8888</v>
      </c>
      <c r="F6" s="554"/>
      <c r="G6" s="554"/>
      <c r="H6" s="554"/>
      <c r="I6" s="554"/>
      <c r="J6" s="554"/>
      <c r="K6" s="554"/>
      <c r="L6" s="554"/>
      <c r="M6" s="554"/>
      <c r="N6" s="554"/>
      <c r="O6" s="554"/>
      <c r="P6" s="555"/>
      <c r="R6" s="547" t="s">
        <v>7</v>
      </c>
      <c r="S6" s="548"/>
      <c r="T6" s="548"/>
      <c r="U6" s="549"/>
      <c r="V6" s="523" t="s">
        <v>8897</v>
      </c>
      <c r="W6" s="524"/>
      <c r="X6" s="524"/>
      <c r="Y6" s="524"/>
      <c r="Z6" s="524"/>
      <c r="AA6" s="524"/>
      <c r="AB6" s="524"/>
      <c r="AC6" s="524"/>
      <c r="AD6" s="524"/>
      <c r="AE6" s="524"/>
      <c r="AF6" s="524"/>
      <c r="AG6" s="524"/>
      <c r="AH6" s="524"/>
      <c r="AI6" s="524"/>
      <c r="AJ6" s="524"/>
      <c r="AK6" s="524"/>
      <c r="AL6" s="524"/>
      <c r="AM6" s="524"/>
      <c r="AN6" s="524"/>
      <c r="AO6" s="524"/>
      <c r="AP6" s="524"/>
      <c r="AQ6" s="524"/>
      <c r="AR6" s="524"/>
      <c r="AS6" s="524"/>
      <c r="AT6" s="525"/>
    </row>
    <row r="7" spans="1:47" ht="17" customHeight="1" x14ac:dyDescent="0.25">
      <c r="B7" s="520" t="s">
        <v>8</v>
      </c>
      <c r="C7" s="521"/>
      <c r="D7" s="522"/>
      <c r="E7" s="550"/>
      <c r="F7" s="551"/>
      <c r="G7" s="551"/>
      <c r="H7" s="551"/>
      <c r="I7" s="551"/>
      <c r="J7" s="551"/>
      <c r="K7" s="551"/>
      <c r="L7" s="551"/>
      <c r="M7" s="551"/>
      <c r="N7" s="551"/>
      <c r="O7" s="551"/>
      <c r="P7" s="552"/>
      <c r="R7" s="547" t="s">
        <v>9</v>
      </c>
      <c r="S7" s="548"/>
      <c r="T7" s="548"/>
      <c r="U7" s="549"/>
      <c r="V7" s="535" t="s">
        <v>8898</v>
      </c>
      <c r="W7" s="536"/>
      <c r="X7" s="536"/>
      <c r="Y7" s="536"/>
      <c r="Z7" s="536"/>
      <c r="AA7" s="536"/>
      <c r="AB7" s="536"/>
      <c r="AC7" s="536"/>
      <c r="AD7" s="536"/>
      <c r="AE7" s="536"/>
      <c r="AF7" s="536"/>
      <c r="AG7" s="536"/>
      <c r="AH7" s="536"/>
      <c r="AI7" s="536"/>
      <c r="AJ7" s="536"/>
      <c r="AK7" s="536"/>
      <c r="AL7" s="536"/>
      <c r="AM7" s="536"/>
      <c r="AN7" s="536"/>
      <c r="AO7" s="536"/>
      <c r="AP7" s="536"/>
      <c r="AQ7" s="536"/>
      <c r="AR7" s="536"/>
      <c r="AS7" s="536"/>
      <c r="AT7" s="537"/>
    </row>
    <row r="8" spans="1:47" ht="17" customHeight="1" x14ac:dyDescent="0.25">
      <c r="R8" s="547" t="s">
        <v>10</v>
      </c>
      <c r="S8" s="548"/>
      <c r="T8" s="548"/>
      <c r="U8" s="549"/>
      <c r="V8" s="523"/>
      <c r="W8" s="524"/>
      <c r="X8" s="524"/>
      <c r="Y8" s="524"/>
      <c r="Z8" s="524"/>
      <c r="AA8" s="524"/>
      <c r="AB8" s="524"/>
      <c r="AC8" s="524"/>
      <c r="AD8" s="524"/>
      <c r="AE8" s="524"/>
      <c r="AF8" s="524"/>
      <c r="AG8" s="524"/>
      <c r="AH8" s="524"/>
      <c r="AI8" s="524"/>
      <c r="AJ8" s="524"/>
      <c r="AK8" s="524"/>
      <c r="AL8" s="524"/>
      <c r="AM8" s="524"/>
      <c r="AN8" s="524"/>
      <c r="AO8" s="524"/>
      <c r="AP8" s="524"/>
      <c r="AQ8" s="524"/>
      <c r="AR8" s="524"/>
      <c r="AS8" s="524"/>
      <c r="AT8" s="525"/>
    </row>
    <row r="9" spans="1:47" ht="17" customHeight="1" x14ac:dyDescent="0.25">
      <c r="B9" s="520" t="s">
        <v>11</v>
      </c>
      <c r="C9" s="521"/>
      <c r="D9" s="522"/>
      <c r="E9" s="550" t="s">
        <v>8889</v>
      </c>
      <c r="F9" s="551"/>
      <c r="G9" s="551"/>
      <c r="H9" s="551"/>
      <c r="I9" s="551"/>
      <c r="J9" s="551"/>
      <c r="K9" s="551"/>
      <c r="L9" s="551"/>
      <c r="M9" s="551"/>
      <c r="N9" s="551"/>
      <c r="O9" s="551"/>
      <c r="P9" s="552"/>
      <c r="R9" s="547" t="str">
        <f>IF(背景数据!F96=0,"",背景数据!F96)</f>
        <v/>
      </c>
      <c r="S9" s="548"/>
      <c r="T9" s="548"/>
      <c r="U9" s="549"/>
      <c r="V9" s="535"/>
      <c r="W9" s="536"/>
      <c r="X9" s="536"/>
      <c r="Y9" s="536"/>
      <c r="Z9" s="536"/>
      <c r="AA9" s="536"/>
      <c r="AB9" s="536"/>
      <c r="AC9" s="536"/>
      <c r="AD9" s="536"/>
      <c r="AE9" s="536"/>
      <c r="AF9" s="536"/>
      <c r="AG9" s="536"/>
      <c r="AH9" s="536"/>
      <c r="AI9" s="536"/>
      <c r="AJ9" s="536"/>
      <c r="AK9" s="536"/>
      <c r="AL9" s="536"/>
      <c r="AM9" s="536"/>
      <c r="AN9" s="536"/>
      <c r="AO9" s="536"/>
      <c r="AP9" s="536"/>
      <c r="AQ9" s="536"/>
      <c r="AR9" s="536"/>
      <c r="AS9" s="536"/>
      <c r="AT9" s="537"/>
    </row>
    <row r="10" spans="1:47" ht="17" customHeight="1" x14ac:dyDescent="0.25">
      <c r="B10" s="520" t="s">
        <v>12</v>
      </c>
      <c r="C10" s="521"/>
      <c r="D10" s="522"/>
      <c r="E10" s="544" t="s">
        <v>8890</v>
      </c>
      <c r="F10" s="545"/>
      <c r="G10" s="545"/>
      <c r="H10" s="545"/>
      <c r="I10" s="545"/>
      <c r="J10" s="545"/>
      <c r="K10" s="545"/>
      <c r="L10" s="545"/>
      <c r="M10" s="545"/>
      <c r="N10" s="545"/>
      <c r="O10" s="545"/>
      <c r="P10" s="546"/>
    </row>
    <row r="11" spans="1:47" ht="17" customHeight="1" x14ac:dyDescent="0.25">
      <c r="B11" s="520" t="s">
        <v>13</v>
      </c>
      <c r="C11" s="521"/>
      <c r="D11" s="522"/>
      <c r="E11" s="550" t="s">
        <v>8891</v>
      </c>
      <c r="F11" s="551"/>
      <c r="G11" s="551"/>
      <c r="H11" s="551"/>
      <c r="I11" s="551"/>
      <c r="J11" s="551"/>
      <c r="K11" s="551"/>
      <c r="L11" s="551"/>
      <c r="M11" s="551"/>
      <c r="N11" s="551"/>
      <c r="O11" s="551"/>
      <c r="P11" s="552"/>
      <c r="R11" s="547" t="s">
        <v>14</v>
      </c>
      <c r="S11" s="548"/>
      <c r="T11" s="548"/>
      <c r="U11" s="549"/>
      <c r="V11" s="535" t="s">
        <v>8899</v>
      </c>
      <c r="W11" s="536"/>
      <c r="X11" s="536"/>
      <c r="Y11" s="536"/>
      <c r="Z11" s="536"/>
      <c r="AA11" s="536"/>
      <c r="AB11" s="536"/>
      <c r="AC11" s="536"/>
      <c r="AD11" s="536"/>
      <c r="AE11" s="536"/>
      <c r="AF11" s="536"/>
      <c r="AG11" s="536"/>
      <c r="AH11" s="536"/>
      <c r="AI11" s="536"/>
      <c r="AJ11" s="536"/>
      <c r="AK11" s="536"/>
      <c r="AL11" s="536"/>
      <c r="AM11" s="536"/>
      <c r="AN11" s="536"/>
      <c r="AO11" s="536"/>
      <c r="AP11" s="536"/>
      <c r="AQ11" s="536"/>
      <c r="AR11" s="536"/>
      <c r="AS11" s="536"/>
      <c r="AT11" s="537"/>
    </row>
    <row r="12" spans="1:47" ht="17" customHeight="1" x14ac:dyDescent="0.25">
      <c r="B12" s="520" t="s">
        <v>15</v>
      </c>
      <c r="C12" s="521"/>
      <c r="D12" s="522"/>
      <c r="E12" s="544"/>
      <c r="F12" s="545"/>
      <c r="G12" s="545"/>
      <c r="H12" s="545"/>
      <c r="I12" s="545"/>
      <c r="J12" s="545"/>
      <c r="K12" s="545"/>
      <c r="L12" s="545"/>
      <c r="M12" s="545"/>
      <c r="N12" s="545"/>
      <c r="O12" s="545"/>
      <c r="P12" s="546"/>
      <c r="R12" s="547" t="str">
        <f>IF(背景数据!I8=0,"",背景数据!I8)</f>
        <v/>
      </c>
      <c r="S12" s="548"/>
      <c r="T12" s="548"/>
      <c r="U12" s="549"/>
      <c r="V12" s="523" t="s">
        <v>8900</v>
      </c>
      <c r="W12" s="524"/>
      <c r="X12" s="524"/>
      <c r="Y12" s="524"/>
      <c r="Z12" s="524"/>
      <c r="AA12" s="524"/>
      <c r="AB12" s="524"/>
      <c r="AC12" s="524"/>
      <c r="AD12" s="524"/>
      <c r="AE12" s="524"/>
      <c r="AF12" s="524"/>
      <c r="AG12" s="524"/>
      <c r="AH12" s="524"/>
      <c r="AI12" s="524"/>
      <c r="AJ12" s="524"/>
      <c r="AK12" s="524"/>
      <c r="AL12" s="524"/>
      <c r="AM12" s="524"/>
      <c r="AN12" s="524"/>
      <c r="AO12" s="524"/>
      <c r="AP12" s="524"/>
      <c r="AQ12" s="524"/>
      <c r="AR12" s="524"/>
      <c r="AS12" s="524"/>
      <c r="AT12" s="525"/>
    </row>
    <row r="13" spans="1:47" ht="17" customHeight="1" x14ac:dyDescent="0.25">
      <c r="R13" s="547" t="str">
        <f>IF(背景数据!I14=0,"",背景数据!I14)</f>
        <v/>
      </c>
      <c r="S13" s="548"/>
      <c r="T13" s="548"/>
      <c r="U13" s="549"/>
      <c r="V13" s="535"/>
      <c r="W13" s="536"/>
      <c r="X13" s="536"/>
      <c r="Y13" s="536"/>
      <c r="Z13" s="536"/>
      <c r="AA13" s="536"/>
      <c r="AB13" s="536"/>
      <c r="AC13" s="536"/>
      <c r="AD13" s="536"/>
      <c r="AE13" s="536"/>
      <c r="AF13" s="536"/>
      <c r="AG13" s="536"/>
      <c r="AH13" s="536"/>
      <c r="AI13" s="536"/>
      <c r="AJ13" s="536"/>
      <c r="AK13" s="536"/>
      <c r="AL13" s="536"/>
      <c r="AM13" s="536"/>
      <c r="AN13" s="536"/>
      <c r="AO13" s="536"/>
      <c r="AP13" s="536"/>
      <c r="AQ13" s="536"/>
      <c r="AR13" s="536"/>
      <c r="AS13" s="536"/>
      <c r="AT13" s="537"/>
    </row>
    <row r="14" spans="1:47" ht="17" customHeight="1" x14ac:dyDescent="0.25">
      <c r="B14" s="526" t="s">
        <v>16</v>
      </c>
      <c r="C14" s="527"/>
      <c r="D14" s="528"/>
      <c r="E14" s="558" t="s">
        <v>8893</v>
      </c>
      <c r="F14" s="559"/>
      <c r="G14" s="559"/>
      <c r="H14" s="559"/>
      <c r="I14" s="559"/>
      <c r="J14" s="559"/>
      <c r="K14" s="559"/>
      <c r="L14" s="559"/>
      <c r="M14" s="559"/>
      <c r="N14" s="559"/>
      <c r="O14" s="559"/>
      <c r="P14" s="560"/>
      <c r="R14" s="547" t="str">
        <f>IF(背景数据!I20=0,"",背景数据!I20)</f>
        <v/>
      </c>
      <c r="S14" s="548"/>
      <c r="T14" s="548"/>
      <c r="U14" s="549"/>
      <c r="V14" s="523"/>
      <c r="W14" s="524"/>
      <c r="X14" s="524"/>
      <c r="Y14" s="524"/>
      <c r="Z14" s="524"/>
      <c r="AA14" s="524"/>
      <c r="AB14" s="524"/>
      <c r="AC14" s="524"/>
      <c r="AD14" s="524"/>
      <c r="AE14" s="524"/>
      <c r="AF14" s="524"/>
      <c r="AG14" s="524"/>
      <c r="AH14" s="524"/>
      <c r="AI14" s="524"/>
      <c r="AJ14" s="524"/>
      <c r="AK14" s="524"/>
      <c r="AL14" s="524"/>
      <c r="AM14" s="524"/>
      <c r="AN14" s="524"/>
      <c r="AO14" s="524"/>
      <c r="AP14" s="524"/>
      <c r="AQ14" s="524"/>
      <c r="AR14" s="524"/>
      <c r="AS14" s="524"/>
      <c r="AT14" s="525"/>
    </row>
    <row r="15" spans="1:47" ht="17" customHeight="1" x14ac:dyDescent="0.25">
      <c r="B15" s="529"/>
      <c r="C15" s="530"/>
      <c r="D15" s="531"/>
      <c r="E15" s="561"/>
      <c r="F15" s="562"/>
      <c r="G15" s="562"/>
      <c r="H15" s="562"/>
      <c r="I15" s="562"/>
      <c r="J15" s="562"/>
      <c r="K15" s="562"/>
      <c r="L15" s="562"/>
      <c r="M15" s="562"/>
      <c r="N15" s="562"/>
      <c r="O15" s="562"/>
      <c r="P15" s="563"/>
      <c r="R15" s="547" t="str">
        <f>IF(背景数据!I26=0,"",背景数据!I26)</f>
        <v/>
      </c>
      <c r="S15" s="548"/>
      <c r="T15" s="548"/>
      <c r="U15" s="549"/>
      <c r="V15" s="535"/>
      <c r="W15" s="536"/>
      <c r="X15" s="536"/>
      <c r="Y15" s="536"/>
      <c r="Z15" s="536"/>
      <c r="AA15" s="536"/>
      <c r="AB15" s="536"/>
      <c r="AC15" s="536"/>
      <c r="AD15" s="536"/>
      <c r="AE15" s="536"/>
      <c r="AF15" s="536"/>
      <c r="AG15" s="536"/>
      <c r="AH15" s="536"/>
      <c r="AI15" s="536"/>
      <c r="AJ15" s="536"/>
      <c r="AK15" s="536"/>
      <c r="AL15" s="536"/>
      <c r="AM15" s="536"/>
      <c r="AN15" s="536"/>
      <c r="AO15" s="536"/>
      <c r="AP15" s="536"/>
      <c r="AQ15" s="536"/>
      <c r="AR15" s="536"/>
      <c r="AS15" s="536"/>
      <c r="AT15" s="537"/>
    </row>
    <row r="16" spans="1:47" ht="17" customHeight="1" x14ac:dyDescent="0.25">
      <c r="B16" s="529"/>
      <c r="C16" s="530"/>
      <c r="D16" s="531"/>
      <c r="E16" s="561"/>
      <c r="F16" s="562"/>
      <c r="G16" s="562"/>
      <c r="H16" s="562"/>
      <c r="I16" s="562"/>
      <c r="J16" s="562"/>
      <c r="K16" s="562"/>
      <c r="L16" s="562"/>
      <c r="M16" s="562"/>
      <c r="N16" s="562"/>
      <c r="O16" s="562"/>
      <c r="P16" s="563"/>
      <c r="R16" s="547" t="str">
        <f>IF(背景数据!I46=0,"",背景数据!I46)</f>
        <v/>
      </c>
      <c r="S16" s="548"/>
      <c r="T16" s="548"/>
      <c r="U16" s="549"/>
      <c r="V16" s="523"/>
      <c r="W16" s="524"/>
      <c r="X16" s="524"/>
      <c r="Y16" s="524"/>
      <c r="Z16" s="524"/>
      <c r="AA16" s="524"/>
      <c r="AB16" s="524"/>
      <c r="AC16" s="524"/>
      <c r="AD16" s="524"/>
      <c r="AE16" s="524"/>
      <c r="AF16" s="524"/>
      <c r="AG16" s="524"/>
      <c r="AH16" s="524"/>
      <c r="AI16" s="524"/>
      <c r="AJ16" s="524"/>
      <c r="AK16" s="524"/>
      <c r="AL16" s="524"/>
      <c r="AM16" s="524"/>
      <c r="AN16" s="524"/>
      <c r="AO16" s="524"/>
      <c r="AP16" s="524"/>
      <c r="AQ16" s="524"/>
      <c r="AR16" s="524"/>
      <c r="AS16" s="524"/>
      <c r="AT16" s="525"/>
    </row>
    <row r="17" spans="2:46" ht="17" customHeight="1" x14ac:dyDescent="0.25">
      <c r="B17" s="529"/>
      <c r="C17" s="530"/>
      <c r="D17" s="531"/>
      <c r="E17" s="561"/>
      <c r="F17" s="562"/>
      <c r="G17" s="562"/>
      <c r="H17" s="562"/>
      <c r="I17" s="562"/>
      <c r="J17" s="562"/>
      <c r="K17" s="562"/>
      <c r="L17" s="562"/>
      <c r="M17" s="562"/>
      <c r="N17" s="562"/>
      <c r="O17" s="562"/>
      <c r="P17" s="563"/>
      <c r="R17" s="547" t="str">
        <f>IF(背景数据!I58=0,"",背景数据!I58)</f>
        <v/>
      </c>
      <c r="S17" s="548"/>
      <c r="T17" s="548"/>
      <c r="U17" s="549"/>
      <c r="V17" s="535"/>
      <c r="W17" s="536"/>
      <c r="X17" s="536"/>
      <c r="Y17" s="536"/>
      <c r="Z17" s="536"/>
      <c r="AA17" s="536"/>
      <c r="AB17" s="536"/>
      <c r="AC17" s="536"/>
      <c r="AD17" s="536"/>
      <c r="AE17" s="536"/>
      <c r="AF17" s="536"/>
      <c r="AG17" s="536"/>
      <c r="AH17" s="536"/>
      <c r="AI17" s="536"/>
      <c r="AJ17" s="536"/>
      <c r="AK17" s="536"/>
      <c r="AL17" s="536"/>
      <c r="AM17" s="536"/>
      <c r="AN17" s="536"/>
      <c r="AO17" s="536"/>
      <c r="AP17" s="536"/>
      <c r="AQ17" s="536"/>
      <c r="AR17" s="536"/>
      <c r="AS17" s="536"/>
      <c r="AT17" s="537"/>
    </row>
    <row r="18" spans="2:46" ht="17" customHeight="1" x14ac:dyDescent="0.25">
      <c r="B18" s="529"/>
      <c r="C18" s="530"/>
      <c r="D18" s="531"/>
      <c r="E18" s="561"/>
      <c r="F18" s="562"/>
      <c r="G18" s="562"/>
      <c r="H18" s="562"/>
      <c r="I18" s="562"/>
      <c r="J18" s="562"/>
      <c r="K18" s="562"/>
      <c r="L18" s="562"/>
      <c r="M18" s="562"/>
      <c r="N18" s="562"/>
      <c r="O18" s="562"/>
      <c r="P18" s="563"/>
    </row>
    <row r="19" spans="2:46" ht="17" customHeight="1" x14ac:dyDescent="0.25">
      <c r="B19" s="529"/>
      <c r="C19" s="530"/>
      <c r="D19" s="531"/>
      <c r="E19" s="561"/>
      <c r="F19" s="562"/>
      <c r="G19" s="562"/>
      <c r="H19" s="562"/>
      <c r="I19" s="562"/>
      <c r="J19" s="562"/>
      <c r="K19" s="562"/>
      <c r="L19" s="562"/>
      <c r="M19" s="562"/>
      <c r="N19" s="562"/>
      <c r="O19" s="562"/>
      <c r="P19" s="563"/>
      <c r="R19" s="547" t="s">
        <v>17</v>
      </c>
      <c r="S19" s="548"/>
      <c r="T19" s="548"/>
      <c r="U19" s="549"/>
      <c r="V19" s="535"/>
      <c r="W19" s="536"/>
      <c r="X19" s="536"/>
      <c r="Y19" s="536"/>
      <c r="Z19" s="536"/>
      <c r="AA19" s="536"/>
      <c r="AB19" s="536"/>
      <c r="AC19" s="536"/>
      <c r="AD19" s="536"/>
      <c r="AE19" s="536"/>
      <c r="AF19" s="536"/>
      <c r="AG19" s="536"/>
      <c r="AH19" s="536"/>
      <c r="AI19" s="536"/>
      <c r="AJ19" s="536"/>
      <c r="AK19" s="536"/>
      <c r="AL19" s="536"/>
      <c r="AM19" s="536"/>
      <c r="AN19" s="536"/>
      <c r="AO19" s="536"/>
      <c r="AP19" s="536"/>
      <c r="AQ19" s="536"/>
      <c r="AR19" s="536"/>
      <c r="AS19" s="536"/>
      <c r="AT19" s="537"/>
    </row>
    <row r="20" spans="2:46" ht="17" customHeight="1" x14ac:dyDescent="0.25">
      <c r="B20" s="529"/>
      <c r="C20" s="530"/>
      <c r="D20" s="531"/>
      <c r="E20" s="561"/>
      <c r="F20" s="562"/>
      <c r="G20" s="562"/>
      <c r="H20" s="562"/>
      <c r="I20" s="562"/>
      <c r="J20" s="562"/>
      <c r="K20" s="562"/>
      <c r="L20" s="562"/>
      <c r="M20" s="562"/>
      <c r="N20" s="562"/>
      <c r="O20" s="562"/>
      <c r="P20" s="563"/>
      <c r="R20" s="547" t="str">
        <f>IF(赠礼数据!D2=0,"",赠礼数据!D2)</f>
        <v/>
      </c>
      <c r="S20" s="548"/>
      <c r="T20" s="548"/>
      <c r="U20" s="549"/>
      <c r="V20" s="523"/>
      <c r="W20" s="524"/>
      <c r="X20" s="524"/>
      <c r="Y20" s="524"/>
      <c r="Z20" s="524"/>
      <c r="AA20" s="524"/>
      <c r="AB20" s="524"/>
      <c r="AC20" s="524"/>
      <c r="AD20" s="524"/>
      <c r="AE20" s="524"/>
      <c r="AF20" s="524"/>
      <c r="AG20" s="524"/>
      <c r="AH20" s="524"/>
      <c r="AI20" s="524"/>
      <c r="AJ20" s="524"/>
      <c r="AK20" s="524"/>
      <c r="AL20" s="524"/>
      <c r="AM20" s="524"/>
      <c r="AN20" s="524"/>
      <c r="AO20" s="524"/>
      <c r="AP20" s="524"/>
      <c r="AQ20" s="524"/>
      <c r="AR20" s="524"/>
      <c r="AS20" s="524"/>
      <c r="AT20" s="525"/>
    </row>
    <row r="21" spans="2:46" ht="17" customHeight="1" x14ac:dyDescent="0.25">
      <c r="B21" s="529"/>
      <c r="C21" s="530"/>
      <c r="D21" s="531"/>
      <c r="E21" s="561"/>
      <c r="F21" s="562"/>
      <c r="G21" s="562"/>
      <c r="H21" s="562"/>
      <c r="I21" s="562"/>
      <c r="J21" s="562"/>
      <c r="K21" s="562"/>
      <c r="L21" s="562"/>
      <c r="M21" s="562"/>
      <c r="N21" s="562"/>
      <c r="O21" s="562"/>
      <c r="P21" s="563"/>
      <c r="R21" s="547" t="str">
        <f>IF(赠礼数据!D10=0,"",赠礼数据!D10)</f>
        <v/>
      </c>
      <c r="S21" s="548"/>
      <c r="T21" s="548"/>
      <c r="U21" s="549"/>
      <c r="V21" s="535"/>
      <c r="W21" s="536"/>
      <c r="X21" s="536"/>
      <c r="Y21" s="536"/>
      <c r="Z21" s="536"/>
      <c r="AA21" s="536"/>
      <c r="AB21" s="536"/>
      <c r="AC21" s="536"/>
      <c r="AD21" s="536"/>
      <c r="AE21" s="536"/>
      <c r="AF21" s="536"/>
      <c r="AG21" s="536"/>
      <c r="AH21" s="536"/>
      <c r="AI21" s="536"/>
      <c r="AJ21" s="536"/>
      <c r="AK21" s="536"/>
      <c r="AL21" s="536"/>
      <c r="AM21" s="536"/>
      <c r="AN21" s="536"/>
      <c r="AO21" s="536"/>
      <c r="AP21" s="536"/>
      <c r="AQ21" s="536"/>
      <c r="AR21" s="536"/>
      <c r="AS21" s="536"/>
      <c r="AT21" s="537"/>
    </row>
    <row r="22" spans="2:46" ht="17" customHeight="1" x14ac:dyDescent="0.25">
      <c r="B22" s="529"/>
      <c r="C22" s="530"/>
      <c r="D22" s="531"/>
      <c r="E22" s="561"/>
      <c r="F22" s="562"/>
      <c r="G22" s="562"/>
      <c r="H22" s="562"/>
      <c r="I22" s="562"/>
      <c r="J22" s="562"/>
      <c r="K22" s="562"/>
      <c r="L22" s="562"/>
      <c r="M22" s="562"/>
      <c r="N22" s="562"/>
      <c r="O22" s="562"/>
      <c r="P22" s="563"/>
      <c r="R22" s="547" t="s">
        <v>18</v>
      </c>
      <c r="S22" s="548"/>
      <c r="T22" s="548"/>
      <c r="U22" s="549"/>
      <c r="V22" s="535"/>
      <c r="W22" s="536"/>
      <c r="X22" s="536"/>
      <c r="Y22" s="536"/>
      <c r="Z22" s="536"/>
      <c r="AA22" s="536"/>
      <c r="AB22" s="536"/>
      <c r="AC22" s="536"/>
      <c r="AD22" s="536"/>
      <c r="AE22" s="536"/>
      <c r="AF22" s="536"/>
      <c r="AG22" s="536"/>
      <c r="AH22" s="536"/>
      <c r="AI22" s="536"/>
      <c r="AJ22" s="536"/>
      <c r="AK22" s="536"/>
      <c r="AL22" s="536"/>
      <c r="AM22" s="536"/>
      <c r="AN22" s="536"/>
      <c r="AO22" s="536"/>
      <c r="AP22" s="536"/>
      <c r="AQ22" s="536"/>
      <c r="AR22" s="536"/>
      <c r="AS22" s="536"/>
      <c r="AT22" s="537"/>
    </row>
    <row r="23" spans="2:46" ht="17" customHeight="1" x14ac:dyDescent="0.25">
      <c r="B23" s="532"/>
      <c r="C23" s="533"/>
      <c r="D23" s="534"/>
      <c r="E23" s="564"/>
      <c r="F23" s="565"/>
      <c r="G23" s="565"/>
      <c r="H23" s="565"/>
      <c r="I23" s="565"/>
      <c r="J23" s="565"/>
      <c r="K23" s="565"/>
      <c r="L23" s="565"/>
      <c r="M23" s="565"/>
      <c r="N23" s="565"/>
      <c r="O23" s="565"/>
      <c r="P23" s="566"/>
    </row>
    <row r="24" spans="2:46" ht="17" customHeight="1" x14ac:dyDescent="0.25">
      <c r="R24" s="526" t="s">
        <v>19</v>
      </c>
      <c r="S24" s="527"/>
      <c r="T24" s="527"/>
      <c r="U24" s="527"/>
      <c r="V24" s="568" t="s">
        <v>8902</v>
      </c>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70"/>
    </row>
    <row r="25" spans="2:46" ht="17" customHeight="1" x14ac:dyDescent="0.25">
      <c r="B25" s="556"/>
      <c r="C25" s="557"/>
      <c r="D25" s="557"/>
      <c r="E25" s="557"/>
      <c r="F25" s="557"/>
      <c r="G25" s="557"/>
      <c r="H25" s="557"/>
      <c r="I25" s="557"/>
      <c r="J25" s="557"/>
      <c r="K25" s="557"/>
      <c r="L25" s="557"/>
      <c r="M25" s="557"/>
      <c r="N25" s="557"/>
      <c r="O25" s="557"/>
      <c r="P25" s="557"/>
      <c r="R25" s="529"/>
      <c r="S25" s="530"/>
      <c r="T25" s="530"/>
      <c r="U25" s="530"/>
      <c r="V25" s="571"/>
      <c r="W25" s="572"/>
      <c r="X25" s="572"/>
      <c r="Y25" s="572"/>
      <c r="Z25" s="572"/>
      <c r="AA25" s="572"/>
      <c r="AB25" s="572"/>
      <c r="AC25" s="572"/>
      <c r="AD25" s="572"/>
      <c r="AE25" s="572"/>
      <c r="AF25" s="572"/>
      <c r="AG25" s="572"/>
      <c r="AH25" s="572"/>
      <c r="AI25" s="572"/>
      <c r="AJ25" s="572"/>
      <c r="AK25" s="572"/>
      <c r="AL25" s="572"/>
      <c r="AM25" s="572"/>
      <c r="AN25" s="572"/>
      <c r="AO25" s="572"/>
      <c r="AP25" s="572"/>
      <c r="AQ25" s="572"/>
      <c r="AR25" s="572"/>
      <c r="AS25" s="572"/>
      <c r="AT25" s="573"/>
    </row>
    <row r="26" spans="2:46" ht="17" customHeight="1" x14ac:dyDescent="0.25">
      <c r="B26" s="557"/>
      <c r="C26" s="557"/>
      <c r="D26" s="557"/>
      <c r="E26" s="557"/>
      <c r="F26" s="557"/>
      <c r="G26" s="557"/>
      <c r="H26" s="557"/>
      <c r="I26" s="557"/>
      <c r="J26" s="557"/>
      <c r="K26" s="557"/>
      <c r="L26" s="557"/>
      <c r="M26" s="557"/>
      <c r="N26" s="557"/>
      <c r="O26" s="557"/>
      <c r="P26" s="557"/>
      <c r="R26" s="532"/>
      <c r="S26" s="533"/>
      <c r="T26" s="533"/>
      <c r="U26" s="533"/>
      <c r="V26" s="571"/>
      <c r="W26" s="572"/>
      <c r="X26" s="572"/>
      <c r="Y26" s="572"/>
      <c r="Z26" s="572"/>
      <c r="AA26" s="572"/>
      <c r="AB26" s="572"/>
      <c r="AC26" s="572"/>
      <c r="AD26" s="572"/>
      <c r="AE26" s="572"/>
      <c r="AF26" s="572"/>
      <c r="AG26" s="572"/>
      <c r="AH26" s="572"/>
      <c r="AI26" s="572"/>
      <c r="AJ26" s="572"/>
      <c r="AK26" s="572"/>
      <c r="AL26" s="572"/>
      <c r="AM26" s="572"/>
      <c r="AN26" s="572"/>
      <c r="AO26" s="572"/>
      <c r="AP26" s="572"/>
      <c r="AQ26" s="572"/>
      <c r="AR26" s="572"/>
      <c r="AS26" s="572"/>
      <c r="AT26" s="573"/>
    </row>
    <row r="27" spans="2:46" ht="17" customHeight="1" x14ac:dyDescent="0.25">
      <c r="B27" s="557"/>
      <c r="C27" s="557"/>
      <c r="D27" s="557"/>
      <c r="E27" s="557"/>
      <c r="F27" s="557"/>
      <c r="G27" s="557"/>
      <c r="H27" s="557"/>
      <c r="I27" s="557"/>
      <c r="J27" s="557"/>
      <c r="K27" s="557"/>
      <c r="L27" s="557"/>
      <c r="M27" s="557"/>
      <c r="N27" s="557"/>
      <c r="O27" s="557"/>
      <c r="P27" s="557"/>
      <c r="V27" s="571"/>
      <c r="W27" s="572"/>
      <c r="X27" s="572"/>
      <c r="Y27" s="572"/>
      <c r="Z27" s="572"/>
      <c r="AA27" s="572"/>
      <c r="AB27" s="572"/>
      <c r="AC27" s="572"/>
      <c r="AD27" s="572"/>
      <c r="AE27" s="572"/>
      <c r="AF27" s="572"/>
      <c r="AG27" s="572"/>
      <c r="AH27" s="572"/>
      <c r="AI27" s="572"/>
      <c r="AJ27" s="572"/>
      <c r="AK27" s="572"/>
      <c r="AL27" s="572"/>
      <c r="AM27" s="572"/>
      <c r="AN27" s="572"/>
      <c r="AO27" s="572"/>
      <c r="AP27" s="572"/>
      <c r="AQ27" s="572"/>
      <c r="AR27" s="572"/>
      <c r="AS27" s="572"/>
      <c r="AT27" s="573"/>
    </row>
    <row r="28" spans="2:46" ht="17" customHeight="1" x14ac:dyDescent="0.25">
      <c r="B28" s="557"/>
      <c r="C28" s="557"/>
      <c r="D28" s="557"/>
      <c r="E28" s="557"/>
      <c r="F28" s="557"/>
      <c r="G28" s="557"/>
      <c r="H28" s="557"/>
      <c r="I28" s="557"/>
      <c r="J28" s="557"/>
      <c r="K28" s="557"/>
      <c r="L28" s="557"/>
      <c r="M28" s="557"/>
      <c r="N28" s="557"/>
      <c r="O28" s="557"/>
      <c r="P28" s="557"/>
      <c r="V28" s="571"/>
      <c r="W28" s="572"/>
      <c r="X28" s="572"/>
      <c r="Y28" s="572"/>
      <c r="Z28" s="572"/>
      <c r="AA28" s="572"/>
      <c r="AB28" s="572"/>
      <c r="AC28" s="572"/>
      <c r="AD28" s="572"/>
      <c r="AE28" s="572"/>
      <c r="AF28" s="572"/>
      <c r="AG28" s="572"/>
      <c r="AH28" s="572"/>
      <c r="AI28" s="572"/>
      <c r="AJ28" s="572"/>
      <c r="AK28" s="572"/>
      <c r="AL28" s="572"/>
      <c r="AM28" s="572"/>
      <c r="AN28" s="572"/>
      <c r="AO28" s="572"/>
      <c r="AP28" s="572"/>
      <c r="AQ28" s="572"/>
      <c r="AR28" s="572"/>
      <c r="AS28" s="572"/>
      <c r="AT28" s="573"/>
    </row>
    <row r="29" spans="2:46" ht="17" customHeight="1" x14ac:dyDescent="0.25">
      <c r="B29" s="557"/>
      <c r="C29" s="557"/>
      <c r="D29" s="557"/>
      <c r="E29" s="557"/>
      <c r="F29" s="557"/>
      <c r="G29" s="557"/>
      <c r="H29" s="557"/>
      <c r="I29" s="557"/>
      <c r="J29" s="557"/>
      <c r="K29" s="557"/>
      <c r="L29" s="557"/>
      <c r="M29" s="557"/>
      <c r="N29" s="557"/>
      <c r="O29" s="557"/>
      <c r="P29" s="557"/>
      <c r="V29" s="571"/>
      <c r="W29" s="572"/>
      <c r="X29" s="572"/>
      <c r="Y29" s="572"/>
      <c r="Z29" s="572"/>
      <c r="AA29" s="572"/>
      <c r="AB29" s="572"/>
      <c r="AC29" s="572"/>
      <c r="AD29" s="572"/>
      <c r="AE29" s="572"/>
      <c r="AF29" s="572"/>
      <c r="AG29" s="572"/>
      <c r="AH29" s="572"/>
      <c r="AI29" s="572"/>
      <c r="AJ29" s="572"/>
      <c r="AK29" s="572"/>
      <c r="AL29" s="572"/>
      <c r="AM29" s="572"/>
      <c r="AN29" s="572"/>
      <c r="AO29" s="572"/>
      <c r="AP29" s="572"/>
      <c r="AQ29" s="572"/>
      <c r="AR29" s="572"/>
      <c r="AS29" s="572"/>
      <c r="AT29" s="573"/>
    </row>
    <row r="30" spans="2:46" ht="17" customHeight="1" x14ac:dyDescent="0.25">
      <c r="B30" s="557"/>
      <c r="C30" s="557"/>
      <c r="D30" s="557"/>
      <c r="E30" s="557"/>
      <c r="F30" s="557"/>
      <c r="G30" s="557"/>
      <c r="H30" s="557"/>
      <c r="I30" s="557"/>
      <c r="J30" s="557"/>
      <c r="K30" s="557"/>
      <c r="L30" s="557"/>
      <c r="M30" s="557"/>
      <c r="N30" s="557"/>
      <c r="O30" s="557"/>
      <c r="P30" s="557"/>
      <c r="V30" s="571"/>
      <c r="W30" s="572"/>
      <c r="X30" s="572"/>
      <c r="Y30" s="572"/>
      <c r="Z30" s="572"/>
      <c r="AA30" s="572"/>
      <c r="AB30" s="572"/>
      <c r="AC30" s="572"/>
      <c r="AD30" s="572"/>
      <c r="AE30" s="572"/>
      <c r="AF30" s="572"/>
      <c r="AG30" s="572"/>
      <c r="AH30" s="572"/>
      <c r="AI30" s="572"/>
      <c r="AJ30" s="572"/>
      <c r="AK30" s="572"/>
      <c r="AL30" s="572"/>
      <c r="AM30" s="572"/>
      <c r="AN30" s="572"/>
      <c r="AO30" s="572"/>
      <c r="AP30" s="572"/>
      <c r="AQ30" s="572"/>
      <c r="AR30" s="572"/>
      <c r="AS30" s="572"/>
      <c r="AT30" s="573"/>
    </row>
    <row r="31" spans="2:46" ht="15" customHeight="1" x14ac:dyDescent="0.25">
      <c r="B31" s="557"/>
      <c r="C31" s="557"/>
      <c r="D31" s="557"/>
      <c r="E31" s="557"/>
      <c r="F31" s="557"/>
      <c r="G31" s="557"/>
      <c r="H31" s="557"/>
      <c r="I31" s="557"/>
      <c r="J31" s="557"/>
      <c r="K31" s="557"/>
      <c r="L31" s="557"/>
      <c r="M31" s="557"/>
      <c r="N31" s="557"/>
      <c r="O31" s="557"/>
      <c r="P31" s="557"/>
      <c r="V31" s="571"/>
      <c r="W31" s="572"/>
      <c r="X31" s="572"/>
      <c r="Y31" s="572"/>
      <c r="Z31" s="572"/>
      <c r="AA31" s="572"/>
      <c r="AB31" s="572"/>
      <c r="AC31" s="572"/>
      <c r="AD31" s="572"/>
      <c r="AE31" s="572"/>
      <c r="AF31" s="572"/>
      <c r="AG31" s="572"/>
      <c r="AH31" s="572"/>
      <c r="AI31" s="572"/>
      <c r="AJ31" s="572"/>
      <c r="AK31" s="572"/>
      <c r="AL31" s="572"/>
      <c r="AM31" s="572"/>
      <c r="AN31" s="572"/>
      <c r="AO31" s="572"/>
      <c r="AP31" s="572"/>
      <c r="AQ31" s="572"/>
      <c r="AR31" s="572"/>
      <c r="AS31" s="572"/>
      <c r="AT31" s="573"/>
    </row>
    <row r="32" spans="2:46" x14ac:dyDescent="0.25">
      <c r="B32" s="557"/>
      <c r="C32" s="557"/>
      <c r="D32" s="557"/>
      <c r="E32" s="557"/>
      <c r="F32" s="557"/>
      <c r="G32" s="557"/>
      <c r="H32" s="557"/>
      <c r="I32" s="557"/>
      <c r="J32" s="557"/>
      <c r="K32" s="557"/>
      <c r="L32" s="557"/>
      <c r="M32" s="557"/>
      <c r="N32" s="557"/>
      <c r="O32" s="557"/>
      <c r="P32" s="557"/>
      <c r="V32" s="571"/>
      <c r="W32" s="572"/>
      <c r="X32" s="572"/>
      <c r="Y32" s="572"/>
      <c r="Z32" s="572"/>
      <c r="AA32" s="572"/>
      <c r="AB32" s="572"/>
      <c r="AC32" s="572"/>
      <c r="AD32" s="572"/>
      <c r="AE32" s="572"/>
      <c r="AF32" s="572"/>
      <c r="AG32" s="572"/>
      <c r="AH32" s="572"/>
      <c r="AI32" s="572"/>
      <c r="AJ32" s="572"/>
      <c r="AK32" s="572"/>
      <c r="AL32" s="572"/>
      <c r="AM32" s="572"/>
      <c r="AN32" s="572"/>
      <c r="AO32" s="572"/>
      <c r="AP32" s="572"/>
      <c r="AQ32" s="572"/>
      <c r="AR32" s="572"/>
      <c r="AS32" s="572"/>
      <c r="AT32" s="573"/>
    </row>
    <row r="33" spans="2:46" x14ac:dyDescent="0.25">
      <c r="B33" s="557"/>
      <c r="C33" s="557"/>
      <c r="D33" s="557"/>
      <c r="E33" s="557"/>
      <c r="F33" s="557"/>
      <c r="G33" s="557"/>
      <c r="H33" s="557"/>
      <c r="I33" s="557"/>
      <c r="J33" s="557"/>
      <c r="K33" s="557"/>
      <c r="L33" s="557"/>
      <c r="M33" s="557"/>
      <c r="N33" s="557"/>
      <c r="O33" s="557"/>
      <c r="P33" s="557"/>
      <c r="V33" s="571"/>
      <c r="W33" s="572"/>
      <c r="X33" s="572"/>
      <c r="Y33" s="572"/>
      <c r="Z33" s="572"/>
      <c r="AA33" s="572"/>
      <c r="AB33" s="572"/>
      <c r="AC33" s="572"/>
      <c r="AD33" s="572"/>
      <c r="AE33" s="572"/>
      <c r="AF33" s="572"/>
      <c r="AG33" s="572"/>
      <c r="AH33" s="572"/>
      <c r="AI33" s="572"/>
      <c r="AJ33" s="572"/>
      <c r="AK33" s="572"/>
      <c r="AL33" s="572"/>
      <c r="AM33" s="572"/>
      <c r="AN33" s="572"/>
      <c r="AO33" s="572"/>
      <c r="AP33" s="572"/>
      <c r="AQ33" s="572"/>
      <c r="AR33" s="572"/>
      <c r="AS33" s="572"/>
      <c r="AT33" s="573"/>
    </row>
    <row r="34" spans="2:46" x14ac:dyDescent="0.25">
      <c r="B34" s="557"/>
      <c r="C34" s="557"/>
      <c r="D34" s="557"/>
      <c r="E34" s="557"/>
      <c r="F34" s="557"/>
      <c r="G34" s="557"/>
      <c r="H34" s="557"/>
      <c r="I34" s="557"/>
      <c r="J34" s="557"/>
      <c r="K34" s="557"/>
      <c r="L34" s="557"/>
      <c r="M34" s="557"/>
      <c r="N34" s="557"/>
      <c r="O34" s="557"/>
      <c r="P34" s="557"/>
      <c r="V34" s="571"/>
      <c r="W34" s="572"/>
      <c r="X34" s="572"/>
      <c r="Y34" s="572"/>
      <c r="Z34" s="572"/>
      <c r="AA34" s="572"/>
      <c r="AB34" s="572"/>
      <c r="AC34" s="572"/>
      <c r="AD34" s="572"/>
      <c r="AE34" s="572"/>
      <c r="AF34" s="572"/>
      <c r="AG34" s="572"/>
      <c r="AH34" s="572"/>
      <c r="AI34" s="572"/>
      <c r="AJ34" s="572"/>
      <c r="AK34" s="572"/>
      <c r="AL34" s="572"/>
      <c r="AM34" s="572"/>
      <c r="AN34" s="572"/>
      <c r="AO34" s="572"/>
      <c r="AP34" s="572"/>
      <c r="AQ34" s="572"/>
      <c r="AR34" s="572"/>
      <c r="AS34" s="572"/>
      <c r="AT34" s="573"/>
    </row>
    <row r="35" spans="2:46" ht="15" customHeight="1" x14ac:dyDescent="0.25">
      <c r="B35" s="557"/>
      <c r="C35" s="557"/>
      <c r="D35" s="557"/>
      <c r="E35" s="557"/>
      <c r="F35" s="557"/>
      <c r="G35" s="557"/>
      <c r="H35" s="557"/>
      <c r="I35" s="557"/>
      <c r="J35" s="557"/>
      <c r="K35" s="557"/>
      <c r="L35" s="557"/>
      <c r="M35" s="557"/>
      <c r="N35" s="557"/>
      <c r="O35" s="557"/>
      <c r="P35" s="557"/>
      <c r="V35" s="571"/>
      <c r="W35" s="572"/>
      <c r="X35" s="572"/>
      <c r="Y35" s="572"/>
      <c r="Z35" s="572"/>
      <c r="AA35" s="572"/>
      <c r="AB35" s="572"/>
      <c r="AC35" s="572"/>
      <c r="AD35" s="572"/>
      <c r="AE35" s="572"/>
      <c r="AF35" s="572"/>
      <c r="AG35" s="572"/>
      <c r="AH35" s="572"/>
      <c r="AI35" s="572"/>
      <c r="AJ35" s="572"/>
      <c r="AK35" s="572"/>
      <c r="AL35" s="572"/>
      <c r="AM35" s="572"/>
      <c r="AN35" s="572"/>
      <c r="AO35" s="572"/>
      <c r="AP35" s="572"/>
      <c r="AQ35" s="572"/>
      <c r="AR35" s="572"/>
      <c r="AS35" s="572"/>
      <c r="AT35" s="573"/>
    </row>
    <row r="36" spans="2:46" x14ac:dyDescent="0.25">
      <c r="B36" s="557"/>
      <c r="C36" s="557"/>
      <c r="D36" s="557"/>
      <c r="E36" s="557"/>
      <c r="F36" s="557"/>
      <c r="G36" s="557"/>
      <c r="H36" s="557"/>
      <c r="I36" s="557"/>
      <c r="J36" s="557"/>
      <c r="K36" s="557"/>
      <c r="L36" s="557"/>
      <c r="M36" s="557"/>
      <c r="N36" s="557"/>
      <c r="O36" s="557"/>
      <c r="P36" s="557"/>
      <c r="V36" s="571"/>
      <c r="W36" s="572"/>
      <c r="X36" s="572"/>
      <c r="Y36" s="572"/>
      <c r="Z36" s="572"/>
      <c r="AA36" s="572"/>
      <c r="AB36" s="572"/>
      <c r="AC36" s="572"/>
      <c r="AD36" s="572"/>
      <c r="AE36" s="572"/>
      <c r="AF36" s="572"/>
      <c r="AG36" s="572"/>
      <c r="AH36" s="572"/>
      <c r="AI36" s="572"/>
      <c r="AJ36" s="572"/>
      <c r="AK36" s="572"/>
      <c r="AL36" s="572"/>
      <c r="AM36" s="572"/>
      <c r="AN36" s="572"/>
      <c r="AO36" s="572"/>
      <c r="AP36" s="572"/>
      <c r="AQ36" s="572"/>
      <c r="AR36" s="572"/>
      <c r="AS36" s="572"/>
      <c r="AT36" s="573"/>
    </row>
    <row r="37" spans="2:46" x14ac:dyDescent="0.25">
      <c r="B37" s="557"/>
      <c r="C37" s="557"/>
      <c r="D37" s="557"/>
      <c r="E37" s="557"/>
      <c r="F37" s="557"/>
      <c r="G37" s="557"/>
      <c r="H37" s="557"/>
      <c r="I37" s="557"/>
      <c r="J37" s="557"/>
      <c r="K37" s="557"/>
      <c r="L37" s="557"/>
      <c r="M37" s="557"/>
      <c r="N37" s="557"/>
      <c r="O37" s="557"/>
      <c r="P37" s="557"/>
      <c r="V37" s="571"/>
      <c r="W37" s="572"/>
      <c r="X37" s="572"/>
      <c r="Y37" s="572"/>
      <c r="Z37" s="572"/>
      <c r="AA37" s="572"/>
      <c r="AB37" s="572"/>
      <c r="AC37" s="572"/>
      <c r="AD37" s="572"/>
      <c r="AE37" s="572"/>
      <c r="AF37" s="572"/>
      <c r="AG37" s="572"/>
      <c r="AH37" s="572"/>
      <c r="AI37" s="572"/>
      <c r="AJ37" s="572"/>
      <c r="AK37" s="572"/>
      <c r="AL37" s="572"/>
      <c r="AM37" s="572"/>
      <c r="AN37" s="572"/>
      <c r="AO37" s="572"/>
      <c r="AP37" s="572"/>
      <c r="AQ37" s="572"/>
      <c r="AR37" s="572"/>
      <c r="AS37" s="572"/>
      <c r="AT37" s="573"/>
    </row>
    <row r="38" spans="2:46" x14ac:dyDescent="0.25">
      <c r="B38" s="557"/>
      <c r="C38" s="557"/>
      <c r="D38" s="557"/>
      <c r="E38" s="557"/>
      <c r="F38" s="557"/>
      <c r="G38" s="557"/>
      <c r="H38" s="557"/>
      <c r="I38" s="557"/>
      <c r="J38" s="557"/>
      <c r="K38" s="557"/>
      <c r="L38" s="557"/>
      <c r="M38" s="557"/>
      <c r="N38" s="557"/>
      <c r="O38" s="557"/>
      <c r="P38" s="557"/>
      <c r="V38" s="571"/>
      <c r="W38" s="572"/>
      <c r="X38" s="572"/>
      <c r="Y38" s="572"/>
      <c r="Z38" s="572"/>
      <c r="AA38" s="572"/>
      <c r="AB38" s="572"/>
      <c r="AC38" s="572"/>
      <c r="AD38" s="572"/>
      <c r="AE38" s="572"/>
      <c r="AF38" s="572"/>
      <c r="AG38" s="572"/>
      <c r="AH38" s="572"/>
      <c r="AI38" s="572"/>
      <c r="AJ38" s="572"/>
      <c r="AK38" s="572"/>
      <c r="AL38" s="572"/>
      <c r="AM38" s="572"/>
      <c r="AN38" s="572"/>
      <c r="AO38" s="572"/>
      <c r="AP38" s="572"/>
      <c r="AQ38" s="572"/>
      <c r="AR38" s="572"/>
      <c r="AS38" s="572"/>
      <c r="AT38" s="573"/>
    </row>
    <row r="39" spans="2:46" x14ac:dyDescent="0.25">
      <c r="B39" s="557"/>
      <c r="C39" s="557"/>
      <c r="D39" s="557"/>
      <c r="E39" s="557"/>
      <c r="F39" s="557"/>
      <c r="G39" s="557"/>
      <c r="H39" s="557"/>
      <c r="I39" s="557"/>
      <c r="J39" s="557"/>
      <c r="K39" s="557"/>
      <c r="L39" s="557"/>
      <c r="M39" s="557"/>
      <c r="N39" s="557"/>
      <c r="O39" s="557"/>
      <c r="P39" s="557"/>
      <c r="V39" s="571"/>
      <c r="W39" s="572"/>
      <c r="X39" s="572"/>
      <c r="Y39" s="572"/>
      <c r="Z39" s="572"/>
      <c r="AA39" s="572"/>
      <c r="AB39" s="572"/>
      <c r="AC39" s="572"/>
      <c r="AD39" s="572"/>
      <c r="AE39" s="572"/>
      <c r="AF39" s="572"/>
      <c r="AG39" s="572"/>
      <c r="AH39" s="572"/>
      <c r="AI39" s="572"/>
      <c r="AJ39" s="572"/>
      <c r="AK39" s="572"/>
      <c r="AL39" s="572"/>
      <c r="AM39" s="572"/>
      <c r="AN39" s="572"/>
      <c r="AO39" s="572"/>
      <c r="AP39" s="572"/>
      <c r="AQ39" s="572"/>
      <c r="AR39" s="572"/>
      <c r="AS39" s="572"/>
      <c r="AT39" s="573"/>
    </row>
    <row r="40" spans="2:46" x14ac:dyDescent="0.25">
      <c r="B40" s="557"/>
      <c r="C40" s="557"/>
      <c r="D40" s="557"/>
      <c r="E40" s="557"/>
      <c r="F40" s="557"/>
      <c r="G40" s="557"/>
      <c r="H40" s="557"/>
      <c r="I40" s="557"/>
      <c r="J40" s="557"/>
      <c r="K40" s="557"/>
      <c r="L40" s="557"/>
      <c r="M40" s="557"/>
      <c r="N40" s="557"/>
      <c r="O40" s="557"/>
      <c r="P40" s="557"/>
      <c r="V40" s="571"/>
      <c r="W40" s="572"/>
      <c r="X40" s="572"/>
      <c r="Y40" s="572"/>
      <c r="Z40" s="572"/>
      <c r="AA40" s="572"/>
      <c r="AB40" s="572"/>
      <c r="AC40" s="572"/>
      <c r="AD40" s="572"/>
      <c r="AE40" s="572"/>
      <c r="AF40" s="572"/>
      <c r="AG40" s="572"/>
      <c r="AH40" s="572"/>
      <c r="AI40" s="572"/>
      <c r="AJ40" s="572"/>
      <c r="AK40" s="572"/>
      <c r="AL40" s="572"/>
      <c r="AM40" s="572"/>
      <c r="AN40" s="572"/>
      <c r="AO40" s="572"/>
      <c r="AP40" s="572"/>
      <c r="AQ40" s="572"/>
      <c r="AR40" s="572"/>
      <c r="AS40" s="572"/>
      <c r="AT40" s="573"/>
    </row>
    <row r="41" spans="2:46" ht="15" customHeight="1" x14ac:dyDescent="0.25">
      <c r="B41" s="557"/>
      <c r="C41" s="557"/>
      <c r="D41" s="557"/>
      <c r="E41" s="557"/>
      <c r="F41" s="557"/>
      <c r="G41" s="557"/>
      <c r="H41" s="557"/>
      <c r="I41" s="557"/>
      <c r="J41" s="557"/>
      <c r="K41" s="557"/>
      <c r="L41" s="557"/>
      <c r="M41" s="557"/>
      <c r="N41" s="557"/>
      <c r="O41" s="557"/>
      <c r="P41" s="557"/>
      <c r="V41" s="571"/>
      <c r="W41" s="572"/>
      <c r="X41" s="572"/>
      <c r="Y41" s="572"/>
      <c r="Z41" s="572"/>
      <c r="AA41" s="572"/>
      <c r="AB41" s="572"/>
      <c r="AC41" s="572"/>
      <c r="AD41" s="572"/>
      <c r="AE41" s="572"/>
      <c r="AF41" s="572"/>
      <c r="AG41" s="572"/>
      <c r="AH41" s="572"/>
      <c r="AI41" s="572"/>
      <c r="AJ41" s="572"/>
      <c r="AK41" s="572"/>
      <c r="AL41" s="572"/>
      <c r="AM41" s="572"/>
      <c r="AN41" s="572"/>
      <c r="AO41" s="572"/>
      <c r="AP41" s="572"/>
      <c r="AQ41" s="572"/>
      <c r="AR41" s="572"/>
      <c r="AS41" s="572"/>
      <c r="AT41" s="573"/>
    </row>
    <row r="42" spans="2:46" ht="15" customHeight="1" x14ac:dyDescent="0.25">
      <c r="B42" s="557"/>
      <c r="C42" s="557"/>
      <c r="D42" s="557"/>
      <c r="E42" s="557"/>
      <c r="F42" s="557"/>
      <c r="G42" s="557"/>
      <c r="H42" s="557"/>
      <c r="I42" s="557"/>
      <c r="J42" s="557"/>
      <c r="K42" s="557"/>
      <c r="L42" s="557"/>
      <c r="M42" s="557"/>
      <c r="N42" s="557"/>
      <c r="O42" s="557"/>
      <c r="P42" s="557"/>
      <c r="V42" s="571"/>
      <c r="W42" s="572"/>
      <c r="X42" s="572"/>
      <c r="Y42" s="572"/>
      <c r="Z42" s="572"/>
      <c r="AA42" s="572"/>
      <c r="AB42" s="572"/>
      <c r="AC42" s="572"/>
      <c r="AD42" s="572"/>
      <c r="AE42" s="572"/>
      <c r="AF42" s="572"/>
      <c r="AG42" s="572"/>
      <c r="AH42" s="572"/>
      <c r="AI42" s="572"/>
      <c r="AJ42" s="572"/>
      <c r="AK42" s="572"/>
      <c r="AL42" s="572"/>
      <c r="AM42" s="572"/>
      <c r="AN42" s="572"/>
      <c r="AO42" s="572"/>
      <c r="AP42" s="572"/>
      <c r="AQ42" s="572"/>
      <c r="AR42" s="572"/>
      <c r="AS42" s="572"/>
      <c r="AT42" s="573"/>
    </row>
    <row r="43" spans="2:46" x14ac:dyDescent="0.25">
      <c r="B43" s="557"/>
      <c r="C43" s="557"/>
      <c r="D43" s="557"/>
      <c r="E43" s="557"/>
      <c r="F43" s="557"/>
      <c r="G43" s="557"/>
      <c r="H43" s="557"/>
      <c r="I43" s="557"/>
      <c r="J43" s="557"/>
      <c r="K43" s="557"/>
      <c r="L43" s="557"/>
      <c r="M43" s="557"/>
      <c r="N43" s="557"/>
      <c r="O43" s="557"/>
      <c r="P43" s="557"/>
      <c r="V43" s="571"/>
      <c r="W43" s="572"/>
      <c r="X43" s="572"/>
      <c r="Y43" s="572"/>
      <c r="Z43" s="572"/>
      <c r="AA43" s="572"/>
      <c r="AB43" s="572"/>
      <c r="AC43" s="572"/>
      <c r="AD43" s="572"/>
      <c r="AE43" s="572"/>
      <c r="AF43" s="572"/>
      <c r="AG43" s="572"/>
      <c r="AH43" s="572"/>
      <c r="AI43" s="572"/>
      <c r="AJ43" s="572"/>
      <c r="AK43" s="572"/>
      <c r="AL43" s="572"/>
      <c r="AM43" s="572"/>
      <c r="AN43" s="572"/>
      <c r="AO43" s="572"/>
      <c r="AP43" s="572"/>
      <c r="AQ43" s="572"/>
      <c r="AR43" s="572"/>
      <c r="AS43" s="572"/>
      <c r="AT43" s="573"/>
    </row>
    <row r="44" spans="2:46" x14ac:dyDescent="0.25">
      <c r="B44" s="557"/>
      <c r="C44" s="557"/>
      <c r="D44" s="557"/>
      <c r="E44" s="557"/>
      <c r="F44" s="557"/>
      <c r="G44" s="557"/>
      <c r="H44" s="557"/>
      <c r="I44" s="557"/>
      <c r="J44" s="557"/>
      <c r="K44" s="557"/>
      <c r="L44" s="557"/>
      <c r="M44" s="557"/>
      <c r="N44" s="557"/>
      <c r="O44" s="557"/>
      <c r="P44" s="557"/>
      <c r="V44" s="571"/>
      <c r="W44" s="572"/>
      <c r="X44" s="572"/>
      <c r="Y44" s="572"/>
      <c r="Z44" s="572"/>
      <c r="AA44" s="572"/>
      <c r="AB44" s="572"/>
      <c r="AC44" s="572"/>
      <c r="AD44" s="572"/>
      <c r="AE44" s="572"/>
      <c r="AF44" s="572"/>
      <c r="AG44" s="572"/>
      <c r="AH44" s="572"/>
      <c r="AI44" s="572"/>
      <c r="AJ44" s="572"/>
      <c r="AK44" s="572"/>
      <c r="AL44" s="572"/>
      <c r="AM44" s="572"/>
      <c r="AN44" s="572"/>
      <c r="AO44" s="572"/>
      <c r="AP44" s="572"/>
      <c r="AQ44" s="572"/>
      <c r="AR44" s="572"/>
      <c r="AS44" s="572"/>
      <c r="AT44" s="573"/>
    </row>
    <row r="45" spans="2:46" x14ac:dyDescent="0.25">
      <c r="B45" s="567" t="s">
        <v>20</v>
      </c>
      <c r="C45" s="567"/>
      <c r="D45" s="567"/>
      <c r="E45" s="567"/>
      <c r="F45" s="567"/>
      <c r="G45" s="567"/>
      <c r="H45" s="567"/>
      <c r="I45" s="567"/>
      <c r="J45" s="567"/>
      <c r="K45" s="567"/>
      <c r="L45" s="567"/>
      <c r="M45" s="567"/>
      <c r="N45" s="567"/>
      <c r="O45" s="567"/>
      <c r="P45" s="567"/>
      <c r="V45" s="571"/>
      <c r="W45" s="572"/>
      <c r="X45" s="572"/>
      <c r="Y45" s="572"/>
      <c r="Z45" s="572"/>
      <c r="AA45" s="572"/>
      <c r="AB45" s="572"/>
      <c r="AC45" s="572"/>
      <c r="AD45" s="572"/>
      <c r="AE45" s="572"/>
      <c r="AF45" s="572"/>
      <c r="AG45" s="572"/>
      <c r="AH45" s="572"/>
      <c r="AI45" s="572"/>
      <c r="AJ45" s="572"/>
      <c r="AK45" s="572"/>
      <c r="AL45" s="572"/>
      <c r="AM45" s="572"/>
      <c r="AN45" s="572"/>
      <c r="AO45" s="572"/>
      <c r="AP45" s="572"/>
      <c r="AQ45" s="572"/>
      <c r="AR45" s="572"/>
      <c r="AS45" s="572"/>
      <c r="AT45" s="573"/>
    </row>
    <row r="46" spans="2:46" x14ac:dyDescent="0.25">
      <c r="V46" s="571"/>
      <c r="W46" s="572"/>
      <c r="X46" s="572"/>
      <c r="Y46" s="572"/>
      <c r="Z46" s="572"/>
      <c r="AA46" s="572"/>
      <c r="AB46" s="572"/>
      <c r="AC46" s="572"/>
      <c r="AD46" s="572"/>
      <c r="AE46" s="572"/>
      <c r="AF46" s="572"/>
      <c r="AG46" s="572"/>
      <c r="AH46" s="572"/>
      <c r="AI46" s="572"/>
      <c r="AJ46" s="572"/>
      <c r="AK46" s="572"/>
      <c r="AL46" s="572"/>
      <c r="AM46" s="572"/>
      <c r="AN46" s="572"/>
      <c r="AO46" s="572"/>
      <c r="AP46" s="572"/>
      <c r="AQ46" s="572"/>
      <c r="AR46" s="572"/>
      <c r="AS46" s="572"/>
      <c r="AT46" s="573"/>
    </row>
    <row r="47" spans="2:46" x14ac:dyDescent="0.25">
      <c r="B47" s="530" t="s">
        <v>21</v>
      </c>
      <c r="C47" s="530"/>
      <c r="D47" s="531"/>
      <c r="E47" s="550" t="s">
        <v>8901</v>
      </c>
      <c r="F47" s="551"/>
      <c r="G47" s="551"/>
      <c r="H47" s="551"/>
      <c r="I47" s="551"/>
      <c r="J47" s="552"/>
      <c r="K47" s="550"/>
      <c r="L47" s="551"/>
      <c r="M47" s="551"/>
      <c r="N47" s="551"/>
      <c r="O47" s="551"/>
      <c r="P47" s="552"/>
      <c r="V47" s="571"/>
      <c r="W47" s="572"/>
      <c r="X47" s="572"/>
      <c r="Y47" s="572"/>
      <c r="Z47" s="572"/>
      <c r="AA47" s="572"/>
      <c r="AB47" s="572"/>
      <c r="AC47" s="572"/>
      <c r="AD47" s="572"/>
      <c r="AE47" s="572"/>
      <c r="AF47" s="572"/>
      <c r="AG47" s="572"/>
      <c r="AH47" s="572"/>
      <c r="AI47" s="572"/>
      <c r="AJ47" s="572"/>
      <c r="AK47" s="572"/>
      <c r="AL47" s="572"/>
      <c r="AM47" s="572"/>
      <c r="AN47" s="572"/>
      <c r="AO47" s="572"/>
      <c r="AP47" s="572"/>
      <c r="AQ47" s="572"/>
      <c r="AR47" s="572"/>
      <c r="AS47" s="572"/>
      <c r="AT47" s="573"/>
    </row>
    <row r="48" spans="2:46" x14ac:dyDescent="0.25">
      <c r="B48" s="530"/>
      <c r="C48" s="530"/>
      <c r="D48" s="531"/>
      <c r="E48" s="553"/>
      <c r="F48" s="554"/>
      <c r="G48" s="554"/>
      <c r="H48" s="554"/>
      <c r="I48" s="554"/>
      <c r="J48" s="555"/>
      <c r="K48" s="553"/>
      <c r="L48" s="554"/>
      <c r="M48" s="554"/>
      <c r="N48" s="554"/>
      <c r="O48" s="554"/>
      <c r="P48" s="555"/>
      <c r="V48" s="571"/>
      <c r="W48" s="572"/>
      <c r="X48" s="572"/>
      <c r="Y48" s="572"/>
      <c r="Z48" s="572"/>
      <c r="AA48" s="572"/>
      <c r="AB48" s="572"/>
      <c r="AC48" s="572"/>
      <c r="AD48" s="572"/>
      <c r="AE48" s="572"/>
      <c r="AF48" s="572"/>
      <c r="AG48" s="572"/>
      <c r="AH48" s="572"/>
      <c r="AI48" s="572"/>
      <c r="AJ48" s="572"/>
      <c r="AK48" s="572"/>
      <c r="AL48" s="572"/>
      <c r="AM48" s="572"/>
      <c r="AN48" s="572"/>
      <c r="AO48" s="572"/>
      <c r="AP48" s="572"/>
      <c r="AQ48" s="572"/>
      <c r="AR48" s="572"/>
      <c r="AS48" s="572"/>
      <c r="AT48" s="573"/>
    </row>
    <row r="49" spans="2:46" x14ac:dyDescent="0.25">
      <c r="B49" s="530"/>
      <c r="C49" s="530"/>
      <c r="D49" s="531"/>
      <c r="E49" s="550"/>
      <c r="F49" s="551"/>
      <c r="G49" s="551"/>
      <c r="H49" s="551"/>
      <c r="I49" s="551"/>
      <c r="J49" s="552"/>
      <c r="K49" s="550"/>
      <c r="L49" s="551"/>
      <c r="M49" s="551"/>
      <c r="N49" s="551"/>
      <c r="O49" s="551"/>
      <c r="P49" s="552"/>
      <c r="V49" s="571"/>
      <c r="W49" s="572"/>
      <c r="X49" s="572"/>
      <c r="Y49" s="572"/>
      <c r="Z49" s="572"/>
      <c r="AA49" s="572"/>
      <c r="AB49" s="572"/>
      <c r="AC49" s="572"/>
      <c r="AD49" s="572"/>
      <c r="AE49" s="572"/>
      <c r="AF49" s="572"/>
      <c r="AG49" s="572"/>
      <c r="AH49" s="572"/>
      <c r="AI49" s="572"/>
      <c r="AJ49" s="572"/>
      <c r="AK49" s="572"/>
      <c r="AL49" s="572"/>
      <c r="AM49" s="572"/>
      <c r="AN49" s="572"/>
      <c r="AO49" s="572"/>
      <c r="AP49" s="572"/>
      <c r="AQ49" s="572"/>
      <c r="AR49" s="572"/>
      <c r="AS49" s="572"/>
      <c r="AT49" s="573"/>
    </row>
    <row r="50" spans="2:46" x14ac:dyDescent="0.25">
      <c r="B50" s="530"/>
      <c r="C50" s="530"/>
      <c r="D50" s="531"/>
      <c r="E50" s="553"/>
      <c r="F50" s="554"/>
      <c r="G50" s="554"/>
      <c r="H50" s="554"/>
      <c r="I50" s="554"/>
      <c r="J50" s="555"/>
      <c r="K50" s="553"/>
      <c r="L50" s="554"/>
      <c r="M50" s="554"/>
      <c r="N50" s="554"/>
      <c r="O50" s="554"/>
      <c r="P50" s="555"/>
      <c r="V50" s="574"/>
      <c r="W50" s="575"/>
      <c r="X50" s="575"/>
      <c r="Y50" s="575"/>
      <c r="Z50" s="575"/>
      <c r="AA50" s="575"/>
      <c r="AB50" s="575"/>
      <c r="AC50" s="575"/>
      <c r="AD50" s="575"/>
      <c r="AE50" s="575"/>
      <c r="AF50" s="575"/>
      <c r="AG50" s="575"/>
      <c r="AH50" s="575"/>
      <c r="AI50" s="575"/>
      <c r="AJ50" s="575"/>
      <c r="AK50" s="575"/>
      <c r="AL50" s="575"/>
      <c r="AM50" s="575"/>
      <c r="AN50" s="575"/>
      <c r="AO50" s="575"/>
      <c r="AP50" s="575"/>
      <c r="AQ50" s="575"/>
      <c r="AR50" s="575"/>
      <c r="AS50" s="575"/>
      <c r="AT50" s="576"/>
    </row>
  </sheetData>
  <sheetProtection sheet="1" objects="1" scenarios="1"/>
  <mergeCells count="70">
    <mergeCell ref="AP1:AT1"/>
    <mergeCell ref="R7:U7"/>
    <mergeCell ref="E47:J47"/>
    <mergeCell ref="K49:P49"/>
    <mergeCell ref="V21:AT21"/>
    <mergeCell ref="T1:AB1"/>
    <mergeCell ref="E6:P6"/>
    <mergeCell ref="R6:U6"/>
    <mergeCell ref="E3:P3"/>
    <mergeCell ref="K47:P47"/>
    <mergeCell ref="R24:U26"/>
    <mergeCell ref="E48:J48"/>
    <mergeCell ref="V7:AT7"/>
    <mergeCell ref="V16:AT16"/>
    <mergeCell ref="R5:U5"/>
    <mergeCell ref="V4:AT4"/>
    <mergeCell ref="B3:D3"/>
    <mergeCell ref="B4:D4"/>
    <mergeCell ref="V15:AT15"/>
    <mergeCell ref="R19:U19"/>
    <mergeCell ref="E7:P7"/>
    <mergeCell ref="R17:U17"/>
    <mergeCell ref="R15:U15"/>
    <mergeCell ref="R16:U16"/>
    <mergeCell ref="V14:AT14"/>
    <mergeCell ref="E11:P11"/>
    <mergeCell ref="B6:D6"/>
    <mergeCell ref="V13:AT13"/>
    <mergeCell ref="B9:D9"/>
    <mergeCell ref="V17:AT17"/>
    <mergeCell ref="V5:AT5"/>
    <mergeCell ref="V6:AT6"/>
    <mergeCell ref="E9:P9"/>
    <mergeCell ref="R11:U11"/>
    <mergeCell ref="E4:P4"/>
    <mergeCell ref="R22:U22"/>
    <mergeCell ref="R14:U14"/>
    <mergeCell ref="R13:U13"/>
    <mergeCell ref="E10:P10"/>
    <mergeCell ref="R8:U8"/>
    <mergeCell ref="R21:U21"/>
    <mergeCell ref="B11:D11"/>
    <mergeCell ref="E49:J49"/>
    <mergeCell ref="R12:U12"/>
    <mergeCell ref="K50:P50"/>
    <mergeCell ref="V22:AT22"/>
    <mergeCell ref="E50:J50"/>
    <mergeCell ref="B25:P44"/>
    <mergeCell ref="K48:P48"/>
    <mergeCell ref="V19:AT19"/>
    <mergeCell ref="E14:P23"/>
    <mergeCell ref="B45:P45"/>
    <mergeCell ref="B47:D50"/>
    <mergeCell ref="V24:AT50"/>
    <mergeCell ref="B5:D5"/>
    <mergeCell ref="V20:AT20"/>
    <mergeCell ref="B14:D23"/>
    <mergeCell ref="V3:AT3"/>
    <mergeCell ref="V12:AT12"/>
    <mergeCell ref="R3:U4"/>
    <mergeCell ref="E12:P12"/>
    <mergeCell ref="R20:U20"/>
    <mergeCell ref="E5:P5"/>
    <mergeCell ref="R9:U9"/>
    <mergeCell ref="B7:D7"/>
    <mergeCell ref="V9:AT9"/>
    <mergeCell ref="V11:AT11"/>
    <mergeCell ref="B12:D12"/>
    <mergeCell ref="B10:D10"/>
    <mergeCell ref="V8:AT8"/>
  </mergeCells>
  <phoneticPr fontId="83" type="noConversion"/>
  <conditionalFormatting sqref="V3:AT4">
    <cfRule type="duplicateValues" dxfId="63" priority="1"/>
  </conditionalFormatting>
  <dataValidations count="1">
    <dataValidation allowBlank="1" showInputMessage="1" sqref="E4" xr:uid="{00000000-0002-0000-0000-000005000000}"/>
  </dataValidations>
  <pageMargins left="0.75" right="0.75" top="1" bottom="1" header="0.51180555555555596" footer="0.51180555555555596"/>
  <extLst>
    <ext xmlns:x14="http://schemas.microsoft.com/office/spreadsheetml/2009/9/main" uri="{CCE6A557-97BC-4b89-ADB6-D9C93CAAB3DF}">
      <x14:dataValidations xmlns:xm="http://schemas.microsoft.com/office/excel/2006/main" count="22">
        <x14:dataValidation type="list" allowBlank="1" showInputMessage="1" xr:uid="{00000000-0002-0000-0000-000000000000}">
          <x14:formula1>
            <xm:f>OFFSET(背景数据!$H$12, , ,SUMPRODUCT(N(LEN(背景数据!$H$12:$H$31)&gt;1)), )</xm:f>
          </x14:formula1>
          <xm:sqref>V3:AT4</xm:sqref>
        </x14:dataValidation>
        <x14:dataValidation type="list" allowBlank="1" showInputMessage="1" xr:uid="{00000000-0002-0000-0000-000001000000}">
          <x14:formula1>
            <xm:f>OFFSET(赠礼数据!$E$2, , ,SUMPRODUCT(N(LEN(赠礼数据!$E$2:$E$9)&gt;1)), )</xm:f>
          </x14:formula1>
          <xm:sqref>V20:AT20</xm:sqref>
        </x14:dataValidation>
        <x14:dataValidation type="list" allowBlank="1" showInputMessage="1" xr:uid="{00000000-0002-0000-0000-000002000000}">
          <x14:formula1>
            <xm:f>OFFSET(背景数据!$G$52, , ,SUMPRODUCT(N(LEN(背景数据!$G$52:$G$57)&gt;1)), )</xm:f>
          </x14:formula1>
          <xm:sqref>U6 U19:U20 U12:U16</xm:sqref>
        </x14:dataValidation>
        <x14:dataValidation type="list" allowBlank="1" showInputMessage="1" xr:uid="{00000000-0002-0000-0000-000004000000}">
          <x14:formula1>
            <xm:f>OFFSET(背景数据!$G$71, , ,SUMPRODUCT(N(LEN(背景数据!$G$71:$G$76)&gt;1)), )</xm:f>
          </x14:formula1>
          <xm:sqref>U7</xm:sqref>
        </x14:dataValidation>
        <x14:dataValidation type="list" allowBlank="1" showInputMessage="1" xr:uid="{00000000-0002-0000-0000-000006000000}">
          <x14:formula1>
            <xm:f>OFFSET(背景数据!$E$2, , ,SUMPRODUCT(N(LEN(背景数据!$E$2:$E$59)&gt;1)), )</xm:f>
          </x14:formula1>
          <xm:sqref>E5:P5</xm:sqref>
        </x14:dataValidation>
        <x14:dataValidation type="list" allowBlank="1" showInputMessage="1" xr:uid="{00000000-0002-0000-0000-000007000000}">
          <x14:formula1>
            <xm:f>OFFSET(背景数据!$G$33, , ,SUMPRODUCT(N(LEN(背景数据!$G$33:$G$38)&gt;1)), )</xm:f>
          </x14:formula1>
          <xm:sqref>U5 U11</xm:sqref>
        </x14:dataValidation>
        <x14:dataValidation type="list" allowBlank="1" showInputMessage="1" xr:uid="{00000000-0002-0000-0000-000009000000}">
          <x14:formula1>
            <xm:f>背景数据!$D$2:$D$32</xm:f>
          </x14:formula1>
          <xm:sqref>E47:P50</xm:sqref>
        </x14:dataValidation>
        <x14:dataValidation type="list" allowBlank="1" showInputMessage="1" xr:uid="{00000000-0002-0000-0000-00000C000000}">
          <x14:formula1>
            <xm:f>OFFSET(背景数据!$J$26, , ,SUMPRODUCT(N(LEN(背景数据!$J$26:$J$45)&gt;1)), )</xm:f>
          </x14:formula1>
          <xm:sqref>V15:AT15</xm:sqref>
        </x14:dataValidation>
        <x14:dataValidation type="list" allowBlank="1" showInputMessage="1" xr:uid="{00000000-0002-0000-0000-00000D000000}">
          <x14:formula1>
            <xm:f>赠礼数据!$A$2:$A$13</xm:f>
          </x14:formula1>
          <xm:sqref>V19:AT19</xm:sqref>
        </x14:dataValidation>
        <x14:dataValidation type="list" allowBlank="1" showInputMessage="1" xr:uid="{00000000-0002-0000-0000-00000E000000}">
          <x14:formula1>
            <xm:f>OFFSET(背景数据!$J$46, , ,SUMPRODUCT(N(LEN(背景数据!$J$46:$J$57)&gt;1)), )</xm:f>
          </x14:formula1>
          <xm:sqref>V16:AT16</xm:sqref>
        </x14:dataValidation>
        <x14:dataValidation type="list" allowBlank="1" showInputMessage="1" xr:uid="{00000000-0002-0000-0000-00000F000000}">
          <x14:formula1>
            <xm:f>OFFSET(背景数据!$H$52, , ,SUMPRODUCT(N(LEN(背景数据!$H$52:$H$69)&gt;1)), )</xm:f>
          </x14:formula1>
          <xm:sqref>V6:AT6</xm:sqref>
        </x14:dataValidation>
        <x14:dataValidation type="list" allowBlank="1" showInputMessage="1" xr:uid="{00000000-0002-0000-0000-000010000000}">
          <x14:formula1>
            <xm:f>OFFSET(背景数据!$J$58, , ,SUMPRODUCT(N(LEN(背景数据!$J$58:$J$67)&gt;1)), )</xm:f>
          </x14:formula1>
          <xm:sqref>V17:AT17</xm:sqref>
        </x14:dataValidation>
        <x14:dataValidation type="list" allowBlank="1" showInputMessage="1" xr:uid="{00000000-0002-0000-0000-000011000000}">
          <x14:formula1>
            <xm:f>赠礼数据!$B$2:$B$11</xm:f>
          </x14:formula1>
          <xm:sqref>V22:AT22</xm:sqref>
        </x14:dataValidation>
        <x14:dataValidation type="list" allowBlank="1" showInputMessage="1" xr:uid="{00000000-0002-0000-0000-000012000000}">
          <x14:formula1>
            <xm:f>OFFSET(赠礼数据!$E$10, , ,SUMPRODUCT(N(LEN(赠礼数据!$E$10:$E$15)&gt;1)), )</xm:f>
          </x14:formula1>
          <xm:sqref>V21:AT21</xm:sqref>
        </x14:dataValidation>
        <x14:dataValidation type="list" allowBlank="1" showInputMessage="1" xr:uid="{00000000-0002-0000-0000-000013000000}">
          <x14:formula1>
            <xm:f>OFFSET(背景数据!$H$71, , ,SUMPRODUCT(N(LEN(背景数据!$H$71:$H$88)&gt;1)), )</xm:f>
          </x14:formula1>
          <xm:sqref>V7:AT7</xm:sqref>
        </x14:dataValidation>
        <x14:dataValidation type="list" allowBlank="1" showInputMessage="1" xr:uid="{00000000-0002-0000-0000-000014000000}">
          <x14:formula1>
            <xm:f>OFFSET(背景数据!$H$33, , ,SUMPRODUCT(N(LEN(背景数据!$H$33:$H$50)&gt;1)), )</xm:f>
          </x14:formula1>
          <xm:sqref>V5:AT5</xm:sqref>
        </x14:dataValidation>
        <x14:dataValidation type="list" allowBlank="1" showInputMessage="1" xr:uid="{00000000-0002-0000-0000-000015000000}">
          <x14:formula1>
            <xm:f>OFFSET(背景数据!$J$20, , ,SUMPRODUCT(N(LEN(背景数据!$J$20:$J$25)&gt;1)), )</xm:f>
          </x14:formula1>
          <xm:sqref>V14:AT14</xm:sqref>
        </x14:dataValidation>
        <x14:dataValidation type="list" allowBlank="1" showInputMessage="1" xr:uid="{00000000-0002-0000-0000-000016000000}">
          <x14:formula1>
            <xm:f>OFFSET(背景数据!$J$8, , ,SUMPRODUCT(N(LEN(背景数据!$J$8:$J$13)&gt;1)), )</xm:f>
          </x14:formula1>
          <xm:sqref>V12:AT12</xm:sqref>
        </x14:dataValidation>
        <x14:dataValidation type="list" allowBlank="1" showInputMessage="1" xr:uid="{00000000-0002-0000-0000-000017000000}">
          <x14:formula1>
            <xm:f>OFFSET(背景数据!$J$2, , ,SUMPRODUCT(N(LEN(背景数据!$J$2:$J$7)&gt;1)), )</xm:f>
          </x14:formula1>
          <xm:sqref>V11:AT11</xm:sqref>
        </x14:dataValidation>
        <x14:dataValidation type="list" allowBlank="1" showInputMessage="1" xr:uid="{00000000-0002-0000-0000-000018000000}">
          <x14:formula1>
            <xm:f>OFFSET(背景数据!$J$14, , ,SUMPRODUCT(N(LEN(背景数据!$J$14:$J$19)&gt;1)), )</xm:f>
          </x14:formula1>
          <xm:sqref>V13:AT13</xm:sqref>
        </x14:dataValidation>
        <x14:dataValidation type="list" allowBlank="1" showInputMessage="1" xr:uid="{00000000-0002-0000-0000-000019000000}">
          <x14:formula1>
            <xm:f>OFFSET(背景数据!$G$90, , ,SUMPRODUCT(N(LEN(背景数据!$G$90:$G$95)&gt;1)), )</xm:f>
          </x14:formula1>
          <xm:sqref>V8</xm:sqref>
        </x14:dataValidation>
        <x14:dataValidation type="list" allowBlank="1" showInputMessage="1" xr:uid="{00000000-0002-0000-0000-00001A000000}">
          <x14:formula1>
            <xm:f>OFFSET(背景数据!$G$96, , ,SUMPRODUCT(N(LEN(背景数据!$G$96:$G$115)&gt;1)), )</xm:f>
          </x14:formula1>
          <xm:sqref>V9:AT9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33B0B"/>
    <pageSetUpPr fitToPage="1"/>
  </sheetPr>
  <dimension ref="A1:BQ142"/>
  <sheetViews>
    <sheetView showGridLines="0" topLeftCell="A94" zoomScale="130" zoomScaleNormal="130" workbookViewId="0">
      <selection activeCell="Y42" sqref="Y42:Z42"/>
    </sheetView>
  </sheetViews>
  <sheetFormatPr defaultColWidth="9" defaultRowHeight="14.5" x14ac:dyDescent="0.25"/>
  <cols>
    <col min="1" max="69" width="2.36328125" style="3" customWidth="1"/>
    <col min="70" max="16384" width="9" style="4"/>
  </cols>
  <sheetData>
    <row r="1" spans="1:69" ht="17" customHeight="1" x14ac:dyDescent="0.25">
      <c r="A1" s="796"/>
      <c r="B1" s="796"/>
      <c r="C1" s="796"/>
      <c r="D1" s="796"/>
      <c r="E1" s="796"/>
      <c r="F1" s="796"/>
      <c r="G1" s="796"/>
      <c r="H1" s="796"/>
      <c r="I1" s="796"/>
      <c r="J1" s="796"/>
      <c r="K1" s="796"/>
      <c r="L1" s="796"/>
      <c r="M1" s="796"/>
      <c r="N1" s="903"/>
      <c r="O1" s="647" t="s">
        <v>22</v>
      </c>
      <c r="P1" s="797"/>
      <c r="Q1" s="797"/>
      <c r="R1" s="797"/>
      <c r="S1" s="797"/>
      <c r="T1" s="797"/>
      <c r="U1" s="797"/>
      <c r="V1" s="797"/>
      <c r="W1" s="797"/>
      <c r="X1" s="797"/>
      <c r="Y1" s="797"/>
      <c r="Z1" s="797"/>
      <c r="AA1" s="797"/>
      <c r="AB1" s="797"/>
      <c r="AC1" s="797"/>
      <c r="AD1" s="797"/>
      <c r="AE1" s="797"/>
      <c r="AF1" s="646"/>
      <c r="AG1" s="795" t="s">
        <v>23</v>
      </c>
      <c r="AH1" s="796"/>
      <c r="AI1" s="796"/>
      <c r="AJ1" s="796"/>
      <c r="AK1" s="796"/>
      <c r="AL1" s="796"/>
      <c r="AM1" s="796"/>
      <c r="AN1" s="796"/>
      <c r="AO1" s="796"/>
      <c r="AP1" s="796"/>
      <c r="AQ1" s="796"/>
      <c r="AR1" s="796"/>
      <c r="AS1" s="796"/>
      <c r="AT1" s="796"/>
    </row>
    <row r="2" spans="1:69" ht="17" customHeight="1" x14ac:dyDescent="0.3">
      <c r="Y2" s="582"/>
      <c r="Z2" s="582"/>
      <c r="AV2" s="627" t="s">
        <v>24</v>
      </c>
      <c r="AW2" s="627"/>
      <c r="AX2" s="627"/>
      <c r="AY2" s="627"/>
      <c r="AZ2" s="627"/>
      <c r="BA2" s="627"/>
      <c r="BB2" s="627"/>
      <c r="BC2" s="627"/>
      <c r="BD2" s="627"/>
      <c r="BE2" s="627"/>
      <c r="BF2" s="627"/>
      <c r="BG2" s="627"/>
      <c r="BH2" s="627"/>
      <c r="BI2" s="627"/>
      <c r="BJ2" s="627"/>
      <c r="BK2" s="627"/>
      <c r="BL2" s="627"/>
      <c r="BM2" s="627"/>
      <c r="BN2" s="627"/>
      <c r="BO2" s="627"/>
      <c r="BP2" s="627"/>
      <c r="BQ2" s="627"/>
    </row>
    <row r="3" spans="1:69" ht="17" customHeight="1" x14ac:dyDescent="0.3">
      <c r="B3" s="775" t="s">
        <v>1</v>
      </c>
      <c r="C3" s="775"/>
      <c r="D3" s="784" t="s">
        <v>8862</v>
      </c>
      <c r="E3" s="855"/>
      <c r="F3" s="855"/>
      <c r="G3" s="855"/>
      <c r="H3" s="855"/>
      <c r="I3" s="855"/>
      <c r="J3" s="855"/>
      <c r="K3" s="855"/>
      <c r="L3" s="855"/>
      <c r="M3" s="855"/>
      <c r="N3" s="856"/>
      <c r="P3" s="775" t="s">
        <v>25</v>
      </c>
      <c r="Q3" s="775"/>
      <c r="R3" s="551">
        <v>0</v>
      </c>
      <c r="S3" s="551"/>
      <c r="T3" s="551"/>
      <c r="U3" s="551"/>
      <c r="V3" s="551"/>
      <c r="W3" s="551"/>
      <c r="X3" s="552"/>
      <c r="Y3" s="852">
        <f>IF(R3="",1,LOOKUP($R$3,综合数据!D:D,综合数据!C:C))</f>
        <v>1</v>
      </c>
      <c r="Z3" s="852"/>
      <c r="AB3" s="827"/>
      <c r="AC3" s="828"/>
      <c r="AD3" s="828"/>
      <c r="AE3" s="828"/>
      <c r="AF3" s="828"/>
      <c r="AG3" s="828"/>
      <c r="AH3" s="828"/>
      <c r="AI3" s="828"/>
      <c r="AJ3" s="828"/>
      <c r="AK3" s="828"/>
      <c r="AL3" s="828"/>
      <c r="AM3" s="828"/>
      <c r="AN3" s="828"/>
      <c r="AO3" s="828"/>
      <c r="AP3" s="828"/>
      <c r="AQ3" s="828"/>
      <c r="AR3" s="828"/>
      <c r="AS3" s="829"/>
      <c r="AW3" s="688" t="s">
        <v>26</v>
      </c>
      <c r="AX3" s="688"/>
      <c r="AY3" s="688" t="s">
        <v>27</v>
      </c>
      <c r="AZ3" s="688"/>
      <c r="BA3" s="688" t="s">
        <v>28</v>
      </c>
      <c r="BB3" s="688"/>
      <c r="BC3" s="688" t="s">
        <v>29</v>
      </c>
      <c r="BD3" s="688"/>
      <c r="BE3" s="688" t="s">
        <v>30</v>
      </c>
      <c r="BF3" s="688"/>
      <c r="BG3" s="688" t="s">
        <v>31</v>
      </c>
      <c r="BH3" s="688"/>
      <c r="BI3" s="688" t="s">
        <v>32</v>
      </c>
      <c r="BJ3" s="688"/>
      <c r="BK3" s="688" t="s">
        <v>33</v>
      </c>
      <c r="BL3" s="688"/>
      <c r="BM3" s="688" t="s">
        <v>34</v>
      </c>
      <c r="BN3" s="688"/>
      <c r="BO3" s="688" t="s">
        <v>35</v>
      </c>
      <c r="BP3" s="688"/>
    </row>
    <row r="4" spans="1:69" ht="17" customHeight="1" x14ac:dyDescent="0.25">
      <c r="B4" s="775" t="s">
        <v>3</v>
      </c>
      <c r="C4" s="775"/>
      <c r="D4" s="784" t="s">
        <v>8860</v>
      </c>
      <c r="E4" s="785"/>
      <c r="F4" s="785"/>
      <c r="G4" s="785"/>
      <c r="H4" s="785"/>
      <c r="I4" s="785"/>
      <c r="J4" s="785"/>
      <c r="K4" s="785"/>
      <c r="L4" s="785"/>
      <c r="M4" s="785"/>
      <c r="N4" s="786"/>
      <c r="P4" s="775" t="s">
        <v>36</v>
      </c>
      <c r="Q4" s="775"/>
      <c r="R4" s="836" t="s">
        <v>8865</v>
      </c>
      <c r="S4" s="836"/>
      <c r="T4" s="836"/>
      <c r="U4" s="837"/>
      <c r="V4" s="859" t="s">
        <v>8866</v>
      </c>
      <c r="W4" s="836"/>
      <c r="X4" s="837"/>
      <c r="Y4" s="809">
        <v>1</v>
      </c>
      <c r="Z4" s="810"/>
      <c r="AB4" s="830"/>
      <c r="AC4" s="831"/>
      <c r="AD4" s="831"/>
      <c r="AE4" s="831"/>
      <c r="AF4" s="831"/>
      <c r="AG4" s="831"/>
      <c r="AH4" s="831"/>
      <c r="AI4" s="831"/>
      <c r="AJ4" s="831"/>
      <c r="AK4" s="831"/>
      <c r="AL4" s="831"/>
      <c r="AM4" s="831"/>
      <c r="AN4" s="831"/>
      <c r="AO4" s="831"/>
      <c r="AP4" s="831"/>
      <c r="AQ4" s="831"/>
      <c r="AR4" s="831"/>
      <c r="AS4" s="832"/>
      <c r="AV4" s="584" t="s">
        <v>37</v>
      </c>
      <c r="AW4" s="698">
        <v>8</v>
      </c>
      <c r="AX4" s="698"/>
      <c r="AY4" s="698"/>
      <c r="AZ4" s="698"/>
      <c r="BA4" s="698"/>
      <c r="BB4" s="698"/>
      <c r="BC4" s="698"/>
      <c r="BD4" s="698"/>
      <c r="BE4" s="698"/>
      <c r="BF4" s="698"/>
      <c r="BG4" s="698"/>
      <c r="BH4" s="698"/>
      <c r="BI4" s="698"/>
      <c r="BJ4" s="698"/>
      <c r="BK4" s="698"/>
      <c r="BL4" s="698"/>
      <c r="BM4" s="698"/>
      <c r="BN4" s="698"/>
      <c r="BO4" s="698"/>
      <c r="BP4" s="698"/>
    </row>
    <row r="5" spans="1:69" ht="8" customHeight="1" x14ac:dyDescent="0.25">
      <c r="P5" s="779">
        <f>综合数据!H2</f>
        <v>0</v>
      </c>
      <c r="Q5" s="779"/>
      <c r="R5" s="779"/>
      <c r="S5" s="779"/>
      <c r="T5" s="779"/>
      <c r="U5" s="779"/>
      <c r="V5" s="779"/>
      <c r="W5" s="779"/>
      <c r="X5" s="779"/>
      <c r="Y5" s="779"/>
      <c r="Z5" s="779"/>
      <c r="AB5" s="830"/>
      <c r="AC5" s="831"/>
      <c r="AD5" s="831"/>
      <c r="AE5" s="831"/>
      <c r="AF5" s="831"/>
      <c r="AG5" s="831"/>
      <c r="AH5" s="831"/>
      <c r="AI5" s="831"/>
      <c r="AJ5" s="831"/>
      <c r="AK5" s="831"/>
      <c r="AL5" s="831"/>
      <c r="AM5" s="831"/>
      <c r="AN5" s="831"/>
      <c r="AO5" s="831"/>
      <c r="AP5" s="831"/>
      <c r="AQ5" s="831"/>
      <c r="AR5" s="831"/>
      <c r="AS5" s="832"/>
      <c r="AV5" s="584"/>
    </row>
    <row r="6" spans="1:69" ht="17" customHeight="1" x14ac:dyDescent="0.3">
      <c r="B6" s="775" t="s">
        <v>38</v>
      </c>
      <c r="C6" s="775"/>
      <c r="D6" s="1190" t="s">
        <v>8863</v>
      </c>
      <c r="E6" s="914"/>
      <c r="F6" s="914"/>
      <c r="G6" s="914"/>
      <c r="H6" s="915"/>
      <c r="J6" s="775" t="s">
        <v>39</v>
      </c>
      <c r="K6" s="775"/>
      <c r="L6" s="705" t="s">
        <v>8864</v>
      </c>
      <c r="M6" s="705"/>
      <c r="N6" s="706"/>
      <c r="P6" s="775" t="s">
        <v>40</v>
      </c>
      <c r="Q6" s="775"/>
      <c r="R6" s="836"/>
      <c r="S6" s="836"/>
      <c r="T6" s="836"/>
      <c r="U6" s="837"/>
      <c r="V6" s="859"/>
      <c r="W6" s="836"/>
      <c r="X6" s="837"/>
      <c r="Y6" s="809"/>
      <c r="Z6" s="810"/>
      <c r="AB6" s="830"/>
      <c r="AC6" s="831"/>
      <c r="AD6" s="831"/>
      <c r="AE6" s="831"/>
      <c r="AF6" s="831"/>
      <c r="AG6" s="831"/>
      <c r="AH6" s="831"/>
      <c r="AI6" s="831"/>
      <c r="AJ6" s="831"/>
      <c r="AK6" s="831"/>
      <c r="AL6" s="831"/>
      <c r="AM6" s="831"/>
      <c r="AN6" s="831"/>
      <c r="AO6" s="831"/>
      <c r="AP6" s="831"/>
      <c r="AQ6" s="831"/>
      <c r="AR6" s="831"/>
      <c r="AS6" s="832"/>
      <c r="AT6" s="8"/>
      <c r="AV6" s="584"/>
      <c r="AW6" s="688" t="s">
        <v>41</v>
      </c>
      <c r="AX6" s="688"/>
      <c r="AY6" s="688" t="s">
        <v>42</v>
      </c>
      <c r="AZ6" s="688"/>
      <c r="BA6" s="688" t="s">
        <v>43</v>
      </c>
      <c r="BB6" s="688"/>
      <c r="BC6" s="688" t="s">
        <v>44</v>
      </c>
      <c r="BD6" s="688"/>
      <c r="BE6" s="688" t="s">
        <v>45</v>
      </c>
      <c r="BF6" s="688"/>
      <c r="BG6" s="688" t="s">
        <v>46</v>
      </c>
      <c r="BH6" s="688"/>
      <c r="BI6" s="688" t="s">
        <v>47</v>
      </c>
      <c r="BJ6" s="688"/>
      <c r="BK6" s="688" t="s">
        <v>48</v>
      </c>
      <c r="BL6" s="688"/>
      <c r="BM6" s="688" t="s">
        <v>49</v>
      </c>
      <c r="BN6" s="688"/>
      <c r="BO6" s="688" t="s">
        <v>50</v>
      </c>
      <c r="BP6" s="688"/>
    </row>
    <row r="7" spans="1:69" ht="17" customHeight="1" x14ac:dyDescent="0.25">
      <c r="B7" s="775" t="s">
        <v>51</v>
      </c>
      <c r="C7" s="775"/>
      <c r="D7" s="914"/>
      <c r="E7" s="914"/>
      <c r="F7" s="914"/>
      <c r="G7" s="914"/>
      <c r="H7" s="915"/>
      <c r="I7" s="9"/>
      <c r="J7" s="775" t="s">
        <v>52</v>
      </c>
      <c r="K7" s="775"/>
      <c r="L7" s="876">
        <v>11</v>
      </c>
      <c r="M7" s="876"/>
      <c r="N7" s="877"/>
      <c r="P7" s="775"/>
      <c r="Q7" s="775"/>
      <c r="R7" s="836"/>
      <c r="S7" s="836"/>
      <c r="T7" s="836"/>
      <c r="U7" s="837"/>
      <c r="V7" s="859"/>
      <c r="W7" s="836"/>
      <c r="X7" s="837"/>
      <c r="Y7" s="809"/>
      <c r="Z7" s="810"/>
      <c r="AB7" s="830"/>
      <c r="AC7" s="831"/>
      <c r="AD7" s="831"/>
      <c r="AE7" s="831"/>
      <c r="AF7" s="831"/>
      <c r="AG7" s="831"/>
      <c r="AH7" s="831"/>
      <c r="AI7" s="831"/>
      <c r="AJ7" s="831"/>
      <c r="AK7" s="831"/>
      <c r="AL7" s="831"/>
      <c r="AM7" s="831"/>
      <c r="AN7" s="831"/>
      <c r="AO7" s="831"/>
      <c r="AP7" s="831"/>
      <c r="AQ7" s="831"/>
      <c r="AR7" s="831"/>
      <c r="AS7" s="832"/>
      <c r="AT7" s="8"/>
      <c r="AV7" s="584"/>
      <c r="AW7" s="698"/>
      <c r="AX7" s="698"/>
      <c r="AY7" s="698"/>
      <c r="AZ7" s="698"/>
      <c r="BA7" s="698"/>
      <c r="BB7" s="698"/>
      <c r="BC7" s="698"/>
      <c r="BD7" s="698"/>
      <c r="BE7" s="698"/>
      <c r="BF7" s="698"/>
      <c r="BG7" s="698"/>
      <c r="BH7" s="698"/>
      <c r="BI7" s="698"/>
      <c r="BJ7" s="698"/>
      <c r="BK7" s="698"/>
      <c r="BL7" s="698"/>
      <c r="BM7" s="698"/>
      <c r="BN7" s="698"/>
      <c r="BO7" s="698"/>
      <c r="BP7" s="698"/>
    </row>
    <row r="8" spans="1:69" ht="8" customHeight="1" x14ac:dyDescent="0.25">
      <c r="AB8" s="830"/>
      <c r="AC8" s="831"/>
      <c r="AD8" s="831"/>
      <c r="AE8" s="831"/>
      <c r="AF8" s="831"/>
      <c r="AG8" s="831"/>
      <c r="AH8" s="831"/>
      <c r="AI8" s="831"/>
      <c r="AJ8" s="831"/>
      <c r="AK8" s="831"/>
      <c r="AL8" s="831"/>
      <c r="AM8" s="831"/>
      <c r="AN8" s="831"/>
      <c r="AO8" s="831"/>
      <c r="AP8" s="831"/>
      <c r="AQ8" s="831"/>
      <c r="AR8" s="831"/>
      <c r="AS8" s="832"/>
      <c r="AV8" s="584"/>
    </row>
    <row r="9" spans="1:69" ht="17" customHeight="1" x14ac:dyDescent="0.3">
      <c r="B9" s="775" t="s">
        <v>53</v>
      </c>
      <c r="C9" s="775"/>
      <c r="D9" s="894">
        <v>145</v>
      </c>
      <c r="E9" s="894"/>
      <c r="F9" s="894"/>
      <c r="G9" s="894"/>
      <c r="H9" s="895"/>
      <c r="J9" s="775" t="s">
        <v>54</v>
      </c>
      <c r="K9" s="775"/>
      <c r="L9" s="705" t="s">
        <v>4303</v>
      </c>
      <c r="M9" s="705"/>
      <c r="N9" s="705"/>
      <c r="O9" s="705"/>
      <c r="P9" s="705"/>
      <c r="Q9" s="706"/>
      <c r="S9" s="775" t="s">
        <v>55</v>
      </c>
      <c r="T9" s="775"/>
      <c r="U9" s="839">
        <f>IFERROR(VLOOKUP(Y3,综合数据!C:E,3,0)+Y10,2)</f>
        <v>2</v>
      </c>
      <c r="V9" s="839"/>
      <c r="W9" s="839"/>
      <c r="Y9" s="582" t="s">
        <v>15</v>
      </c>
      <c r="Z9" s="582"/>
      <c r="AB9" s="830"/>
      <c r="AC9" s="831"/>
      <c r="AD9" s="831"/>
      <c r="AE9" s="831"/>
      <c r="AF9" s="831"/>
      <c r="AG9" s="831"/>
      <c r="AH9" s="831"/>
      <c r="AI9" s="831"/>
      <c r="AJ9" s="831"/>
      <c r="AK9" s="831"/>
      <c r="AL9" s="831"/>
      <c r="AM9" s="831"/>
      <c r="AN9" s="831"/>
      <c r="AO9" s="831"/>
      <c r="AP9" s="831"/>
      <c r="AQ9" s="831"/>
      <c r="AR9" s="831"/>
      <c r="AS9" s="832"/>
      <c r="AV9" s="584"/>
      <c r="AW9" s="710" t="s">
        <v>56</v>
      </c>
      <c r="AX9" s="710"/>
      <c r="AY9" s="710"/>
      <c r="BA9" s="710" t="s">
        <v>57</v>
      </c>
      <c r="BB9" s="710"/>
      <c r="BC9" s="710"/>
      <c r="BE9" s="710" t="s">
        <v>58</v>
      </c>
      <c r="BF9" s="710"/>
      <c r="BG9" s="710"/>
      <c r="BH9" s="584" t="s">
        <v>59</v>
      </c>
      <c r="BI9" s="596"/>
      <c r="BJ9" s="596"/>
      <c r="BK9" s="596"/>
      <c r="BL9" s="596"/>
      <c r="BM9" s="596"/>
      <c r="BN9" s="596"/>
      <c r="BO9" s="596"/>
      <c r="BP9" s="596"/>
    </row>
    <row r="10" spans="1:69" ht="17" customHeight="1" x14ac:dyDescent="0.25">
      <c r="B10" s="775" t="s">
        <v>60</v>
      </c>
      <c r="C10" s="775"/>
      <c r="D10" s="882"/>
      <c r="E10" s="882"/>
      <c r="F10" s="882"/>
      <c r="G10" s="882"/>
      <c r="H10" s="883"/>
      <c r="J10" s="567" t="s">
        <v>61</v>
      </c>
      <c r="K10" s="567"/>
      <c r="L10" s="705"/>
      <c r="M10" s="705"/>
      <c r="N10" s="705"/>
      <c r="O10" s="705"/>
      <c r="P10" s="705"/>
      <c r="Q10" s="706"/>
      <c r="S10" s="775"/>
      <c r="T10" s="775"/>
      <c r="U10" s="839"/>
      <c r="V10" s="839"/>
      <c r="W10" s="839"/>
      <c r="X10" s="10" t="s">
        <v>62</v>
      </c>
      <c r="Y10" s="550"/>
      <c r="Z10" s="552"/>
      <c r="AB10" s="830"/>
      <c r="AC10" s="831"/>
      <c r="AD10" s="831"/>
      <c r="AE10" s="831"/>
      <c r="AF10" s="831"/>
      <c r="AG10" s="831"/>
      <c r="AH10" s="831"/>
      <c r="AI10" s="831"/>
      <c r="AJ10" s="831"/>
      <c r="AK10" s="831"/>
      <c r="AL10" s="831"/>
      <c r="AM10" s="831"/>
      <c r="AN10" s="831"/>
      <c r="AO10" s="831"/>
      <c r="AP10" s="831"/>
      <c r="AQ10" s="831"/>
      <c r="AR10" s="831"/>
      <c r="AS10" s="832"/>
      <c r="AV10" s="584"/>
      <c r="AW10" s="776">
        <f>R16+综合数据!F2</f>
        <v>1</v>
      </c>
      <c r="AX10" s="777"/>
      <c r="AY10" s="778"/>
      <c r="BA10" s="776">
        <f>COUNTA(AW4:BP4,AW7:BP7)</f>
        <v>1</v>
      </c>
      <c r="BB10" s="777"/>
      <c r="BC10" s="778"/>
      <c r="BE10" s="841">
        <f>SUM(综合数据!F3:F22)+IF(COUNTIF(职业数据!AD16:AD18,职业数据!B11),职业数据!AG11,0)</f>
        <v>9</v>
      </c>
      <c r="BF10" s="842"/>
      <c r="BG10" s="843"/>
      <c r="BH10" s="596"/>
      <c r="BI10" s="596"/>
      <c r="BJ10" s="596"/>
      <c r="BK10" s="596"/>
      <c r="BL10" s="596"/>
      <c r="BM10" s="596"/>
      <c r="BN10" s="596"/>
      <c r="BO10" s="596"/>
      <c r="BP10" s="596"/>
    </row>
    <row r="11" spans="1:69" ht="8" customHeight="1" x14ac:dyDescent="0.25">
      <c r="AB11" s="830"/>
      <c r="AC11" s="831"/>
      <c r="AD11" s="831"/>
      <c r="AE11" s="831"/>
      <c r="AF11" s="831"/>
      <c r="AG11" s="831"/>
      <c r="AH11" s="831"/>
      <c r="AI11" s="831"/>
      <c r="AJ11" s="831"/>
      <c r="AK11" s="831"/>
      <c r="AL11" s="831"/>
      <c r="AM11" s="831"/>
      <c r="AN11" s="831"/>
      <c r="AO11" s="831"/>
      <c r="AP11" s="831"/>
      <c r="AQ11" s="831"/>
      <c r="AR11" s="831"/>
      <c r="AS11" s="832"/>
    </row>
    <row r="12" spans="1:69" ht="16" customHeight="1" x14ac:dyDescent="0.25">
      <c r="A12" s="11"/>
      <c r="B12" s="581"/>
      <c r="C12" s="581"/>
      <c r="D12" s="581"/>
      <c r="E12" s="581"/>
      <c r="F12" s="581"/>
      <c r="G12" s="581"/>
      <c r="H12" s="581"/>
      <c r="I12" s="581"/>
      <c r="J12" s="581"/>
      <c r="K12" s="2"/>
      <c r="L12" s="12"/>
      <c r="M12" s="627" t="s">
        <v>63</v>
      </c>
      <c r="N12" s="627"/>
      <c r="O12" s="627"/>
      <c r="P12" s="12"/>
      <c r="Q12" s="12"/>
      <c r="R12" s="12"/>
      <c r="S12" s="12"/>
      <c r="T12" s="12"/>
      <c r="U12" s="659" t="str">
        <f>IF(D6="","请选择种族",IF(种族数据!U18=1,"未选亚种",IF(种族数据!T18=0,"错误亚种","")))</f>
        <v/>
      </c>
      <c r="V12" s="659"/>
      <c r="W12" s="659"/>
      <c r="X12" s="659"/>
      <c r="Y12" s="659"/>
      <c r="Z12" s="12"/>
      <c r="AB12" s="830"/>
      <c r="AC12" s="831"/>
      <c r="AD12" s="831"/>
      <c r="AE12" s="831"/>
      <c r="AF12" s="831"/>
      <c r="AG12" s="831"/>
      <c r="AH12" s="831"/>
      <c r="AI12" s="831"/>
      <c r="AJ12" s="831"/>
      <c r="AK12" s="831"/>
      <c r="AL12" s="831"/>
      <c r="AM12" s="831"/>
      <c r="AN12" s="831"/>
      <c r="AO12" s="831"/>
      <c r="AP12" s="831"/>
      <c r="AQ12" s="831"/>
      <c r="AR12" s="831"/>
      <c r="AS12" s="832"/>
      <c r="AV12" s="12"/>
      <c r="AW12" s="12"/>
      <c r="AX12" s="12"/>
      <c r="AY12" s="12"/>
      <c r="AZ12" s="12"/>
      <c r="BA12" s="12"/>
      <c r="BB12" s="12"/>
      <c r="BC12" s="12"/>
      <c r="BD12" s="627" t="s">
        <v>64</v>
      </c>
      <c r="BE12" s="627"/>
      <c r="BF12" s="627"/>
      <c r="BG12" s="627"/>
      <c r="BH12" s="627"/>
      <c r="BI12" s="627"/>
      <c r="BJ12" s="12"/>
      <c r="BK12" s="12"/>
      <c r="BL12" s="12"/>
      <c r="BM12" s="12"/>
      <c r="BN12" s="12"/>
      <c r="BO12" s="12"/>
      <c r="BP12" s="12"/>
      <c r="BQ12" s="12"/>
    </row>
    <row r="13" spans="1:69" ht="17" customHeight="1" x14ac:dyDescent="0.3">
      <c r="B13" s="13" t="s">
        <v>55</v>
      </c>
      <c r="C13" s="14"/>
      <c r="D13" s="15"/>
      <c r="E13" s="15"/>
      <c r="F13" s="582" t="s">
        <v>65</v>
      </c>
      <c r="G13" s="582"/>
      <c r="H13" s="15"/>
      <c r="I13" s="608" t="s">
        <v>66</v>
      </c>
      <c r="J13" s="608"/>
      <c r="K13" s="582" t="s">
        <v>38</v>
      </c>
      <c r="L13" s="582"/>
      <c r="M13" s="582" t="s">
        <v>67</v>
      </c>
      <c r="N13" s="582"/>
      <c r="O13" s="582" t="s">
        <v>68</v>
      </c>
      <c r="P13" s="582"/>
      <c r="Q13" s="15"/>
      <c r="R13" s="608" t="s">
        <v>56</v>
      </c>
      <c r="S13" s="608"/>
      <c r="T13" s="582" t="s">
        <v>69</v>
      </c>
      <c r="U13" s="582"/>
      <c r="V13" s="15"/>
      <c r="W13" s="582" t="s">
        <v>68</v>
      </c>
      <c r="X13" s="582"/>
      <c r="Y13" s="582" t="s">
        <v>70</v>
      </c>
      <c r="Z13" s="582"/>
      <c r="AB13" s="830"/>
      <c r="AC13" s="831"/>
      <c r="AD13" s="831"/>
      <c r="AE13" s="831"/>
      <c r="AF13" s="831"/>
      <c r="AG13" s="831"/>
      <c r="AH13" s="831"/>
      <c r="AI13" s="831"/>
      <c r="AJ13" s="831"/>
      <c r="AK13" s="831"/>
      <c r="AL13" s="831"/>
      <c r="AM13" s="831"/>
      <c r="AN13" s="831"/>
      <c r="AO13" s="831"/>
      <c r="AP13" s="831"/>
      <c r="AQ13" s="831"/>
      <c r="AR13" s="831"/>
      <c r="AS13" s="832"/>
    </row>
    <row r="14" spans="1:69" ht="25" customHeight="1" x14ac:dyDescent="0.25">
      <c r="A14" s="16"/>
      <c r="B14" s="17"/>
      <c r="C14" s="791" t="s">
        <v>71</v>
      </c>
      <c r="D14" s="791"/>
      <c r="E14" s="791"/>
      <c r="F14" s="679">
        <f t="shared" ref="F14:F19" si="0">SUM(I14:P14)</f>
        <v>8</v>
      </c>
      <c r="G14" s="679"/>
      <c r="H14" s="18" t="s">
        <v>62</v>
      </c>
      <c r="I14" s="1191">
        <v>8</v>
      </c>
      <c r="J14" s="700"/>
      <c r="K14" s="699"/>
      <c r="L14" s="700"/>
      <c r="M14" s="699"/>
      <c r="N14" s="700"/>
      <c r="O14" s="699"/>
      <c r="P14" s="700"/>
      <c r="Q14" s="19" t="s">
        <v>72</v>
      </c>
      <c r="R14" s="583">
        <f t="shared" ref="R14:R19" si="1">INT(F14/2-5)</f>
        <v>-1</v>
      </c>
      <c r="S14" s="583"/>
      <c r="T14" s="763">
        <f>INT(F14/2-5)+IF(综合数据!J1=TRUE,$U$9,0)+SUM(W14:Z14)</f>
        <v>-1</v>
      </c>
      <c r="U14" s="763"/>
      <c r="V14" s="18" t="s">
        <v>62</v>
      </c>
      <c r="W14" s="699"/>
      <c r="X14" s="700"/>
      <c r="Y14" s="699"/>
      <c r="Z14" s="700"/>
      <c r="AB14" s="830"/>
      <c r="AC14" s="831"/>
      <c r="AD14" s="831"/>
      <c r="AE14" s="831"/>
      <c r="AF14" s="831"/>
      <c r="AG14" s="831"/>
      <c r="AH14" s="831"/>
      <c r="AI14" s="831"/>
      <c r="AJ14" s="831"/>
      <c r="AK14" s="831"/>
      <c r="AL14" s="831"/>
      <c r="AM14" s="831"/>
      <c r="AN14" s="831"/>
      <c r="AO14" s="831"/>
      <c r="AP14" s="831"/>
      <c r="AQ14" s="831"/>
      <c r="AR14" s="831"/>
      <c r="AS14" s="832"/>
    </row>
    <row r="15" spans="1:69" ht="25" customHeight="1" x14ac:dyDescent="0.25">
      <c r="A15" s="16"/>
      <c r="B15" s="17"/>
      <c r="C15" s="791" t="s">
        <v>73</v>
      </c>
      <c r="D15" s="791"/>
      <c r="E15" s="791"/>
      <c r="F15" s="679">
        <f t="shared" si="0"/>
        <v>15</v>
      </c>
      <c r="G15" s="679"/>
      <c r="H15" s="18" t="s">
        <v>62</v>
      </c>
      <c r="I15" s="699">
        <v>14</v>
      </c>
      <c r="J15" s="700"/>
      <c r="K15" s="699">
        <v>1</v>
      </c>
      <c r="L15" s="700"/>
      <c r="M15" s="699"/>
      <c r="N15" s="700"/>
      <c r="O15" s="699"/>
      <c r="P15" s="700"/>
      <c r="Q15" s="19" t="s">
        <v>72</v>
      </c>
      <c r="R15" s="583">
        <f t="shared" si="1"/>
        <v>2</v>
      </c>
      <c r="S15" s="583"/>
      <c r="T15" s="763">
        <f>INT(F15/2-5)+IF(综合数据!K1=TRUE,$U$9,0)+SUM(W15:Z15)</f>
        <v>2</v>
      </c>
      <c r="U15" s="763"/>
      <c r="V15" s="18" t="s">
        <v>62</v>
      </c>
      <c r="W15" s="699"/>
      <c r="X15" s="700"/>
      <c r="Y15" s="699"/>
      <c r="Z15" s="700"/>
      <c r="AB15" s="830"/>
      <c r="AC15" s="831"/>
      <c r="AD15" s="831"/>
      <c r="AE15" s="831"/>
      <c r="AF15" s="831"/>
      <c r="AG15" s="831"/>
      <c r="AH15" s="831"/>
      <c r="AI15" s="831"/>
      <c r="AJ15" s="831"/>
      <c r="AK15" s="831"/>
      <c r="AL15" s="831"/>
      <c r="AM15" s="831"/>
      <c r="AN15" s="831"/>
      <c r="AO15" s="831"/>
      <c r="AP15" s="831"/>
      <c r="AQ15" s="831"/>
      <c r="AR15" s="831"/>
      <c r="AS15" s="832"/>
    </row>
    <row r="16" spans="1:69" ht="25" customHeight="1" x14ac:dyDescent="0.25">
      <c r="A16" s="16"/>
      <c r="B16" s="17"/>
      <c r="C16" s="791" t="s">
        <v>74</v>
      </c>
      <c r="D16" s="791"/>
      <c r="E16" s="791"/>
      <c r="F16" s="679">
        <f t="shared" si="0"/>
        <v>13</v>
      </c>
      <c r="G16" s="679"/>
      <c r="H16" s="18" t="s">
        <v>62</v>
      </c>
      <c r="I16" s="699">
        <v>13</v>
      </c>
      <c r="J16" s="700"/>
      <c r="K16" s="699"/>
      <c r="L16" s="700"/>
      <c r="M16" s="699"/>
      <c r="N16" s="700"/>
      <c r="O16" s="699"/>
      <c r="P16" s="700"/>
      <c r="Q16" s="19" t="s">
        <v>72</v>
      </c>
      <c r="R16" s="583">
        <f t="shared" si="1"/>
        <v>1</v>
      </c>
      <c r="S16" s="583"/>
      <c r="T16" s="763">
        <f>INT(F16/2-5)+IF(综合数据!L1=TRUE,$U$9,0)+SUM(W16:Z16)</f>
        <v>1</v>
      </c>
      <c r="U16" s="763"/>
      <c r="V16" s="18" t="s">
        <v>62</v>
      </c>
      <c r="W16" s="699"/>
      <c r="X16" s="700"/>
      <c r="Y16" s="699"/>
      <c r="Z16" s="700"/>
      <c r="AB16" s="830"/>
      <c r="AC16" s="831"/>
      <c r="AD16" s="831"/>
      <c r="AE16" s="831"/>
      <c r="AF16" s="831"/>
      <c r="AG16" s="831"/>
      <c r="AH16" s="831"/>
      <c r="AI16" s="831"/>
      <c r="AJ16" s="831"/>
      <c r="AK16" s="831"/>
      <c r="AL16" s="831"/>
      <c r="AM16" s="831"/>
      <c r="AN16" s="831"/>
      <c r="AO16" s="831"/>
      <c r="AP16" s="831"/>
      <c r="AQ16" s="831"/>
      <c r="AR16" s="831"/>
      <c r="AS16" s="832"/>
    </row>
    <row r="17" spans="1:69" ht="25" customHeight="1" x14ac:dyDescent="0.25">
      <c r="A17" s="16"/>
      <c r="B17" s="17"/>
      <c r="C17" s="791" t="s">
        <v>75</v>
      </c>
      <c r="D17" s="791"/>
      <c r="E17" s="791"/>
      <c r="F17" s="679">
        <f t="shared" si="0"/>
        <v>18</v>
      </c>
      <c r="G17" s="679"/>
      <c r="H17" s="18" t="s">
        <v>62</v>
      </c>
      <c r="I17" s="699">
        <v>17</v>
      </c>
      <c r="J17" s="700"/>
      <c r="K17" s="699">
        <v>1</v>
      </c>
      <c r="L17" s="700"/>
      <c r="M17" s="699"/>
      <c r="N17" s="700"/>
      <c r="O17" s="699"/>
      <c r="P17" s="700"/>
      <c r="Q17" s="19" t="s">
        <v>72</v>
      </c>
      <c r="R17" s="583">
        <f t="shared" si="1"/>
        <v>4</v>
      </c>
      <c r="S17" s="583"/>
      <c r="T17" s="763">
        <f>INT(F17/2-5)+IF(综合数据!M1=TRUE,$U$9,0)+SUM(W17:Z17)</f>
        <v>4</v>
      </c>
      <c r="U17" s="763"/>
      <c r="V17" s="18" t="s">
        <v>62</v>
      </c>
      <c r="W17" s="699"/>
      <c r="X17" s="700"/>
      <c r="Y17" s="699"/>
      <c r="Z17" s="700"/>
      <c r="AB17" s="830"/>
      <c r="AC17" s="831"/>
      <c r="AD17" s="831"/>
      <c r="AE17" s="831"/>
      <c r="AF17" s="831"/>
      <c r="AG17" s="831"/>
      <c r="AH17" s="831"/>
      <c r="AI17" s="831"/>
      <c r="AJ17" s="831"/>
      <c r="AK17" s="831"/>
      <c r="AL17" s="831"/>
      <c r="AM17" s="831"/>
      <c r="AN17" s="831"/>
      <c r="AO17" s="831"/>
      <c r="AP17" s="831"/>
      <c r="AQ17" s="831"/>
      <c r="AR17" s="831"/>
      <c r="AS17" s="832"/>
    </row>
    <row r="18" spans="1:69" ht="25" customHeight="1" x14ac:dyDescent="0.25">
      <c r="A18" s="16"/>
      <c r="B18" s="17"/>
      <c r="C18" s="791" t="s">
        <v>76</v>
      </c>
      <c r="D18" s="791"/>
      <c r="E18" s="791"/>
      <c r="F18" s="679">
        <f t="shared" si="0"/>
        <v>17</v>
      </c>
      <c r="G18" s="679"/>
      <c r="H18" s="18" t="s">
        <v>62</v>
      </c>
      <c r="I18" s="699">
        <v>16</v>
      </c>
      <c r="J18" s="700"/>
      <c r="K18" s="699">
        <v>1</v>
      </c>
      <c r="L18" s="700"/>
      <c r="M18" s="699"/>
      <c r="N18" s="700"/>
      <c r="O18" s="699"/>
      <c r="P18" s="700"/>
      <c r="Q18" s="19" t="s">
        <v>72</v>
      </c>
      <c r="R18" s="583">
        <f t="shared" si="1"/>
        <v>3</v>
      </c>
      <c r="S18" s="583"/>
      <c r="T18" s="763">
        <f>INT(F18/2-5)+IF(综合数据!N1=TRUE,$U$9,0)+SUM(W18:Z18)</f>
        <v>3</v>
      </c>
      <c r="U18" s="763"/>
      <c r="V18" s="18" t="s">
        <v>62</v>
      </c>
      <c r="W18" s="699"/>
      <c r="X18" s="700"/>
      <c r="Y18" s="699"/>
      <c r="Z18" s="700"/>
      <c r="AB18" s="830"/>
      <c r="AC18" s="831"/>
      <c r="AD18" s="831"/>
      <c r="AE18" s="831"/>
      <c r="AF18" s="831"/>
      <c r="AG18" s="831"/>
      <c r="AH18" s="831"/>
      <c r="AI18" s="831"/>
      <c r="AJ18" s="831"/>
      <c r="AK18" s="831"/>
      <c r="AL18" s="831"/>
      <c r="AM18" s="831"/>
      <c r="AN18" s="831"/>
      <c r="AO18" s="831"/>
      <c r="AP18" s="831"/>
      <c r="AQ18" s="831"/>
      <c r="AR18" s="831"/>
      <c r="AS18" s="832"/>
    </row>
    <row r="19" spans="1:69" ht="25" customHeight="1" x14ac:dyDescent="0.25">
      <c r="A19" s="16"/>
      <c r="B19" s="17"/>
      <c r="C19" s="791" t="s">
        <v>77</v>
      </c>
      <c r="D19" s="791"/>
      <c r="E19" s="791"/>
      <c r="F19" s="679">
        <f t="shared" si="0"/>
        <v>10</v>
      </c>
      <c r="G19" s="679"/>
      <c r="H19" s="18" t="s">
        <v>62</v>
      </c>
      <c r="I19" s="633">
        <v>10</v>
      </c>
      <c r="J19" s="633"/>
      <c r="K19" s="633"/>
      <c r="L19" s="633"/>
      <c r="M19" s="633"/>
      <c r="N19" s="633"/>
      <c r="O19" s="633"/>
      <c r="P19" s="633"/>
      <c r="Q19" s="19" t="s">
        <v>72</v>
      </c>
      <c r="R19" s="583">
        <f t="shared" si="1"/>
        <v>0</v>
      </c>
      <c r="S19" s="583"/>
      <c r="T19" s="763">
        <f>INT(F19/2-5)+IF(综合数据!O1=TRUE,$U$9,0)+SUM(W19:Z19)</f>
        <v>0</v>
      </c>
      <c r="U19" s="763"/>
      <c r="V19" s="18" t="s">
        <v>62</v>
      </c>
      <c r="W19" s="633"/>
      <c r="X19" s="633"/>
      <c r="Y19" s="633"/>
      <c r="Z19" s="633"/>
      <c r="AB19" s="830"/>
      <c r="AC19" s="831"/>
      <c r="AD19" s="831"/>
      <c r="AE19" s="831"/>
      <c r="AF19" s="831"/>
      <c r="AG19" s="831"/>
      <c r="AH19" s="831"/>
      <c r="AI19" s="831"/>
      <c r="AJ19" s="831"/>
      <c r="AK19" s="831"/>
      <c r="AL19" s="831"/>
      <c r="AM19" s="831"/>
      <c r="AN19" s="831"/>
      <c r="AO19" s="831"/>
      <c r="AP19" s="831"/>
      <c r="AQ19" s="831"/>
      <c r="AR19" s="831"/>
      <c r="AS19" s="832"/>
    </row>
    <row r="20" spans="1:69" ht="8" customHeight="1" x14ac:dyDescent="0.25">
      <c r="AB20" s="830"/>
      <c r="AC20" s="831"/>
      <c r="AD20" s="831"/>
      <c r="AE20" s="831"/>
      <c r="AF20" s="831"/>
      <c r="AG20" s="831"/>
      <c r="AH20" s="831"/>
      <c r="AI20" s="831"/>
      <c r="AJ20" s="831"/>
      <c r="AK20" s="831"/>
      <c r="AL20" s="831"/>
      <c r="AM20" s="831"/>
      <c r="AN20" s="831"/>
      <c r="AO20" s="831"/>
      <c r="AP20" s="831"/>
      <c r="AQ20" s="831"/>
      <c r="AR20" s="831"/>
      <c r="AS20" s="832"/>
    </row>
    <row r="21" spans="1:69" ht="17" customHeight="1" x14ac:dyDescent="0.25">
      <c r="B21" s="627" t="s">
        <v>78</v>
      </c>
      <c r="C21" s="627"/>
      <c r="D21" s="627"/>
      <c r="E21" s="627"/>
      <c r="F21" s="627"/>
      <c r="G21" s="627"/>
      <c r="H21" s="627"/>
      <c r="I21" s="627"/>
      <c r="J21" s="627"/>
      <c r="K21" s="627"/>
      <c r="L21" s="627"/>
      <c r="M21" s="627"/>
      <c r="N21" s="627"/>
      <c r="O21" s="627"/>
      <c r="P21" s="627"/>
      <c r="Q21" s="627"/>
      <c r="R21" s="627"/>
      <c r="S21" s="627"/>
      <c r="T21" s="627"/>
      <c r="U21" s="627"/>
      <c r="V21" s="627"/>
      <c r="W21" s="627"/>
      <c r="X21" s="627"/>
      <c r="Y21" s="627"/>
      <c r="Z21" s="627"/>
      <c r="AB21" s="830"/>
      <c r="AC21" s="831"/>
      <c r="AD21" s="831"/>
      <c r="AE21" s="831"/>
      <c r="AF21" s="831"/>
      <c r="AG21" s="831"/>
      <c r="AH21" s="831"/>
      <c r="AI21" s="831"/>
      <c r="AJ21" s="831"/>
      <c r="AK21" s="831"/>
      <c r="AL21" s="831"/>
      <c r="AM21" s="831"/>
      <c r="AN21" s="831"/>
      <c r="AO21" s="831"/>
      <c r="AP21" s="831"/>
      <c r="AQ21" s="831"/>
      <c r="AR21" s="831"/>
      <c r="AS21" s="832"/>
    </row>
    <row r="22" spans="1:69" ht="17" customHeight="1" x14ac:dyDescent="0.3">
      <c r="G22" s="582" t="s">
        <v>70</v>
      </c>
      <c r="H22" s="582"/>
      <c r="N22" s="582" t="s">
        <v>79</v>
      </c>
      <c r="O22" s="582"/>
      <c r="Q22" s="582" t="s">
        <v>80</v>
      </c>
      <c r="R22" s="582"/>
      <c r="AB22" s="830"/>
      <c r="AC22" s="831"/>
      <c r="AD22" s="831"/>
      <c r="AE22" s="831"/>
      <c r="AF22" s="831"/>
      <c r="AG22" s="831"/>
      <c r="AH22" s="831"/>
      <c r="AI22" s="831"/>
      <c r="AJ22" s="831"/>
      <c r="AK22" s="831"/>
      <c r="AL22" s="831"/>
      <c r="AM22" s="831"/>
      <c r="AN22" s="831"/>
      <c r="AO22" s="831"/>
      <c r="AP22" s="831"/>
      <c r="AQ22" s="831"/>
      <c r="AR22" s="831"/>
      <c r="AS22" s="832"/>
    </row>
    <row r="23" spans="1:69" ht="8" customHeight="1" x14ac:dyDescent="0.25">
      <c r="B23" s="848" t="s">
        <v>81</v>
      </c>
      <c r="C23" s="849"/>
      <c r="D23" s="715">
        <f>SUM(R15+G23)+IF(COUNTIF(专长数据!E2:E7,专长数据!A3),5,0)+IF(COUNTIF(职业数据!AD16:AD18,职业数据!D9),R18,0)+IF(COUNTIF(职业数据!AD16:AD18,职业数据!H10),R19,0)+IF(OR(COUNTIF(职业数据!AD16:AD18,职业数据!K13),COUNTIF(职业数据!AD16:AD18,职业数据!L13)),R17,0)</f>
        <v>-3</v>
      </c>
      <c r="E23" s="716"/>
      <c r="F23" s="648" t="s">
        <v>62</v>
      </c>
      <c r="G23" s="739">
        <v>-5</v>
      </c>
      <c r="H23" s="740"/>
      <c r="J23" s="711" t="s">
        <v>82</v>
      </c>
      <c r="K23" s="722"/>
      <c r="L23" s="722"/>
      <c r="M23" s="866">
        <v>9</v>
      </c>
      <c r="N23" s="866"/>
      <c r="O23" s="866"/>
      <c r="P23" s="701" t="s">
        <v>83</v>
      </c>
      <c r="Q23" s="801">
        <f>BE10</f>
        <v>9</v>
      </c>
      <c r="R23" s="801"/>
      <c r="S23" s="802"/>
      <c r="V23" s="879" t="s">
        <v>84</v>
      </c>
      <c r="W23" s="879"/>
      <c r="X23" s="838">
        <v>0</v>
      </c>
      <c r="Y23" s="838"/>
      <c r="AB23" s="830"/>
      <c r="AC23" s="831"/>
      <c r="AD23" s="831"/>
      <c r="AE23" s="831"/>
      <c r="AF23" s="831"/>
      <c r="AG23" s="831"/>
      <c r="AH23" s="831"/>
      <c r="AI23" s="831"/>
      <c r="AJ23" s="831"/>
      <c r="AK23" s="831"/>
      <c r="AL23" s="831"/>
      <c r="AM23" s="831"/>
      <c r="AN23" s="831"/>
      <c r="AO23" s="831"/>
      <c r="AP23" s="831"/>
      <c r="AQ23" s="831"/>
      <c r="AR23" s="831"/>
      <c r="AS23" s="832"/>
    </row>
    <row r="24" spans="1:69" ht="17" customHeight="1" x14ac:dyDescent="0.25">
      <c r="B24" s="850"/>
      <c r="C24" s="851"/>
      <c r="D24" s="717"/>
      <c r="E24" s="718"/>
      <c r="F24" s="648"/>
      <c r="G24" s="741"/>
      <c r="H24" s="742"/>
      <c r="J24" s="713"/>
      <c r="K24" s="723"/>
      <c r="L24" s="723"/>
      <c r="M24" s="867"/>
      <c r="N24" s="867"/>
      <c r="O24" s="867"/>
      <c r="P24" s="702"/>
      <c r="Q24" s="803"/>
      <c r="R24" s="803"/>
      <c r="S24" s="804"/>
      <c r="U24" s="20"/>
      <c r="V24" s="879"/>
      <c r="W24" s="879"/>
      <c r="X24" s="838"/>
      <c r="Y24" s="838"/>
      <c r="AB24" s="830"/>
      <c r="AC24" s="831"/>
      <c r="AD24" s="831"/>
      <c r="AE24" s="831"/>
      <c r="AF24" s="831"/>
      <c r="AG24" s="831"/>
      <c r="AH24" s="831"/>
      <c r="AI24" s="831"/>
      <c r="AJ24" s="831"/>
      <c r="AK24" s="831"/>
      <c r="AL24" s="831"/>
      <c r="AM24" s="831"/>
      <c r="AN24" s="831"/>
      <c r="AO24" s="831"/>
      <c r="AP24" s="831"/>
      <c r="AQ24" s="831"/>
      <c r="AR24" s="831"/>
      <c r="AS24" s="832"/>
    </row>
    <row r="25" spans="1:69" ht="8" customHeight="1" x14ac:dyDescent="0.25">
      <c r="F25" s="21"/>
      <c r="J25" s="840">
        <f>M23</f>
        <v>9</v>
      </c>
      <c r="K25" s="840"/>
      <c r="L25" s="840"/>
      <c r="M25" s="840"/>
      <c r="N25" s="840"/>
      <c r="O25" s="840"/>
      <c r="P25" s="840"/>
      <c r="Q25" s="840"/>
      <c r="R25" s="840"/>
      <c r="S25" s="840"/>
      <c r="T25" s="840"/>
      <c r="U25" s="20"/>
      <c r="AB25" s="830"/>
      <c r="AC25" s="831"/>
      <c r="AD25" s="831"/>
      <c r="AE25" s="831"/>
      <c r="AF25" s="831"/>
      <c r="AG25" s="831"/>
      <c r="AH25" s="831"/>
      <c r="AI25" s="831"/>
      <c r="AJ25" s="831"/>
      <c r="AK25" s="831"/>
      <c r="AL25" s="831"/>
      <c r="AM25" s="831"/>
      <c r="AN25" s="831"/>
      <c r="AO25" s="831"/>
      <c r="AP25" s="831"/>
      <c r="AQ25" s="831"/>
      <c r="AR25" s="831"/>
      <c r="AS25" s="832"/>
    </row>
    <row r="26" spans="1:69" ht="17" customHeight="1" x14ac:dyDescent="0.25">
      <c r="B26" s="711" t="s">
        <v>85</v>
      </c>
      <c r="C26" s="712"/>
      <c r="D26" s="715" cm="1">
        <f t="array" ref="D26">IF(AB39="",0,AB39)+IF(种族数据!V3=种族数据!A34,0,IF(AND(装备数据!AO2&lt;&gt;"",装备数据!AO2&lt;R15),装备数据!AO2,IF(装备数据!AO2=0,0,R15)))+G26+IF(装备数据!AS2=TRUE,IF(AP39="",0,AP39),0)+IF(AND(装备数据!AL2=装备数据!J4,装备数据!K4=10),MAX(IF(职业数据!AG2&gt;=1,R16,0),IF(AND(职业数据!AG7&gt;=1,装备数据!AS2=FALSE),R18,0),0),0)+IF(D6=种族数据!A25,M28R16-R15,0)</f>
        <v>11</v>
      </c>
      <c r="E26" s="716"/>
      <c r="F26" s="648" t="s">
        <v>62</v>
      </c>
      <c r="G26" s="739">
        <v>-1</v>
      </c>
      <c r="H26" s="740"/>
      <c r="J26" s="711" t="s">
        <v>86</v>
      </c>
      <c r="K26" s="722"/>
      <c r="L26" s="589">
        <v>2</v>
      </c>
      <c r="M26" s="590"/>
      <c r="N26" s="701" t="s">
        <v>83</v>
      </c>
      <c r="O26" s="874">
        <f>IF(Y4&lt;=0,"",Y4)</f>
        <v>1</v>
      </c>
      <c r="P26" s="874"/>
      <c r="Q26" s="862" t="str">
        <f>职业数据!AS6</f>
        <v/>
      </c>
      <c r="R26" s="863"/>
      <c r="S26" s="902" t="s">
        <v>87</v>
      </c>
      <c r="T26" s="589"/>
      <c r="U26" s="590"/>
      <c r="V26" s="701" t="s">
        <v>83</v>
      </c>
      <c r="W26" s="703"/>
      <c r="X26" s="703"/>
      <c r="Y26" s="896"/>
      <c r="Z26" s="897"/>
      <c r="AB26" s="830"/>
      <c r="AC26" s="831"/>
      <c r="AD26" s="831"/>
      <c r="AE26" s="831"/>
      <c r="AF26" s="831"/>
      <c r="AG26" s="831"/>
      <c r="AH26" s="831"/>
      <c r="AI26" s="831"/>
      <c r="AJ26" s="831"/>
      <c r="AK26" s="831"/>
      <c r="AL26" s="831"/>
      <c r="AM26" s="831"/>
      <c r="AN26" s="831"/>
      <c r="AO26" s="831"/>
      <c r="AP26" s="831"/>
      <c r="AQ26" s="831"/>
      <c r="AR26" s="831"/>
      <c r="AS26" s="832"/>
    </row>
    <row r="27" spans="1:69" ht="8" customHeight="1" x14ac:dyDescent="0.25">
      <c r="B27" s="713"/>
      <c r="C27" s="714"/>
      <c r="D27" s="717"/>
      <c r="E27" s="718"/>
      <c r="F27" s="648"/>
      <c r="G27" s="741"/>
      <c r="H27" s="742"/>
      <c r="J27" s="713"/>
      <c r="K27" s="723"/>
      <c r="L27" s="591"/>
      <c r="M27" s="592"/>
      <c r="N27" s="702"/>
      <c r="O27" s="875"/>
      <c r="P27" s="875"/>
      <c r="Q27" s="864"/>
      <c r="R27" s="865"/>
      <c r="S27" s="902"/>
      <c r="T27" s="591"/>
      <c r="U27" s="592"/>
      <c r="V27" s="702"/>
      <c r="W27" s="704"/>
      <c r="X27" s="704"/>
      <c r="Y27" s="898"/>
      <c r="Z27" s="899"/>
      <c r="AB27" s="833"/>
      <c r="AC27" s="834"/>
      <c r="AD27" s="834"/>
      <c r="AE27" s="834"/>
      <c r="AF27" s="834"/>
      <c r="AG27" s="834"/>
      <c r="AH27" s="834"/>
      <c r="AI27" s="834"/>
      <c r="AJ27" s="834"/>
      <c r="AK27" s="834"/>
      <c r="AL27" s="834"/>
      <c r="AM27" s="834"/>
      <c r="AN27" s="834"/>
      <c r="AO27" s="834"/>
      <c r="AP27" s="834"/>
      <c r="AQ27" s="834"/>
      <c r="AR27" s="834"/>
      <c r="AS27" s="835"/>
    </row>
    <row r="28" spans="1:69" ht="17" customHeight="1" x14ac:dyDescent="0.3">
      <c r="D28" s="884" t="s">
        <v>88</v>
      </c>
      <c r="E28" s="884"/>
      <c r="G28" s="632" t="s">
        <v>15</v>
      </c>
      <c r="H28" s="632"/>
      <c r="I28" s="916" t="s">
        <v>89</v>
      </c>
      <c r="J28" s="916"/>
      <c r="K28" s="916"/>
      <c r="L28" s="916"/>
      <c r="P28" s="917" t="s">
        <v>90</v>
      </c>
      <c r="Q28" s="917"/>
      <c r="AB28" s="900" t="s">
        <v>91</v>
      </c>
      <c r="AC28" s="900"/>
      <c r="AD28" s="900"/>
      <c r="AE28" s="900"/>
      <c r="AF28" s="900"/>
      <c r="AG28" s="900"/>
      <c r="AH28" s="900"/>
      <c r="AI28" s="900"/>
      <c r="AJ28" s="900"/>
      <c r="AK28" s="900"/>
      <c r="AL28" s="900"/>
      <c r="AM28" s="900"/>
      <c r="AN28" s="900"/>
      <c r="AO28" s="900"/>
      <c r="AP28" s="900"/>
      <c r="AQ28" s="900"/>
      <c r="AR28" s="900"/>
      <c r="AS28" s="900"/>
    </row>
    <row r="29" spans="1:69" ht="8" customHeight="1" x14ac:dyDescent="0.25">
      <c r="B29" s="711" t="s">
        <v>92</v>
      </c>
      <c r="C29" s="712"/>
      <c r="D29" s="715">
        <f>SUM(8+U9+G29+IF(F31=C14,R14,IF(F31=C15,R15,IF(F31=C16,R16,IF(F31=C17,R17,IF(F31=C18,R18,IF(F31=C19,R19,0)))))))</f>
        <v>14</v>
      </c>
      <c r="E29" s="716"/>
      <c r="F29" s="648" t="s">
        <v>62</v>
      </c>
      <c r="G29" s="739"/>
      <c r="H29" s="740"/>
      <c r="I29" s="921"/>
      <c r="J29" s="526" t="s">
        <v>93</v>
      </c>
      <c r="K29" s="528"/>
      <c r="L29" s="933"/>
      <c r="M29" s="934"/>
      <c r="N29" s="934"/>
      <c r="O29" s="934"/>
      <c r="P29" s="934"/>
      <c r="Q29" s="934"/>
      <c r="R29" s="934"/>
      <c r="S29" s="934"/>
      <c r="T29" s="934"/>
      <c r="U29" s="934"/>
      <c r="V29" s="934"/>
      <c r="W29" s="934"/>
      <c r="X29" s="934"/>
      <c r="Y29" s="934"/>
      <c r="Z29" s="935"/>
      <c r="AB29" s="526" t="s">
        <v>94</v>
      </c>
      <c r="AC29" s="528"/>
      <c r="AD29" s="639"/>
      <c r="AE29" s="640"/>
      <c r="AF29" s="640"/>
      <c r="AG29" s="640"/>
      <c r="AH29" s="640"/>
      <c r="AI29" s="640"/>
      <c r="AJ29" s="640"/>
      <c r="AK29" s="640"/>
      <c r="AL29" s="640"/>
      <c r="AM29" s="640"/>
      <c r="AN29" s="640"/>
      <c r="AO29" s="640"/>
      <c r="AP29" s="640"/>
      <c r="AQ29" s="640"/>
      <c r="AR29" s="640"/>
      <c r="AS29" s="641"/>
    </row>
    <row r="30" spans="1:69" ht="17" customHeight="1" x14ac:dyDescent="0.25">
      <c r="B30" s="713"/>
      <c r="C30" s="714"/>
      <c r="D30" s="717"/>
      <c r="E30" s="718"/>
      <c r="F30" s="918"/>
      <c r="G30" s="741"/>
      <c r="H30" s="742"/>
      <c r="I30" s="921"/>
      <c r="J30" s="532"/>
      <c r="K30" s="534"/>
      <c r="L30" s="936"/>
      <c r="M30" s="937"/>
      <c r="N30" s="937"/>
      <c r="O30" s="937"/>
      <c r="P30" s="937"/>
      <c r="Q30" s="937"/>
      <c r="R30" s="937"/>
      <c r="S30" s="937"/>
      <c r="T30" s="937"/>
      <c r="U30" s="937"/>
      <c r="V30" s="937"/>
      <c r="W30" s="937"/>
      <c r="X30" s="937"/>
      <c r="Y30" s="937"/>
      <c r="Z30" s="938"/>
      <c r="AB30" s="532"/>
      <c r="AC30" s="534"/>
      <c r="AD30" s="642"/>
      <c r="AE30" s="643"/>
      <c r="AF30" s="643"/>
      <c r="AG30" s="643"/>
      <c r="AH30" s="643"/>
      <c r="AI30" s="643"/>
      <c r="AJ30" s="643"/>
      <c r="AK30" s="643"/>
      <c r="AL30" s="643"/>
      <c r="AM30" s="643"/>
      <c r="AN30" s="643"/>
      <c r="AO30" s="643"/>
      <c r="AP30" s="643"/>
      <c r="AQ30" s="643"/>
      <c r="AR30" s="643"/>
      <c r="AS30" s="644"/>
      <c r="AV30" s="627" t="s">
        <v>95</v>
      </c>
      <c r="AW30" s="627"/>
      <c r="AX30" s="627"/>
      <c r="AY30" s="627"/>
      <c r="AZ30" s="627"/>
      <c r="BA30" s="627"/>
      <c r="BB30" s="627"/>
      <c r="BC30" s="627"/>
      <c r="BD30" s="627"/>
      <c r="BE30" s="627"/>
      <c r="BF30" s="627"/>
      <c r="BG30" s="627"/>
      <c r="BH30" s="627"/>
      <c r="BI30" s="627"/>
      <c r="BJ30" s="627"/>
      <c r="BK30" s="627"/>
      <c r="BL30" s="627"/>
      <c r="BM30" s="627"/>
      <c r="BN30" s="627"/>
      <c r="BO30" s="627"/>
      <c r="BP30" s="627"/>
      <c r="BQ30" s="627"/>
    </row>
    <row r="31" spans="1:69" ht="8" customHeight="1" x14ac:dyDescent="0.25">
      <c r="B31" s="527" t="s">
        <v>96</v>
      </c>
      <c r="C31" s="527"/>
      <c r="D31" s="527"/>
      <c r="E31" s="527"/>
      <c r="F31" s="780" t="s">
        <v>8870</v>
      </c>
      <c r="G31" s="780"/>
      <c r="H31" s="781"/>
      <c r="I31" s="23"/>
      <c r="AH31" s="22"/>
      <c r="AI31" s="22"/>
      <c r="AJ31" s="22"/>
      <c r="AK31" s="22"/>
      <c r="AL31" s="22"/>
      <c r="AM31" s="22"/>
      <c r="AN31" s="22"/>
      <c r="AO31" s="22"/>
      <c r="AP31" s="22"/>
      <c r="AQ31" s="22"/>
      <c r="AR31" s="22"/>
      <c r="AS31" s="22"/>
    </row>
    <row r="32" spans="1:69" ht="17" customHeight="1" x14ac:dyDescent="0.25">
      <c r="B32" s="533"/>
      <c r="C32" s="533"/>
      <c r="D32" s="533"/>
      <c r="E32" s="533"/>
      <c r="F32" s="782"/>
      <c r="G32" s="782"/>
      <c r="H32" s="783"/>
      <c r="I32" s="23"/>
      <c r="J32" s="520" t="s">
        <v>97</v>
      </c>
      <c r="K32" s="522"/>
      <c r="L32" s="798" t="s">
        <v>478</v>
      </c>
      <c r="M32" s="799"/>
      <c r="N32" s="800"/>
      <c r="P32" s="520" t="s">
        <v>98</v>
      </c>
      <c r="Q32" s="522"/>
      <c r="R32" s="806">
        <v>30</v>
      </c>
      <c r="S32" s="807"/>
      <c r="T32" s="807"/>
      <c r="U32" s="807"/>
      <c r="V32" s="807"/>
      <c r="W32" s="807"/>
      <c r="X32" s="807"/>
      <c r="Y32" s="807"/>
      <c r="Z32" s="808"/>
      <c r="AB32" s="526" t="s">
        <v>99</v>
      </c>
      <c r="AC32" s="528"/>
      <c r="AD32" s="639"/>
      <c r="AE32" s="640"/>
      <c r="AF32" s="640"/>
      <c r="AG32" s="640"/>
      <c r="AH32" s="640"/>
      <c r="AI32" s="640"/>
      <c r="AJ32" s="640"/>
      <c r="AK32" s="640"/>
      <c r="AL32" s="640"/>
      <c r="AM32" s="640"/>
      <c r="AN32" s="640"/>
      <c r="AO32" s="640"/>
      <c r="AP32" s="640"/>
      <c r="AQ32" s="640"/>
      <c r="AR32" s="640"/>
      <c r="AS32" s="641"/>
    </row>
    <row r="33" spans="1:69" ht="8" customHeight="1" x14ac:dyDescent="0.25">
      <c r="AB33" s="532"/>
      <c r="AC33" s="534"/>
      <c r="AD33" s="642"/>
      <c r="AE33" s="643"/>
      <c r="AF33" s="643"/>
      <c r="AG33" s="643"/>
      <c r="AH33" s="643"/>
      <c r="AI33" s="643"/>
      <c r="AJ33" s="643"/>
      <c r="AK33" s="643"/>
      <c r="AL33" s="643"/>
      <c r="AM33" s="643"/>
      <c r="AN33" s="643"/>
      <c r="AO33" s="643"/>
      <c r="AP33" s="643"/>
      <c r="AQ33" s="643"/>
      <c r="AR33" s="643"/>
      <c r="AS33" s="644"/>
    </row>
    <row r="34" spans="1:69" ht="17" customHeight="1" x14ac:dyDescent="0.25">
      <c r="B34" s="526" t="s">
        <v>100</v>
      </c>
      <c r="C34" s="527"/>
      <c r="D34" s="527"/>
      <c r="E34" s="528"/>
      <c r="F34" s="715">
        <f>SUM(10+R18)</f>
        <v>13</v>
      </c>
      <c r="G34" s="892"/>
      <c r="H34" s="716"/>
      <c r="J34" s="886" t="s">
        <v>8857</v>
      </c>
      <c r="K34" s="887"/>
      <c r="L34" s="887"/>
      <c r="M34" s="888"/>
      <c r="N34" s="764"/>
      <c r="O34" s="765"/>
      <c r="P34" s="766"/>
      <c r="S34" s="886" t="s">
        <v>101</v>
      </c>
      <c r="T34" s="887"/>
      <c r="U34" s="887"/>
      <c r="V34" s="888"/>
      <c r="W34" s="764"/>
      <c r="X34" s="765"/>
      <c r="Y34" s="766"/>
      <c r="AB34" s="526" t="s">
        <v>102</v>
      </c>
      <c r="AC34" s="528"/>
      <c r="AD34" s="639"/>
      <c r="AE34" s="640"/>
      <c r="AF34" s="640"/>
      <c r="AG34" s="640"/>
      <c r="AH34" s="640"/>
      <c r="AI34" s="640"/>
      <c r="AJ34" s="640"/>
      <c r="AK34" s="640"/>
      <c r="AL34" s="640"/>
      <c r="AM34" s="640"/>
      <c r="AN34" s="640"/>
      <c r="AO34" s="640"/>
      <c r="AP34" s="640"/>
      <c r="AQ34" s="640"/>
      <c r="AR34" s="640"/>
      <c r="AS34" s="641"/>
    </row>
    <row r="35" spans="1:69" ht="8" customHeight="1" x14ac:dyDescent="0.25">
      <c r="B35" s="532"/>
      <c r="C35" s="533"/>
      <c r="D35" s="533"/>
      <c r="E35" s="534"/>
      <c r="F35" s="717"/>
      <c r="G35" s="893"/>
      <c r="H35" s="718"/>
      <c r="J35" s="889"/>
      <c r="K35" s="890"/>
      <c r="L35" s="890"/>
      <c r="M35" s="891"/>
      <c r="N35" s="767"/>
      <c r="O35" s="768"/>
      <c r="P35" s="769"/>
      <c r="S35" s="889"/>
      <c r="T35" s="890"/>
      <c r="U35" s="890"/>
      <c r="V35" s="891"/>
      <c r="W35" s="767"/>
      <c r="X35" s="768"/>
      <c r="Y35" s="769"/>
      <c r="AB35" s="532"/>
      <c r="AC35" s="534"/>
      <c r="AD35" s="642"/>
      <c r="AE35" s="643"/>
      <c r="AF35" s="643"/>
      <c r="AG35" s="643"/>
      <c r="AH35" s="643"/>
      <c r="AI35" s="643"/>
      <c r="AJ35" s="643"/>
      <c r="AK35" s="643"/>
      <c r="AL35" s="643"/>
      <c r="AM35" s="643"/>
      <c r="AN35" s="643"/>
      <c r="AO35" s="643"/>
      <c r="AP35" s="643"/>
      <c r="AQ35" s="643"/>
      <c r="AR35" s="643"/>
      <c r="AS35" s="644"/>
    </row>
    <row r="36" spans="1:69" ht="8" customHeight="1" x14ac:dyDescent="0.3">
      <c r="AH36" s="22"/>
      <c r="AI36" s="22"/>
      <c r="AJ36" s="22"/>
      <c r="AK36" s="22"/>
      <c r="AL36" s="22"/>
      <c r="AM36" s="22"/>
      <c r="AN36" s="22"/>
      <c r="AO36" s="22"/>
      <c r="AP36" s="22"/>
      <c r="AQ36" s="22"/>
      <c r="AR36" s="22"/>
      <c r="AS36" s="22"/>
      <c r="AU36" s="24"/>
    </row>
    <row r="37" spans="1:69" ht="17" customHeight="1" x14ac:dyDescent="0.3">
      <c r="B37" s="627" t="s">
        <v>103</v>
      </c>
      <c r="C37" s="627"/>
      <c r="D37" s="627"/>
      <c r="E37" s="627"/>
      <c r="F37" s="627"/>
      <c r="G37" s="627"/>
      <c r="H37" s="627"/>
      <c r="I37" s="627"/>
      <c r="J37" s="627"/>
      <c r="L37" s="580" t="str">
        <f>IF(AND(COUNTIF(职业数据!AC16:AC18,职业数据!A7),装备数据!AU6=0),"无法使用武僧武器",IF(OR(AND(COUNTIF(L41:N45,"专用*")&gt;=1,装备数据!AU7=0),AND(COUNTIF(L41:N45,"剑圣*")&gt;=1,装备数据!AU7&lt;2),AND(COUNTIF(L41:N45,"匠师*")&gt;=1,装备数据!AU9=0),AND(COUNTIF(L41:N45,"咒术")&gt;=1,装备数据!AU8=0)),"无法使用职业武器",IF(装备数据!AW3=0,"护甲种类有误",IF(AND(种族数据!V3=种族数据!A34,装备数据!AW2=1),"龟人无法使用护甲",IF(装备数据!R47&lt;=-1,"同调装备过多","")))))</f>
        <v>护甲种类有误</v>
      </c>
      <c r="M37" s="580"/>
      <c r="N37" s="580"/>
      <c r="O37" s="580"/>
      <c r="P37" s="580"/>
      <c r="Q37" s="580"/>
      <c r="R37" s="580"/>
      <c r="S37" s="627" t="s">
        <v>104</v>
      </c>
      <c r="T37" s="627"/>
      <c r="U37" s="627"/>
      <c r="V37" s="25"/>
      <c r="W37" s="788" t="str">
        <f>IF(COUNTIF(装备数据!R30:R45,TRUE)=0,"","已同调的装备："&amp;COUNTIF(装备数据!R30:R45,TRUE)&amp;"/"&amp;IF(职业数据!AG14&gt;=18,6,IF(职业数据!AG14&gt;=14,5,IF(职业数据!AG14&gt;=10,4,3))))</f>
        <v/>
      </c>
      <c r="X37" s="788"/>
      <c r="Y37" s="788"/>
      <c r="Z37" s="788"/>
      <c r="AA37" s="788"/>
      <c r="AB37" s="788"/>
      <c r="AD37" s="627" t="s">
        <v>105</v>
      </c>
      <c r="AE37" s="627"/>
      <c r="AF37" s="627"/>
      <c r="AG37" s="627"/>
      <c r="AH37" s="627"/>
      <c r="AI37" s="627"/>
      <c r="AJ37" s="627"/>
      <c r="AK37" s="627"/>
      <c r="AL37" s="627"/>
      <c r="AM37" s="627"/>
      <c r="AN37" s="627"/>
      <c r="AO37" s="627"/>
      <c r="AP37" s="627"/>
      <c r="AQ37" s="627"/>
      <c r="AR37" s="627"/>
      <c r="AS37" s="627"/>
      <c r="AU37" s="24"/>
    </row>
    <row r="38" spans="1:69" ht="17" customHeight="1" x14ac:dyDescent="0.3">
      <c r="A38" s="885" t="s">
        <v>55</v>
      </c>
      <c r="B38" s="885"/>
      <c r="C38" s="608" t="s">
        <v>106</v>
      </c>
      <c r="D38" s="608"/>
      <c r="E38" s="608"/>
      <c r="F38" s="582" t="s">
        <v>68</v>
      </c>
      <c r="G38" s="582"/>
      <c r="H38" s="27"/>
      <c r="I38" s="582" t="s">
        <v>65</v>
      </c>
      <c r="J38" s="582"/>
      <c r="K38" s="6"/>
      <c r="L38" s="688" t="s">
        <v>107</v>
      </c>
      <c r="M38" s="688"/>
      <c r="N38" s="28"/>
      <c r="O38" s="29" t="s">
        <v>108</v>
      </c>
      <c r="P38" s="582" t="s">
        <v>109</v>
      </c>
      <c r="Q38" s="582"/>
      <c r="R38" s="582"/>
      <c r="S38" s="30"/>
      <c r="T38" s="31"/>
      <c r="U38" s="582" t="s">
        <v>110</v>
      </c>
      <c r="V38" s="582"/>
      <c r="W38" s="31"/>
      <c r="X38" s="29" t="s">
        <v>55</v>
      </c>
      <c r="Y38" s="582" t="s">
        <v>111</v>
      </c>
      <c r="Z38" s="582"/>
      <c r="AA38" s="885" t="s">
        <v>112</v>
      </c>
      <c r="AB38" s="885"/>
      <c r="AC38" s="885"/>
      <c r="AD38" s="901" t="s">
        <v>113</v>
      </c>
      <c r="AE38" s="901"/>
      <c r="AF38" s="901"/>
      <c r="AH38" s="24" t="s">
        <v>102</v>
      </c>
      <c r="AI38" s="24"/>
      <c r="AJ38" s="608" t="s">
        <v>114</v>
      </c>
      <c r="AK38" s="608"/>
      <c r="AL38" s="24" t="s">
        <v>108</v>
      </c>
      <c r="AN38" s="32" t="s">
        <v>109</v>
      </c>
      <c r="AO38" s="32"/>
      <c r="AP38" s="608" t="s">
        <v>85</v>
      </c>
      <c r="AQ38" s="608"/>
      <c r="AR38" s="582" t="s">
        <v>111</v>
      </c>
      <c r="AS38" s="582"/>
      <c r="AT38" s="7"/>
      <c r="AU38" s="26" t="s">
        <v>55</v>
      </c>
    </row>
    <row r="39" spans="1:69" ht="17" customHeight="1" x14ac:dyDescent="0.3">
      <c r="A39" s="16"/>
      <c r="C39" s="614" t="s">
        <v>8867</v>
      </c>
      <c r="D39" s="656"/>
      <c r="E39" s="615"/>
      <c r="F39" s="637"/>
      <c r="G39" s="638"/>
      <c r="H39" s="10" t="s">
        <v>72</v>
      </c>
      <c r="I39" s="587">
        <f>$R$14+IF(综合数据!R2=TRUE,$U$9,0)+F39</f>
        <v>-1</v>
      </c>
      <c r="J39" s="588"/>
      <c r="K39" s="33"/>
      <c r="L39" s="878"/>
      <c r="M39" s="878"/>
      <c r="N39" s="878"/>
      <c r="O39" s="34"/>
      <c r="P39" s="664"/>
      <c r="Q39" s="821"/>
      <c r="R39" s="821"/>
      <c r="S39" s="844"/>
      <c r="T39" s="845"/>
      <c r="U39" s="845"/>
      <c r="V39" s="845"/>
      <c r="W39" s="845"/>
      <c r="X39" s="846"/>
      <c r="Y39" s="730"/>
      <c r="Z39" s="731"/>
      <c r="AA39" s="10" t="s">
        <v>72</v>
      </c>
      <c r="AB39" s="904">
        <f>装备数据!$AM$2</f>
        <v>10</v>
      </c>
      <c r="AC39" s="905"/>
      <c r="AD39" s="759" t="s">
        <v>117</v>
      </c>
      <c r="AE39" s="760"/>
      <c r="AH39" s="24" t="s">
        <v>116</v>
      </c>
      <c r="AI39" s="24"/>
      <c r="AJ39" s="861"/>
      <c r="AK39" s="861"/>
      <c r="AL39" s="919"/>
      <c r="AM39" s="919"/>
      <c r="AN39" s="919"/>
      <c r="AO39" s="920"/>
      <c r="AP39" s="728"/>
      <c r="AQ39" s="729"/>
      <c r="AR39" s="805" t="s">
        <v>117</v>
      </c>
      <c r="AS39" s="805"/>
    </row>
    <row r="40" spans="1:69" ht="17" customHeight="1" x14ac:dyDescent="0.4">
      <c r="B40" s="27"/>
      <c r="C40" s="595" t="s">
        <v>118</v>
      </c>
      <c r="D40" s="595"/>
      <c r="E40" s="595"/>
      <c r="F40" s="27"/>
      <c r="G40" s="27"/>
      <c r="H40" s="36"/>
      <c r="I40" s="37"/>
      <c r="J40" s="37"/>
      <c r="K40" s="33"/>
      <c r="L40" s="688" t="s">
        <v>119</v>
      </c>
      <c r="M40" s="688"/>
      <c r="N40" s="38"/>
      <c r="O40" s="26" t="s">
        <v>108</v>
      </c>
      <c r="P40" s="632" t="s">
        <v>109</v>
      </c>
      <c r="Q40" s="632"/>
      <c r="R40" s="632"/>
      <c r="T40" s="632" t="s">
        <v>110</v>
      </c>
      <c r="U40" s="632"/>
      <c r="V40" s="632"/>
      <c r="W40" s="632"/>
      <c r="X40" s="6"/>
      <c r="Y40" s="632" t="s">
        <v>111</v>
      </c>
      <c r="Z40" s="632"/>
      <c r="AB40" s="26" t="s">
        <v>55</v>
      </c>
      <c r="AC40" s="608" t="s">
        <v>120</v>
      </c>
      <c r="AD40" s="608"/>
      <c r="AE40" s="608"/>
      <c r="AF40" s="608" t="s">
        <v>121</v>
      </c>
      <c r="AG40" s="608"/>
      <c r="AH40" s="582" t="s">
        <v>122</v>
      </c>
      <c r="AI40" s="582"/>
      <c r="AJ40" s="582"/>
      <c r="AK40" s="608" t="s">
        <v>121</v>
      </c>
      <c r="AL40" s="608"/>
      <c r="AM40" s="608"/>
      <c r="AN40" s="595" t="s">
        <v>123</v>
      </c>
      <c r="AO40" s="595"/>
      <c r="AP40" s="39"/>
      <c r="AQ40" s="40" t="s">
        <v>124</v>
      </c>
      <c r="AR40" s="41"/>
      <c r="AT40" s="24" t="s">
        <v>125</v>
      </c>
    </row>
    <row r="41" spans="1:69" ht="17" customHeight="1" x14ac:dyDescent="0.25">
      <c r="A41" s="16"/>
      <c r="C41" s="614" t="s">
        <v>8868</v>
      </c>
      <c r="D41" s="656"/>
      <c r="E41" s="615"/>
      <c r="F41" s="637"/>
      <c r="G41" s="638"/>
      <c r="H41" s="10" t="s">
        <v>72</v>
      </c>
      <c r="I41" s="587">
        <v>4</v>
      </c>
      <c r="J41" s="588"/>
      <c r="K41" s="33"/>
      <c r="L41" s="636" t="s">
        <v>8869</v>
      </c>
      <c r="M41" s="636"/>
      <c r="N41" s="636"/>
      <c r="O41" s="42"/>
      <c r="P41" s="663"/>
      <c r="Q41" s="663"/>
      <c r="R41" s="663"/>
      <c r="S41" s="707" t="s">
        <v>8892</v>
      </c>
      <c r="T41" s="708"/>
      <c r="U41" s="708"/>
      <c r="V41" s="708"/>
      <c r="W41" s="708"/>
      <c r="X41" s="709"/>
      <c r="Y41" s="730">
        <v>1</v>
      </c>
      <c r="Z41" s="731"/>
      <c r="AA41" s="10" t="s">
        <v>72</v>
      </c>
      <c r="AC41" s="675" t="str">
        <f>IF(L41="","","D20"&amp;IF(装备数据!AR6&gt;0,"+","")&amp;IF(装备数据!AR6&lt;&gt;0,装备数据!AR6,""))</f>
        <v>D20</v>
      </c>
      <c r="AD41" s="676"/>
      <c r="AE41" s="677"/>
      <c r="AF41" s="43" t="str">
        <f>IF(AG41&gt;0,"+","")</f>
        <v/>
      </c>
      <c r="AG41" s="44"/>
      <c r="AH41" s="657" t="s">
        <v>117</v>
      </c>
      <c r="AI41" s="657"/>
      <c r="AJ41" s="658"/>
      <c r="AK41" s="45" t="str">
        <f>IF(AL41&gt;0,"+","")</f>
        <v/>
      </c>
      <c r="AL41" s="880"/>
      <c r="AM41" s="881"/>
      <c r="AN41" s="605" t="s">
        <v>117</v>
      </c>
      <c r="AO41" s="605"/>
      <c r="AP41" s="16"/>
      <c r="AQ41" s="46" t="s">
        <v>128</v>
      </c>
      <c r="AR41" s="550"/>
      <c r="AS41" s="552"/>
    </row>
    <row r="42" spans="1:69" ht="17" customHeight="1" x14ac:dyDescent="0.25">
      <c r="A42" s="16"/>
      <c r="C42" s="614" t="s">
        <v>129</v>
      </c>
      <c r="D42" s="656"/>
      <c r="E42" s="615"/>
      <c r="F42" s="637"/>
      <c r="G42" s="638"/>
      <c r="H42" s="10" t="s">
        <v>72</v>
      </c>
      <c r="I42" s="587">
        <v>4</v>
      </c>
      <c r="J42" s="588"/>
      <c r="K42" s="33"/>
      <c r="L42" s="636"/>
      <c r="M42" s="636"/>
      <c r="N42" s="636"/>
      <c r="O42" s="47"/>
      <c r="P42" s="634"/>
      <c r="Q42" s="634"/>
      <c r="R42" s="634"/>
      <c r="S42" s="871"/>
      <c r="T42" s="872"/>
      <c r="U42" s="872"/>
      <c r="V42" s="872"/>
      <c r="W42" s="872"/>
      <c r="X42" s="873"/>
      <c r="Y42" s="724" t="s">
        <v>117</v>
      </c>
      <c r="Z42" s="725"/>
      <c r="AA42" s="10" t="s">
        <v>72</v>
      </c>
      <c r="AC42" s="734" t="str">
        <f>IF(L42="","","D20"&amp;IF(装备数据!AR7&gt;0,"+","")&amp;IF(装备数据!AR7&lt;&gt;0,装备数据!AR7,""))</f>
        <v/>
      </c>
      <c r="AD42" s="735"/>
      <c r="AE42" s="736"/>
      <c r="AF42" s="48" t="str">
        <f>IF(AG42&gt;0,"+","")</f>
        <v/>
      </c>
      <c r="AG42" s="49"/>
      <c r="AH42" s="732" t="s">
        <v>117</v>
      </c>
      <c r="AI42" s="732"/>
      <c r="AJ42" s="733"/>
      <c r="AK42" s="51" t="str">
        <f>IF(AL42&gt;0,"+","")</f>
        <v/>
      </c>
      <c r="AL42" s="737"/>
      <c r="AM42" s="738"/>
      <c r="AN42" s="825" t="s">
        <v>117</v>
      </c>
      <c r="AO42" s="825"/>
      <c r="AP42" s="16"/>
      <c r="AQ42" s="46" t="s">
        <v>130</v>
      </c>
      <c r="AR42" s="553"/>
      <c r="AS42" s="555"/>
    </row>
    <row r="43" spans="1:69" ht="17" customHeight="1" x14ac:dyDescent="0.25">
      <c r="A43" s="16"/>
      <c r="C43" s="614" t="s">
        <v>131</v>
      </c>
      <c r="D43" s="656"/>
      <c r="E43" s="615"/>
      <c r="F43" s="637"/>
      <c r="G43" s="638"/>
      <c r="H43" s="10" t="s">
        <v>72</v>
      </c>
      <c r="I43" s="587">
        <v>6</v>
      </c>
      <c r="J43" s="588"/>
      <c r="K43" s="33"/>
      <c r="L43" s="636"/>
      <c r="M43" s="636"/>
      <c r="N43" s="636" t="s">
        <v>72</v>
      </c>
      <c r="O43" s="42"/>
      <c r="P43" s="663"/>
      <c r="Q43" s="663"/>
      <c r="R43" s="663"/>
      <c r="S43" s="707"/>
      <c r="T43" s="708"/>
      <c r="U43" s="708"/>
      <c r="V43" s="708"/>
      <c r="W43" s="708"/>
      <c r="X43" s="709"/>
      <c r="Y43" s="730"/>
      <c r="Z43" s="731"/>
      <c r="AA43" s="10" t="s">
        <v>72</v>
      </c>
      <c r="AC43" s="675" t="str">
        <f>IF(L43="","","D20"&amp;IF(装备数据!AR8&gt;0,"+","")&amp;IF(装备数据!AR8&lt;&gt;0,装备数据!AR8,""))</f>
        <v/>
      </c>
      <c r="AD43" s="676"/>
      <c r="AE43" s="677"/>
      <c r="AF43" s="43" t="str">
        <f>IF(AG43&gt;0,"+","")</f>
        <v/>
      </c>
      <c r="AG43" s="44"/>
      <c r="AH43" s="657" t="s">
        <v>117</v>
      </c>
      <c r="AI43" s="657"/>
      <c r="AJ43" s="658"/>
      <c r="AK43" s="45" t="str">
        <f>IF(AL43&gt;0,"+","")</f>
        <v/>
      </c>
      <c r="AL43" s="853"/>
      <c r="AM43" s="854"/>
      <c r="AN43" s="605"/>
      <c r="AO43" s="605"/>
      <c r="AP43" s="16"/>
      <c r="AQ43" s="46" t="s">
        <v>132</v>
      </c>
      <c r="AR43" s="550"/>
      <c r="AS43" s="552"/>
    </row>
    <row r="44" spans="1:69" ht="17" customHeight="1" x14ac:dyDescent="0.3">
      <c r="B44" s="27"/>
      <c r="C44" s="595" t="s">
        <v>133</v>
      </c>
      <c r="D44" s="595"/>
      <c r="E44" s="595"/>
      <c r="F44" s="27"/>
      <c r="G44" s="27"/>
      <c r="H44" s="36"/>
      <c r="I44" s="37"/>
      <c r="J44" s="37"/>
      <c r="K44" s="33"/>
      <c r="L44" s="636"/>
      <c r="M44" s="636"/>
      <c r="N44" s="636" t="s">
        <v>72</v>
      </c>
      <c r="O44" s="47"/>
      <c r="P44" s="634"/>
      <c r="Q44" s="634"/>
      <c r="R44" s="634"/>
      <c r="S44" s="871"/>
      <c r="T44" s="872"/>
      <c r="U44" s="872"/>
      <c r="V44" s="872"/>
      <c r="W44" s="872"/>
      <c r="X44" s="873"/>
      <c r="Y44" s="724"/>
      <c r="Z44" s="725"/>
      <c r="AA44" s="10" t="s">
        <v>72</v>
      </c>
      <c r="AC44" s="734" t="str">
        <f>IF(L44="","","D20"&amp;IF(装备数据!AR9&gt;0,"+","")&amp;IF(装备数据!AR9&lt;&gt;0,装备数据!AR9,""))</f>
        <v/>
      </c>
      <c r="AD44" s="735"/>
      <c r="AE44" s="736"/>
      <c r="AF44" s="48" t="str">
        <f>IF(AG44&gt;0,"+","")</f>
        <v/>
      </c>
      <c r="AG44" s="49"/>
      <c r="AH44" s="732"/>
      <c r="AI44" s="732"/>
      <c r="AJ44" s="733"/>
      <c r="AK44" s="51" t="str">
        <f>IF(AL44&gt;0,"+","")</f>
        <v/>
      </c>
      <c r="AL44" s="737"/>
      <c r="AM44" s="738"/>
      <c r="AN44" s="825"/>
      <c r="AO44" s="825"/>
      <c r="AP44" s="16"/>
      <c r="AQ44" s="46" t="s">
        <v>134</v>
      </c>
      <c r="AR44" s="553"/>
      <c r="AS44" s="555"/>
    </row>
    <row r="45" spans="1:69" ht="17" customHeight="1" x14ac:dyDescent="0.25">
      <c r="A45" s="16"/>
      <c r="C45" s="614" t="s">
        <v>135</v>
      </c>
      <c r="D45" s="656"/>
      <c r="E45" s="615"/>
      <c r="F45" s="637"/>
      <c r="G45" s="638"/>
      <c r="H45" s="10" t="s">
        <v>72</v>
      </c>
      <c r="I45" s="587">
        <f>$R$17+IF(综合数据!R6=TRUE,$U$9,0)+F45</f>
        <v>4</v>
      </c>
      <c r="J45" s="588"/>
      <c r="K45" s="33"/>
      <c r="L45" s="636"/>
      <c r="M45" s="636"/>
      <c r="N45" s="636" t="s">
        <v>72</v>
      </c>
      <c r="O45" s="42"/>
      <c r="P45" s="663"/>
      <c r="Q45" s="663"/>
      <c r="R45" s="663"/>
      <c r="S45" s="707"/>
      <c r="T45" s="708"/>
      <c r="U45" s="708"/>
      <c r="V45" s="708"/>
      <c r="W45" s="708"/>
      <c r="X45" s="709"/>
      <c r="Y45" s="730"/>
      <c r="Z45" s="731"/>
      <c r="AA45" s="10" t="s">
        <v>72</v>
      </c>
      <c r="AC45" s="675" t="str">
        <f>IF(L45="","","D20"&amp;IF(装备数据!AR10&gt;0,"+","")&amp;IF(装备数据!AR10&lt;&gt;0,装备数据!AR10,""))</f>
        <v/>
      </c>
      <c r="AD45" s="676"/>
      <c r="AE45" s="677"/>
      <c r="AF45" s="43" t="str">
        <f>IF(AG45&gt;0,"+","")</f>
        <v/>
      </c>
      <c r="AG45" s="44"/>
      <c r="AH45" s="657"/>
      <c r="AI45" s="657"/>
      <c r="AJ45" s="658"/>
      <c r="AK45" s="45" t="str">
        <f>IF(AL45&gt;0,"+","")</f>
        <v/>
      </c>
      <c r="AL45" s="853"/>
      <c r="AM45" s="854"/>
      <c r="AN45" s="605"/>
      <c r="AO45" s="605"/>
      <c r="AP45" s="16"/>
      <c r="AQ45" s="46" t="s">
        <v>136</v>
      </c>
      <c r="AR45" s="550"/>
      <c r="AS45" s="552"/>
    </row>
    <row r="46" spans="1:69" ht="17" customHeight="1" x14ac:dyDescent="0.3">
      <c r="A46" s="16"/>
      <c r="C46" s="614" t="s">
        <v>137</v>
      </c>
      <c r="D46" s="656"/>
      <c r="E46" s="615"/>
      <c r="F46" s="637"/>
      <c r="G46" s="638"/>
      <c r="H46" s="10" t="s">
        <v>72</v>
      </c>
      <c r="I46" s="587">
        <v>2</v>
      </c>
      <c r="J46" s="588"/>
      <c r="K46" s="33"/>
      <c r="L46" s="595" t="s">
        <v>15</v>
      </c>
      <c r="M46" s="595"/>
      <c r="N46" s="15"/>
      <c r="O46" s="26" t="s">
        <v>108</v>
      </c>
      <c r="Q46" s="632" t="s">
        <v>109</v>
      </c>
      <c r="R46" s="632"/>
      <c r="S46" s="27"/>
      <c r="T46" s="13"/>
      <c r="U46" s="30"/>
      <c r="V46" s="632" t="s">
        <v>110</v>
      </c>
      <c r="W46" s="632"/>
      <c r="X46" s="632"/>
      <c r="Y46" s="632"/>
      <c r="Z46" s="30"/>
      <c r="AA46" s="582" t="s">
        <v>111</v>
      </c>
      <c r="AB46" s="582"/>
      <c r="AD46" s="52"/>
      <c r="AE46" s="52"/>
      <c r="AF46" s="52"/>
      <c r="AG46" s="52"/>
      <c r="AM46" s="52"/>
      <c r="AN46" s="52"/>
      <c r="AO46" s="52"/>
      <c r="AP46" s="52"/>
      <c r="AV46" s="627" t="s">
        <v>138</v>
      </c>
      <c r="AW46" s="627"/>
      <c r="AX46" s="627"/>
      <c r="AY46" s="627"/>
      <c r="AZ46" s="627"/>
      <c r="BA46" s="627"/>
      <c r="BB46" s="627"/>
      <c r="BC46" s="627"/>
      <c r="BD46" s="627"/>
      <c r="BE46" s="627"/>
      <c r="BF46" s="627"/>
      <c r="BG46" s="627"/>
      <c r="BH46" s="627"/>
      <c r="BI46" s="627"/>
      <c r="BJ46" s="627"/>
      <c r="BK46" s="627"/>
      <c r="BL46" s="627"/>
      <c r="BM46" s="627"/>
      <c r="BN46" s="627"/>
      <c r="BO46" s="627"/>
      <c r="BP46" s="627"/>
      <c r="BQ46" s="627"/>
    </row>
    <row r="47" spans="1:69" ht="17" customHeight="1" x14ac:dyDescent="0.3">
      <c r="A47" s="16"/>
      <c r="C47" s="614" t="s">
        <v>139</v>
      </c>
      <c r="D47" s="656"/>
      <c r="E47" s="615"/>
      <c r="F47" s="637">
        <v>2</v>
      </c>
      <c r="G47" s="638"/>
      <c r="H47" s="10" t="s">
        <v>72</v>
      </c>
      <c r="I47" s="587">
        <f>$R$17+IF(综合数据!R8=TRUE,$U$9,0)+F47</f>
        <v>6</v>
      </c>
      <c r="J47" s="588"/>
      <c r="K47" s="33"/>
      <c r="L47" s="606" t="s">
        <v>140</v>
      </c>
      <c r="M47" s="607"/>
      <c r="N47" s="10" t="s">
        <v>72</v>
      </c>
      <c r="O47" s="34"/>
      <c r="P47" s="663"/>
      <c r="Q47" s="663"/>
      <c r="R47" s="663"/>
      <c r="S47" s="663"/>
      <c r="T47" s="664"/>
      <c r="U47" s="621"/>
      <c r="V47" s="622"/>
      <c r="W47" s="622"/>
      <c r="X47" s="622"/>
      <c r="Y47" s="622"/>
      <c r="Z47" s="623"/>
      <c r="AA47" s="730"/>
      <c r="AB47" s="731"/>
      <c r="AD47" s="12"/>
      <c r="AE47" s="12"/>
      <c r="AF47" s="12"/>
      <c r="AG47" s="12"/>
      <c r="AH47" s="12"/>
      <c r="AI47" s="12"/>
      <c r="AJ47" s="12"/>
      <c r="AK47" s="627" t="s">
        <v>142</v>
      </c>
      <c r="AL47" s="627"/>
      <c r="AM47" s="826" t="str">
        <f>IF(SUMPRODUCT(--(AO52:AO60&gt;AR52:AR60)),"法术位超上限","")</f>
        <v/>
      </c>
      <c r="AN47" s="826"/>
      <c r="AO47" s="826"/>
      <c r="AP47" s="826"/>
      <c r="AQ47" s="826"/>
      <c r="AR47" s="826"/>
      <c r="AS47" s="12"/>
      <c r="AW47" s="680" t="s">
        <v>143</v>
      </c>
      <c r="AX47" s="680"/>
      <c r="AY47" s="680"/>
      <c r="AZ47" s="680"/>
      <c r="BA47" s="680"/>
      <c r="BB47" s="680"/>
      <c r="BC47" s="680"/>
      <c r="BD47" s="680"/>
      <c r="BE47" s="680"/>
      <c r="BF47" s="680"/>
      <c r="BG47" s="680"/>
      <c r="BH47" s="680"/>
      <c r="BI47" s="680"/>
      <c r="BJ47" s="680"/>
      <c r="BK47" s="680"/>
      <c r="BL47" s="680"/>
      <c r="BM47" s="680"/>
      <c r="BN47" s="680"/>
      <c r="BO47" s="680"/>
      <c r="BP47" s="680"/>
      <c r="BQ47" s="4"/>
    </row>
    <row r="48" spans="1:69" ht="17" customHeight="1" x14ac:dyDescent="0.3">
      <c r="A48" s="16"/>
      <c r="C48" s="614" t="s">
        <v>144</v>
      </c>
      <c r="D48" s="656"/>
      <c r="E48" s="615"/>
      <c r="F48" s="637"/>
      <c r="G48" s="638"/>
      <c r="H48" s="10" t="s">
        <v>72</v>
      </c>
      <c r="I48" s="587">
        <f>$R$17+IF(综合数据!R9=TRUE,$U$9,0)+F48</f>
        <v>4</v>
      </c>
      <c r="J48" s="588"/>
      <c r="K48" s="33"/>
      <c r="L48" s="606" t="s">
        <v>3778</v>
      </c>
      <c r="M48" s="607"/>
      <c r="N48" s="10" t="s">
        <v>72</v>
      </c>
      <c r="O48" s="53"/>
      <c r="P48" s="634"/>
      <c r="Q48" s="634"/>
      <c r="R48" s="634"/>
      <c r="S48" s="634"/>
      <c r="T48" s="635"/>
      <c r="U48" s="624" t="s">
        <v>117</v>
      </c>
      <c r="V48" s="625"/>
      <c r="W48" s="625"/>
      <c r="X48" s="625"/>
      <c r="Y48" s="625"/>
      <c r="Z48" s="626"/>
      <c r="AA48" s="724"/>
      <c r="AB48" s="725"/>
      <c r="AD48" s="710" t="s">
        <v>145</v>
      </c>
      <c r="AE48" s="710"/>
      <c r="AF48" s="710"/>
      <c r="AG48" s="710"/>
      <c r="AH48" s="582" t="s">
        <v>120</v>
      </c>
      <c r="AI48" s="582"/>
      <c r="AJ48" s="582"/>
      <c r="AK48" s="582" t="s">
        <v>121</v>
      </c>
      <c r="AL48" s="582"/>
      <c r="AM48" s="582"/>
      <c r="AO48" s="608" t="s">
        <v>146</v>
      </c>
      <c r="AP48" s="608"/>
      <c r="AQ48" s="608" t="s">
        <v>121</v>
      </c>
      <c r="AR48" s="608"/>
      <c r="AS48" s="608"/>
      <c r="AW48" s="4"/>
      <c r="AX48" s="596" t="s">
        <v>147</v>
      </c>
      <c r="AY48" s="596"/>
      <c r="BB48" s="596" t="s">
        <v>148</v>
      </c>
      <c r="BC48" s="596"/>
      <c r="BF48" s="596" t="s">
        <v>149</v>
      </c>
      <c r="BG48" s="596"/>
      <c r="BJ48" s="596" t="s">
        <v>150</v>
      </c>
      <c r="BK48" s="596"/>
      <c r="BN48" s="596" t="s">
        <v>151</v>
      </c>
      <c r="BO48" s="596"/>
      <c r="BQ48" s="4"/>
    </row>
    <row r="49" spans="1:69" ht="17" customHeight="1" x14ac:dyDescent="0.25">
      <c r="A49" s="16"/>
      <c r="C49" s="614" t="s">
        <v>152</v>
      </c>
      <c r="D49" s="656"/>
      <c r="E49" s="615"/>
      <c r="F49" s="637"/>
      <c r="G49" s="638"/>
      <c r="H49" s="10" t="s">
        <v>72</v>
      </c>
      <c r="I49" s="587">
        <f>$R$17+IF(综合数据!R10=TRUE,$U$9,0)+F49</f>
        <v>4</v>
      </c>
      <c r="J49" s="588"/>
      <c r="K49" s="33"/>
      <c r="L49" s="606" t="s">
        <v>3792</v>
      </c>
      <c r="M49" s="607"/>
      <c r="N49" s="10" t="s">
        <v>72</v>
      </c>
      <c r="O49" s="54"/>
      <c r="P49" s="663"/>
      <c r="Q49" s="663"/>
      <c r="R49" s="663"/>
      <c r="S49" s="663"/>
      <c r="T49" s="664"/>
      <c r="U49" s="621"/>
      <c r="V49" s="622"/>
      <c r="W49" s="622"/>
      <c r="X49" s="622"/>
      <c r="Y49" s="622"/>
      <c r="Z49" s="623"/>
      <c r="AA49" s="730"/>
      <c r="AB49" s="731"/>
      <c r="AC49" s="36"/>
      <c r="AD49" s="550" t="s">
        <v>8870</v>
      </c>
      <c r="AE49" s="551"/>
      <c r="AF49" s="552"/>
      <c r="AG49" s="10" t="s">
        <v>72</v>
      </c>
      <c r="AH49" s="675" t="str">
        <f>IF(AD49="","","D20"&amp;IF(法术数据!AU8&gt;0,"+","")&amp;IF(法术数据!AU8&lt;&gt;0,法术数据!AU8,""))</f>
        <v>D20+6</v>
      </c>
      <c r="AI49" s="676"/>
      <c r="AJ49" s="677"/>
      <c r="AK49" s="43" t="str">
        <f>IF(AL49&gt;0,"+","")</f>
        <v>+</v>
      </c>
      <c r="AL49" s="610" t="s">
        <v>8861</v>
      </c>
      <c r="AM49" s="611"/>
      <c r="AN49" s="10" t="s">
        <v>83</v>
      </c>
      <c r="AO49" s="776">
        <f>IF(AD49="","",8+法术数据!AU8)</f>
        <v>14</v>
      </c>
      <c r="AP49" s="790"/>
      <c r="AQ49" s="43" t="str">
        <f>IF(AR49&gt;0,"+","")</f>
        <v>+</v>
      </c>
      <c r="AR49" s="610" t="s">
        <v>8861</v>
      </c>
      <c r="AS49" s="611"/>
      <c r="AW49" s="4"/>
      <c r="AX49" s="596" t="s">
        <v>153</v>
      </c>
      <c r="AY49" s="596"/>
      <c r="BB49" s="596" t="s">
        <v>154</v>
      </c>
      <c r="BC49" s="596"/>
      <c r="BF49" s="596" t="s">
        <v>155</v>
      </c>
      <c r="BG49" s="596"/>
      <c r="BJ49" s="596" t="s">
        <v>156</v>
      </c>
      <c r="BK49" s="596"/>
      <c r="BN49" s="596" t="s">
        <v>157</v>
      </c>
      <c r="BO49" s="596"/>
      <c r="BQ49" s="4"/>
    </row>
    <row r="50" spans="1:69" ht="17" customHeight="1" x14ac:dyDescent="0.3">
      <c r="B50" s="27"/>
      <c r="C50" s="595" t="s">
        <v>158</v>
      </c>
      <c r="D50" s="595"/>
      <c r="E50" s="595"/>
      <c r="F50" s="27"/>
      <c r="G50" s="27"/>
      <c r="H50" s="36"/>
      <c r="I50" s="37"/>
      <c r="J50" s="37"/>
      <c r="K50" s="33"/>
      <c r="L50" s="606" t="s">
        <v>140</v>
      </c>
      <c r="M50" s="607"/>
      <c r="N50" s="10" t="s">
        <v>72</v>
      </c>
      <c r="O50" s="55"/>
      <c r="P50" s="634"/>
      <c r="Q50" s="634"/>
      <c r="R50" s="634"/>
      <c r="S50" s="634"/>
      <c r="T50" s="635"/>
      <c r="U50" s="624"/>
      <c r="V50" s="625"/>
      <c r="W50" s="625"/>
      <c r="X50" s="625"/>
      <c r="Y50" s="625"/>
      <c r="Z50" s="626"/>
      <c r="AA50" s="724"/>
      <c r="AB50" s="725"/>
      <c r="AC50" s="36"/>
      <c r="AD50" s="553"/>
      <c r="AE50" s="554"/>
      <c r="AF50" s="555"/>
      <c r="AG50" s="10" t="s">
        <v>72</v>
      </c>
      <c r="AH50" s="734" t="str">
        <f>IF(AD50="","","D20"&amp;IF(法术数据!AU9&gt;0,"+","")&amp;IF(法术数据!AU9&lt;&gt;0,法术数据!AU9,""))</f>
        <v/>
      </c>
      <c r="AI50" s="735"/>
      <c r="AJ50" s="736"/>
      <c r="AK50" s="56" t="str">
        <f>IF(AL50&gt;0,"+","")</f>
        <v/>
      </c>
      <c r="AL50" s="612"/>
      <c r="AM50" s="613"/>
      <c r="AN50" s="10" t="s">
        <v>83</v>
      </c>
      <c r="AO50" s="577" t="str">
        <f>IF(AD50="","",8+法术数据!AU9)</f>
        <v/>
      </c>
      <c r="AP50" s="847"/>
      <c r="AQ50" s="48" t="str">
        <f>IF(AR50&gt;0,"+","")</f>
        <v/>
      </c>
      <c r="AR50" s="612"/>
      <c r="AS50" s="613"/>
      <c r="AW50" s="4"/>
      <c r="AX50" s="596" t="s">
        <v>159</v>
      </c>
      <c r="AY50" s="596"/>
      <c r="BB50" s="596" t="s">
        <v>160</v>
      </c>
      <c r="BC50" s="596"/>
      <c r="BF50" s="596" t="s">
        <v>161</v>
      </c>
      <c r="BG50" s="596"/>
      <c r="BJ50" s="596" t="s">
        <v>162</v>
      </c>
      <c r="BK50" s="596"/>
      <c r="BQ50" s="4"/>
    </row>
    <row r="51" spans="1:69" ht="17" customHeight="1" x14ac:dyDescent="0.3">
      <c r="A51" s="16"/>
      <c r="C51" s="614" t="s">
        <v>163</v>
      </c>
      <c r="D51" s="656"/>
      <c r="E51" s="615"/>
      <c r="F51" s="637">
        <v>2</v>
      </c>
      <c r="G51" s="638"/>
      <c r="H51" s="10" t="s">
        <v>72</v>
      </c>
      <c r="I51" s="587">
        <v>4</v>
      </c>
      <c r="J51" s="588"/>
      <c r="K51" s="33"/>
      <c r="L51" s="606"/>
      <c r="M51" s="607"/>
      <c r="N51" s="10" t="s">
        <v>72</v>
      </c>
      <c r="O51" s="54"/>
      <c r="P51" s="663"/>
      <c r="Q51" s="663"/>
      <c r="R51" s="663"/>
      <c r="S51" s="663"/>
      <c r="T51" s="664"/>
      <c r="U51" s="621"/>
      <c r="V51" s="622"/>
      <c r="W51" s="622"/>
      <c r="X51" s="622"/>
      <c r="Y51" s="622"/>
      <c r="Z51" s="623"/>
      <c r="AA51" s="730"/>
      <c r="AB51" s="731"/>
      <c r="AC51" s="36"/>
      <c r="AD51" s="597" t="s">
        <v>164</v>
      </c>
      <c r="AE51" s="582" t="s">
        <v>165</v>
      </c>
      <c r="AF51" s="582"/>
      <c r="AG51" s="582"/>
      <c r="AI51" s="595"/>
      <c r="AJ51" s="595"/>
      <c r="AK51" s="595"/>
      <c r="AL51" s="39"/>
      <c r="AM51" s="688" t="s">
        <v>167</v>
      </c>
      <c r="AN51" s="688"/>
      <c r="AO51" s="688"/>
      <c r="AP51" s="688"/>
      <c r="AQ51" s="688"/>
      <c r="AR51" s="688"/>
      <c r="AS51" s="688"/>
      <c r="AT51" s="688"/>
      <c r="AV51" s="4"/>
      <c r="AW51" s="582" t="s">
        <v>168</v>
      </c>
      <c r="AX51" s="582"/>
      <c r="AY51" s="688" t="s">
        <v>169</v>
      </c>
      <c r="AZ51" s="688"/>
      <c r="BA51" s="688"/>
      <c r="BB51" s="688"/>
      <c r="BC51" s="688"/>
      <c r="BD51" s="688"/>
      <c r="BE51" s="688"/>
      <c r="BF51" s="688"/>
      <c r="BG51" s="688"/>
      <c r="BH51" s="688"/>
      <c r="BI51" s="688"/>
      <c r="BJ51" s="688"/>
      <c r="BK51" s="688"/>
      <c r="BL51" s="688"/>
      <c r="BM51" s="688"/>
      <c r="BN51" s="688"/>
      <c r="BO51" s="688"/>
      <c r="BP51" s="688"/>
      <c r="BQ51" s="4"/>
    </row>
    <row r="52" spans="1:69" ht="17" customHeight="1" x14ac:dyDescent="0.25">
      <c r="A52" s="16"/>
      <c r="C52" s="614" t="s">
        <v>170</v>
      </c>
      <c r="D52" s="656"/>
      <c r="E52" s="615"/>
      <c r="F52" s="637">
        <v>2</v>
      </c>
      <c r="G52" s="638"/>
      <c r="H52" s="10" t="s">
        <v>72</v>
      </c>
      <c r="I52" s="587">
        <v>6</v>
      </c>
      <c r="J52" s="588"/>
      <c r="K52" s="33"/>
      <c r="L52" s="606"/>
      <c r="M52" s="607"/>
      <c r="N52" s="10" t="s">
        <v>72</v>
      </c>
      <c r="O52" s="55"/>
      <c r="P52" s="634"/>
      <c r="Q52" s="634"/>
      <c r="R52" s="634"/>
      <c r="S52" s="634"/>
      <c r="T52" s="635"/>
      <c r="U52" s="624"/>
      <c r="V52" s="625"/>
      <c r="W52" s="625"/>
      <c r="X52" s="625"/>
      <c r="Y52" s="625"/>
      <c r="Z52" s="626"/>
      <c r="AA52" s="724"/>
      <c r="AB52" s="725"/>
      <c r="AC52" s="36"/>
      <c r="AD52" s="584"/>
      <c r="AE52" s="870" t="str">
        <f>IF(AI52="","",R4)</f>
        <v/>
      </c>
      <c r="AF52" s="870"/>
      <c r="AG52" s="870"/>
      <c r="AH52" s="10" t="s">
        <v>72</v>
      </c>
      <c r="AI52" s="789" t="str">
        <f>IFERROR(VLOOKUP(R4,法术数据!$AU$2:$AV$6,2,0),"")</f>
        <v/>
      </c>
      <c r="AJ52" s="789"/>
      <c r="AK52" s="789"/>
      <c r="AM52" s="646">
        <v>1</v>
      </c>
      <c r="AN52" s="647"/>
      <c r="AO52" s="585">
        <v>0</v>
      </c>
      <c r="AP52" s="586"/>
      <c r="AQ52" s="57" t="s">
        <v>83</v>
      </c>
      <c r="AR52" s="661">
        <f>IF(职业数据!AE22&gt;=3,4,IF(职业数据!AE22&gt;=2,3,IF(职业数据!AE22&gt;=1,2,0)))+IF(职业数据!AG12&lt;=2,职业数据!AG12)</f>
        <v>0</v>
      </c>
      <c r="AS52" s="662"/>
      <c r="AW52" s="726" t="s">
        <v>171</v>
      </c>
      <c r="AX52" s="726"/>
      <c r="AY52" s="58"/>
      <c r="AZ52" s="727" t="s">
        <v>26</v>
      </c>
      <c r="BA52" s="727"/>
      <c r="BB52" s="59"/>
      <c r="BC52" s="727" t="s">
        <v>27</v>
      </c>
      <c r="BD52" s="727"/>
      <c r="BE52" s="59"/>
      <c r="BF52" s="727" t="s">
        <v>28</v>
      </c>
      <c r="BG52" s="727"/>
      <c r="BH52" s="59"/>
      <c r="BI52" s="727" t="s">
        <v>29</v>
      </c>
      <c r="BJ52" s="727"/>
      <c r="BK52" s="59"/>
      <c r="BL52" s="727" t="s">
        <v>30</v>
      </c>
      <c r="BM52" s="727"/>
      <c r="BN52" s="59"/>
      <c r="BO52" s="727" t="s">
        <v>31</v>
      </c>
      <c r="BP52" s="772"/>
    </row>
    <row r="53" spans="1:69" ht="17" customHeight="1" x14ac:dyDescent="0.25">
      <c r="A53" s="16"/>
      <c r="C53" s="614" t="s">
        <v>172</v>
      </c>
      <c r="D53" s="656"/>
      <c r="E53" s="615"/>
      <c r="F53" s="637"/>
      <c r="G53" s="638"/>
      <c r="H53" s="10" t="s">
        <v>72</v>
      </c>
      <c r="I53" s="587">
        <v>6</v>
      </c>
      <c r="J53" s="588"/>
      <c r="K53" s="33"/>
      <c r="L53" s="606"/>
      <c r="M53" s="607"/>
      <c r="N53" s="10" t="s">
        <v>72</v>
      </c>
      <c r="O53" s="54"/>
      <c r="P53" s="663"/>
      <c r="Q53" s="663"/>
      <c r="R53" s="663"/>
      <c r="S53" s="663"/>
      <c r="T53" s="664"/>
      <c r="U53" s="621"/>
      <c r="V53" s="622"/>
      <c r="W53" s="622"/>
      <c r="X53" s="622"/>
      <c r="Y53" s="622"/>
      <c r="Z53" s="623"/>
      <c r="AA53" s="730"/>
      <c r="AB53" s="731"/>
      <c r="AC53" s="36"/>
      <c r="AD53" s="584"/>
      <c r="AE53" s="787"/>
      <c r="AF53" s="787"/>
      <c r="AG53" s="787"/>
      <c r="AH53" s="10" t="s">
        <v>72</v>
      </c>
      <c r="AI53" s="601" t="str">
        <f>IFERROR(VLOOKUP(R6,法术数据!$AU$2:$AV$6,2,0),"")</f>
        <v/>
      </c>
      <c r="AJ53" s="601"/>
      <c r="AK53" s="601"/>
      <c r="AM53" s="646">
        <v>2</v>
      </c>
      <c r="AN53" s="647">
        <v>0</v>
      </c>
      <c r="AO53" s="585">
        <v>0</v>
      </c>
      <c r="AP53" s="586" t="s">
        <v>83</v>
      </c>
      <c r="AQ53" s="57" t="s">
        <v>83</v>
      </c>
      <c r="AR53" s="661">
        <f>IF(职业数据!AE22&gt;=4,3,IF(职业数据!AE22&gt;=3,2,0))+IF(AND(职业数据!AG12&gt;=3,职业数据!AG12&lt;=4),2,0)</f>
        <v>0</v>
      </c>
      <c r="AS53" s="662"/>
      <c r="AW53" s="726" t="s">
        <v>173</v>
      </c>
      <c r="AX53" s="726"/>
      <c r="AY53" s="721"/>
      <c r="AZ53" s="721"/>
      <c r="BA53" s="721"/>
      <c r="BB53" s="721"/>
      <c r="BC53" s="721"/>
      <c r="BD53" s="721"/>
      <c r="BE53" s="721"/>
      <c r="BF53" s="721"/>
      <c r="BG53" s="721"/>
      <c r="BH53" s="721"/>
      <c r="BI53" s="721"/>
      <c r="BJ53" s="721"/>
      <c r="BK53" s="721"/>
      <c r="BL53" s="721"/>
      <c r="BM53" s="721"/>
      <c r="BN53" s="721"/>
      <c r="BO53" s="721"/>
      <c r="BP53" s="721"/>
    </row>
    <row r="54" spans="1:69" ht="17" customHeight="1" x14ac:dyDescent="0.25">
      <c r="A54" s="16"/>
      <c r="C54" s="614" t="s">
        <v>174</v>
      </c>
      <c r="D54" s="656"/>
      <c r="E54" s="615"/>
      <c r="F54" s="637"/>
      <c r="G54" s="638"/>
      <c r="H54" s="10" t="s">
        <v>72</v>
      </c>
      <c r="I54" s="587">
        <v>6</v>
      </c>
      <c r="J54" s="588"/>
      <c r="K54" s="33"/>
      <c r="L54" s="606"/>
      <c r="M54" s="607"/>
      <c r="N54" s="10" t="s">
        <v>72</v>
      </c>
      <c r="O54" s="55"/>
      <c r="P54" s="634"/>
      <c r="Q54" s="634"/>
      <c r="R54" s="634"/>
      <c r="S54" s="634"/>
      <c r="T54" s="635"/>
      <c r="U54" s="624"/>
      <c r="V54" s="625"/>
      <c r="W54" s="625"/>
      <c r="X54" s="625"/>
      <c r="Y54" s="625"/>
      <c r="Z54" s="626"/>
      <c r="AA54" s="724"/>
      <c r="AB54" s="725"/>
      <c r="AC54" s="36"/>
      <c r="AD54" s="584"/>
      <c r="AE54" s="870" t="str">
        <f>IF(AI54="","",R7)</f>
        <v/>
      </c>
      <c r="AF54" s="870"/>
      <c r="AG54" s="870"/>
      <c r="AH54" s="10" t="s">
        <v>72</v>
      </c>
      <c r="AI54" s="789" t="str">
        <f>IFERROR(VLOOKUP(R7,法术数据!$AU$2:$AV$6,2,0),"")</f>
        <v/>
      </c>
      <c r="AJ54" s="789"/>
      <c r="AK54" s="789"/>
      <c r="AL54" s="10"/>
      <c r="AM54" s="646">
        <v>3</v>
      </c>
      <c r="AN54" s="647">
        <v>0</v>
      </c>
      <c r="AO54" s="585">
        <v>0</v>
      </c>
      <c r="AP54" s="586" t="s">
        <v>83</v>
      </c>
      <c r="AQ54" s="57" t="s">
        <v>83</v>
      </c>
      <c r="AR54" s="661">
        <f>IF(职业数据!AE22&gt;=6,3,IF(职业数据!AE22&gt;=5,2,0))+IF(AND(职业数据!AG12&gt;=5,职业数据!AG12&lt;=6),2,0)</f>
        <v>0</v>
      </c>
      <c r="AS54" s="662"/>
      <c r="AW54" s="614" t="s">
        <v>175</v>
      </c>
      <c r="AX54" s="615"/>
      <c r="AY54" s="939"/>
      <c r="AZ54" s="939"/>
      <c r="BA54" s="939"/>
      <c r="BB54" s="939"/>
      <c r="BC54" s="939"/>
      <c r="BD54" s="939"/>
      <c r="BE54" s="939"/>
      <c r="BF54" s="939"/>
      <c r="BG54" s="939"/>
      <c r="BH54" s="939"/>
      <c r="BI54" s="939"/>
      <c r="BJ54" s="939"/>
      <c r="BK54" s="939"/>
      <c r="BL54" s="939"/>
      <c r="BM54" s="939"/>
      <c r="BN54" s="939"/>
      <c r="BO54" s="939"/>
      <c r="BP54" s="939"/>
    </row>
    <row r="55" spans="1:69" ht="17" customHeight="1" x14ac:dyDescent="0.3">
      <c r="A55" s="16"/>
      <c r="C55" s="614" t="s">
        <v>176</v>
      </c>
      <c r="D55" s="656"/>
      <c r="E55" s="615"/>
      <c r="F55" s="637">
        <v>2</v>
      </c>
      <c r="G55" s="638"/>
      <c r="H55" s="10" t="s">
        <v>72</v>
      </c>
      <c r="I55" s="587">
        <v>4</v>
      </c>
      <c r="J55" s="588"/>
      <c r="K55" s="33"/>
      <c r="L55" s="686"/>
      <c r="M55" s="687"/>
      <c r="N55" s="10" t="s">
        <v>72</v>
      </c>
      <c r="O55" s="60"/>
      <c r="P55" s="663"/>
      <c r="Q55" s="663"/>
      <c r="R55" s="663"/>
      <c r="S55" s="663"/>
      <c r="T55" s="664"/>
      <c r="U55" s="621"/>
      <c r="V55" s="622"/>
      <c r="W55" s="622"/>
      <c r="X55" s="622"/>
      <c r="Y55" s="622"/>
      <c r="Z55" s="623"/>
      <c r="AA55" s="730"/>
      <c r="AB55" s="731"/>
      <c r="AC55" s="36"/>
      <c r="AE55" s="582" t="s">
        <v>177</v>
      </c>
      <c r="AF55" s="582"/>
      <c r="AG55" s="582"/>
      <c r="AH55" s="582"/>
      <c r="AI55" s="582"/>
      <c r="AJ55" s="582"/>
      <c r="AK55" s="61" t="s">
        <v>125</v>
      </c>
      <c r="AL55" s="62"/>
      <c r="AM55" s="646">
        <v>4</v>
      </c>
      <c r="AN55" s="647">
        <v>0</v>
      </c>
      <c r="AO55" s="585">
        <v>0</v>
      </c>
      <c r="AP55" s="586" t="s">
        <v>83</v>
      </c>
      <c r="AQ55" s="57" t="s">
        <v>83</v>
      </c>
      <c r="AR55" s="661">
        <f>IF(职业数据!AE22&gt;=9,3,IF(职业数据!AE22&gt;=8,2,IF(职业数据!AE22&gt;=7,1,0)))+IF(AND(职业数据!AG12&gt;=7,职业数据!AG12&lt;=8),2,0)</f>
        <v>0</v>
      </c>
      <c r="AS55" s="662"/>
      <c r="AV55" s="4"/>
      <c r="AW55" s="614" t="s">
        <v>178</v>
      </c>
      <c r="AX55" s="615"/>
      <c r="AY55" s="721"/>
      <c r="AZ55" s="721"/>
      <c r="BA55" s="721"/>
      <c r="BB55" s="721"/>
      <c r="BC55" s="721"/>
      <c r="BD55" s="721"/>
      <c r="BE55" s="721"/>
      <c r="BF55" s="721"/>
      <c r="BG55" s="721"/>
      <c r="BH55" s="721"/>
      <c r="BI55" s="721"/>
      <c r="BJ55" s="721"/>
      <c r="BK55" s="721"/>
      <c r="BL55" s="721"/>
      <c r="BM55" s="721"/>
      <c r="BN55" s="721"/>
      <c r="BO55" s="721"/>
      <c r="BP55" s="721"/>
    </row>
    <row r="56" spans="1:69" ht="17" customHeight="1" x14ac:dyDescent="0.3">
      <c r="B56" s="27"/>
      <c r="C56" s="595" t="s">
        <v>179</v>
      </c>
      <c r="D56" s="595"/>
      <c r="E56" s="595"/>
      <c r="F56" s="27"/>
      <c r="G56" s="27"/>
      <c r="H56" s="36"/>
      <c r="I56" s="37"/>
      <c r="J56" s="37"/>
      <c r="L56" s="761" t="s">
        <v>180</v>
      </c>
      <c r="M56" s="762"/>
      <c r="N56" s="762"/>
      <c r="O56" s="868">
        <v>15</v>
      </c>
      <c r="P56" s="869"/>
      <c r="Q56" s="6"/>
      <c r="R56" s="680" t="s">
        <v>181</v>
      </c>
      <c r="S56" s="680"/>
      <c r="T56" s="680"/>
      <c r="U56" s="680"/>
      <c r="V56" s="680"/>
      <c r="W56" s="680"/>
      <c r="X56" s="6"/>
      <c r="Y56" s="6"/>
      <c r="Z56" s="6"/>
      <c r="AA56" s="6"/>
      <c r="AB56" s="6"/>
      <c r="AC56" s="6"/>
      <c r="AE56" s="743" t="s">
        <v>182</v>
      </c>
      <c r="AF56" s="744"/>
      <c r="AG56" s="550"/>
      <c r="AH56" s="551"/>
      <c r="AI56" s="551"/>
      <c r="AJ56" s="551"/>
      <c r="AK56" s="552"/>
      <c r="AL56" s="10"/>
      <c r="AM56" s="646">
        <v>5</v>
      </c>
      <c r="AN56" s="647">
        <v>0</v>
      </c>
      <c r="AO56" s="585">
        <v>0</v>
      </c>
      <c r="AP56" s="586" t="s">
        <v>83</v>
      </c>
      <c r="AQ56" s="57" t="s">
        <v>83</v>
      </c>
      <c r="AR56" s="661">
        <f>IF(职业数据!AE22&gt;=18,3,IF(职业数据!AE22&gt;=10,2,IF(职业数据!AE22&gt;=9,1,0)))+IF(职业数据!AG12&gt;=17,4,IF(职业数据!AG12&gt;=11,3,IF(职业数据!AG12&gt;=9,2,0)))</f>
        <v>0</v>
      </c>
      <c r="AS56" s="662"/>
      <c r="AU56" s="4"/>
      <c r="AY56" s="608" t="s">
        <v>65</v>
      </c>
      <c r="AZ56" s="608"/>
      <c r="BB56" s="710" t="s">
        <v>66</v>
      </c>
      <c r="BC56" s="710"/>
      <c r="BD56" s="710" t="s">
        <v>67</v>
      </c>
      <c r="BE56" s="710"/>
      <c r="BG56" s="608" t="s">
        <v>69</v>
      </c>
      <c r="BH56" s="608"/>
      <c r="BI56" s="4"/>
      <c r="BJ56" s="749" t="s">
        <v>183</v>
      </c>
      <c r="BK56" s="749"/>
      <c r="BL56" s="749"/>
      <c r="BM56" s="749"/>
      <c r="BN56" s="749"/>
      <c r="BO56" s="749"/>
      <c r="BP56" s="749"/>
    </row>
    <row r="57" spans="1:69" ht="17" customHeight="1" x14ac:dyDescent="0.25">
      <c r="A57" s="16"/>
      <c r="C57" s="614" t="s">
        <v>184</v>
      </c>
      <c r="D57" s="656"/>
      <c r="E57" s="615"/>
      <c r="F57" s="637"/>
      <c r="G57" s="638"/>
      <c r="H57" s="10" t="s">
        <v>72</v>
      </c>
      <c r="I57" s="587">
        <f>$R$19+IF(综合数据!R16=TRUE,$U$9,0)+F57</f>
        <v>0</v>
      </c>
      <c r="J57" s="588"/>
      <c r="L57" s="520" t="s">
        <v>104</v>
      </c>
      <c r="M57" s="521"/>
      <c r="N57" s="522"/>
      <c r="O57" s="520" t="s">
        <v>185</v>
      </c>
      <c r="P57" s="521"/>
      <c r="Q57" s="522"/>
      <c r="R57" s="520" t="s">
        <v>186</v>
      </c>
      <c r="S57" s="521"/>
      <c r="T57" s="522"/>
      <c r="U57" s="681" t="s">
        <v>72</v>
      </c>
      <c r="V57" s="520" t="s">
        <v>187</v>
      </c>
      <c r="W57" s="521"/>
      <c r="X57" s="521"/>
      <c r="Y57" s="522"/>
      <c r="Z57" s="681" t="s">
        <v>62</v>
      </c>
      <c r="AA57" s="520">
        <v>2</v>
      </c>
      <c r="AB57" s="521"/>
      <c r="AC57" s="522"/>
      <c r="AD57" s="681" t="s">
        <v>62</v>
      </c>
      <c r="AE57" s="719" t="s">
        <v>188</v>
      </c>
      <c r="AF57" s="720"/>
      <c r="AG57" s="553"/>
      <c r="AH57" s="554"/>
      <c r="AI57" s="554"/>
      <c r="AJ57" s="554"/>
      <c r="AK57" s="555"/>
      <c r="AL57" s="10"/>
      <c r="AM57" s="646">
        <v>6</v>
      </c>
      <c r="AN57" s="647">
        <v>1</v>
      </c>
      <c r="AO57" s="585">
        <v>0</v>
      </c>
      <c r="AP57" s="586" t="s">
        <v>83</v>
      </c>
      <c r="AQ57" s="57" t="s">
        <v>83</v>
      </c>
      <c r="AR57" s="661">
        <f>IF(职业数据!AE22&gt;=19,2,IF(职业数据!AE22&gt;=11,1,0))</f>
        <v>0</v>
      </c>
      <c r="AS57" s="662"/>
      <c r="AU57" s="63"/>
      <c r="AW57" s="599" t="s">
        <v>189</v>
      </c>
      <c r="AX57" s="600"/>
      <c r="AY57" s="928">
        <f>SUM(BB57:BE57)</f>
        <v>8</v>
      </c>
      <c r="AZ57" s="929"/>
      <c r="BA57" s="64" t="s">
        <v>62</v>
      </c>
      <c r="BB57" s="633">
        <v>8</v>
      </c>
      <c r="BC57" s="633"/>
      <c r="BD57" s="633"/>
      <c r="BE57" s="633"/>
      <c r="BF57" s="65" t="s">
        <v>72</v>
      </c>
      <c r="BG57" s="773">
        <f>INT(AY57/2-5)</f>
        <v>-1</v>
      </c>
      <c r="BH57" s="774"/>
      <c r="BI57" s="4"/>
      <c r="BK57" s="596" t="s">
        <v>190</v>
      </c>
      <c r="BL57" s="596"/>
      <c r="BO57" s="596" t="s">
        <v>191</v>
      </c>
      <c r="BP57" s="596"/>
    </row>
    <row r="58" spans="1:69" ht="17" customHeight="1" x14ac:dyDescent="0.25">
      <c r="A58" s="16"/>
      <c r="C58" s="614" t="s">
        <v>192</v>
      </c>
      <c r="D58" s="656"/>
      <c r="E58" s="615"/>
      <c r="F58" s="637"/>
      <c r="G58" s="638"/>
      <c r="H58" s="10" t="s">
        <v>72</v>
      </c>
      <c r="I58" s="587">
        <f>$R$19+IF(综合数据!R17=TRUE,$U$9,0)+F58</f>
        <v>0</v>
      </c>
      <c r="J58" s="588"/>
      <c r="L58" s="602">
        <f>SUM(AA47:AB55,Y41:Z45,Y39,AR39,IF(综合数据!R20=TRUE,装备数据!AD1,0))</f>
        <v>1</v>
      </c>
      <c r="M58" s="645"/>
      <c r="N58" s="604"/>
      <c r="O58" s="602">
        <f>背包!V3</f>
        <v>5</v>
      </c>
      <c r="P58" s="603"/>
      <c r="Q58" s="604"/>
      <c r="R58" s="602">
        <f>背包!AS3</f>
        <v>1</v>
      </c>
      <c r="S58" s="645"/>
      <c r="T58" s="604"/>
      <c r="U58" s="681"/>
      <c r="V58" s="822">
        <f>SUM(L58:T58)+AA58+AA60</f>
        <v>58.4</v>
      </c>
      <c r="W58" s="823"/>
      <c r="X58" s="823"/>
      <c r="Y58" s="824"/>
      <c r="Z58" s="681"/>
      <c r="AA58" s="602">
        <f>IF(综合数据!R21=TRUE,SUM(AG56:AK60)/50,0)</f>
        <v>51.4</v>
      </c>
      <c r="AB58" s="645"/>
      <c r="AC58" s="604"/>
      <c r="AD58" s="681"/>
      <c r="AE58" s="911" t="s">
        <v>193</v>
      </c>
      <c r="AF58" s="912"/>
      <c r="AG58" s="550">
        <v>2570</v>
      </c>
      <c r="AH58" s="551"/>
      <c r="AI58" s="551"/>
      <c r="AJ58" s="551"/>
      <c r="AK58" s="552"/>
      <c r="AL58" s="10"/>
      <c r="AM58" s="646">
        <v>7</v>
      </c>
      <c r="AN58" s="647">
        <v>0</v>
      </c>
      <c r="AO58" s="585">
        <v>0</v>
      </c>
      <c r="AP58" s="586" t="s">
        <v>83</v>
      </c>
      <c r="AQ58" s="57" t="s">
        <v>83</v>
      </c>
      <c r="AR58" s="661">
        <f>IF(职业数据!AE22&gt;=20,2,IF(职业数据!AE22&gt;=13,1,0))</f>
        <v>0</v>
      </c>
      <c r="AS58" s="662"/>
      <c r="AU58" s="63"/>
      <c r="AW58" s="726" t="s">
        <v>194</v>
      </c>
      <c r="AX58" s="726"/>
      <c r="AY58" s="679">
        <f>SUM(BB58:BE58)</f>
        <v>8</v>
      </c>
      <c r="AZ58" s="679"/>
      <c r="BA58" s="64" t="s">
        <v>62</v>
      </c>
      <c r="BB58" s="633">
        <v>8</v>
      </c>
      <c r="BC58" s="633"/>
      <c r="BD58" s="633"/>
      <c r="BE58" s="633"/>
      <c r="BF58" s="65" t="s">
        <v>72</v>
      </c>
      <c r="BG58" s="763">
        <f>INT(AY58/2-5)</f>
        <v>-1</v>
      </c>
      <c r="BH58" s="763"/>
      <c r="BI58" s="4"/>
      <c r="BK58" s="596" t="s">
        <v>195</v>
      </c>
      <c r="BL58" s="596"/>
    </row>
    <row r="59" spans="1:69" ht="17" customHeight="1" x14ac:dyDescent="0.25">
      <c r="A59" s="16"/>
      <c r="C59" s="614" t="s">
        <v>196</v>
      </c>
      <c r="D59" s="656"/>
      <c r="E59" s="615"/>
      <c r="F59" s="637"/>
      <c r="G59" s="638"/>
      <c r="H59" s="10" t="s">
        <v>72</v>
      </c>
      <c r="I59" s="587">
        <f>$R$19+IF(综合数据!R18=TRUE,$U$9,0)+F59</f>
        <v>0</v>
      </c>
      <c r="J59" s="588"/>
      <c r="L59" s="520" t="s">
        <v>197</v>
      </c>
      <c r="M59" s="521"/>
      <c r="N59" s="521"/>
      <c r="O59" s="521"/>
      <c r="P59" s="66" t="s">
        <v>83</v>
      </c>
      <c r="Q59" s="522" t="s">
        <v>198</v>
      </c>
      <c r="R59" s="775"/>
      <c r="S59" s="775"/>
      <c r="T59" s="775"/>
      <c r="V59" s="520" t="s">
        <v>168</v>
      </c>
      <c r="W59" s="521"/>
      <c r="X59" s="521"/>
      <c r="Y59" s="522"/>
      <c r="AA59" s="520" t="s">
        <v>199</v>
      </c>
      <c r="AB59" s="521"/>
      <c r="AC59" s="522"/>
      <c r="AE59" s="922" t="s">
        <v>200</v>
      </c>
      <c r="AF59" s="923"/>
      <c r="AG59" s="553"/>
      <c r="AH59" s="554"/>
      <c r="AI59" s="554"/>
      <c r="AJ59" s="554"/>
      <c r="AK59" s="555"/>
      <c r="AL59" s="10"/>
      <c r="AM59" s="646">
        <v>8</v>
      </c>
      <c r="AN59" s="647">
        <v>1</v>
      </c>
      <c r="AO59" s="585">
        <v>0</v>
      </c>
      <c r="AP59" s="586" t="s">
        <v>83</v>
      </c>
      <c r="AQ59" s="57" t="s">
        <v>83</v>
      </c>
      <c r="AR59" s="661">
        <f>IF(职业数据!AE22&gt;=15,1,0)</f>
        <v>0</v>
      </c>
      <c r="AS59" s="662"/>
      <c r="AU59" s="63"/>
    </row>
    <row r="60" spans="1:69" ht="17" customHeight="1" x14ac:dyDescent="0.25">
      <c r="A60" s="16"/>
      <c r="C60" s="614" t="s">
        <v>201</v>
      </c>
      <c r="D60" s="656"/>
      <c r="E60" s="615"/>
      <c r="F60" s="637"/>
      <c r="G60" s="638"/>
      <c r="H60" s="10" t="s">
        <v>72</v>
      </c>
      <c r="I60" s="587">
        <f>$R$19+IF(综合数据!R19=TRUE,$U$9,0)+F60</f>
        <v>0</v>
      </c>
      <c r="J60" s="588"/>
      <c r="K60" s="67"/>
      <c r="L60" s="602">
        <f>F14*O56*IF(OR(种族数据!V3=种族数据!A12,种族数据!V3=种族数据!A13,种族数据!V4=种族数据!B18,种族数据!V3=种族数据!A20,种族数据!V3=种族数据!A25,COUNTIF(职业数据!$BG$2:$BG$44,职业数据!B44)),2,1)</f>
        <v>120</v>
      </c>
      <c r="M60" s="645"/>
      <c r="N60" s="645"/>
      <c r="O60" s="645"/>
      <c r="P60" s="68" t="s">
        <v>83</v>
      </c>
      <c r="Q60" s="604">
        <f>L60*2</f>
        <v>240</v>
      </c>
      <c r="R60" s="913"/>
      <c r="S60" s="913"/>
      <c r="T60" s="913"/>
      <c r="V60" s="822" t="str">
        <f>IF(V58&gt;Q60,"超载",IF(V58&gt;L60,"重载","轻载"))</f>
        <v>轻载</v>
      </c>
      <c r="W60" s="823"/>
      <c r="X60" s="823"/>
      <c r="Y60" s="824"/>
      <c r="AA60" s="602">
        <f>IF(背包!B27="无效",0,15)+IF(背包!Y27="无效",0,5)</f>
        <v>0</v>
      </c>
      <c r="AB60" s="645"/>
      <c r="AC60" s="604"/>
      <c r="AD60" s="67"/>
      <c r="AE60" s="649" t="s">
        <v>202</v>
      </c>
      <c r="AF60" s="650"/>
      <c r="AG60" s="550"/>
      <c r="AH60" s="551"/>
      <c r="AI60" s="551"/>
      <c r="AJ60" s="551"/>
      <c r="AK60" s="552"/>
      <c r="AL60" s="10"/>
      <c r="AM60" s="646">
        <v>9</v>
      </c>
      <c r="AN60" s="647">
        <v>0</v>
      </c>
      <c r="AO60" s="585">
        <v>0</v>
      </c>
      <c r="AP60" s="586" t="s">
        <v>83</v>
      </c>
      <c r="AQ60" s="57" t="s">
        <v>83</v>
      </c>
      <c r="AR60" s="661">
        <f>IF(职业数据!AE22&gt;=17,1,0)</f>
        <v>0</v>
      </c>
      <c r="AS60" s="662"/>
      <c r="AU60" s="63"/>
      <c r="AV60" s="627" t="s">
        <v>203</v>
      </c>
      <c r="AW60" s="627"/>
      <c r="AX60" s="627"/>
      <c r="AY60" s="627"/>
      <c r="AZ60" s="627"/>
      <c r="BA60" s="627"/>
      <c r="BB60" s="627"/>
      <c r="BC60" s="627"/>
      <c r="BD60" s="627"/>
      <c r="BE60" s="627"/>
      <c r="BF60" s="627"/>
      <c r="BG60" s="627"/>
      <c r="BH60" s="627"/>
      <c r="BI60" s="627"/>
      <c r="BJ60" s="627"/>
      <c r="BK60" s="627"/>
      <c r="BL60" s="627"/>
      <c r="BM60" s="627"/>
      <c r="BN60" s="627"/>
      <c r="BO60" s="627"/>
      <c r="BP60" s="627"/>
      <c r="BQ60" s="627"/>
    </row>
    <row r="61" spans="1:69" ht="17" customHeight="1" x14ac:dyDescent="0.3">
      <c r="B61" s="608" t="s">
        <v>204</v>
      </c>
      <c r="C61" s="608"/>
      <c r="D61" s="608"/>
      <c r="E61" s="608"/>
      <c r="F61" s="608"/>
      <c r="G61" s="608"/>
      <c r="H61" s="608"/>
      <c r="I61" s="608"/>
      <c r="J61" s="608"/>
      <c r="K61" s="608"/>
      <c r="L61" s="608"/>
      <c r="N61" s="632" t="s">
        <v>111</v>
      </c>
      <c r="O61" s="632"/>
      <c r="P61" s="632"/>
      <c r="Q61" s="632" t="s">
        <v>205</v>
      </c>
      <c r="R61" s="632"/>
      <c r="S61" s="632"/>
      <c r="T61" s="632"/>
      <c r="U61" s="632"/>
      <c r="V61" s="632"/>
      <c r="W61" s="688" t="s">
        <v>206</v>
      </c>
      <c r="X61" s="688"/>
      <c r="Y61" s="688"/>
      <c r="Z61" s="688"/>
      <c r="AA61" s="688"/>
      <c r="AB61" s="688"/>
      <c r="AC61" s="688" t="s">
        <v>207</v>
      </c>
      <c r="AD61" s="688"/>
      <c r="AE61" s="688"/>
      <c r="AF61" s="688"/>
      <c r="AG61" s="688"/>
      <c r="AH61" s="688"/>
      <c r="AI61" s="680" t="s">
        <v>208</v>
      </c>
      <c r="AJ61" s="680"/>
      <c r="AK61" s="680"/>
      <c r="AL61" s="680"/>
      <c r="AM61" s="680"/>
      <c r="AN61" s="680"/>
      <c r="AO61" s="688" t="s">
        <v>209</v>
      </c>
      <c r="AP61" s="688"/>
      <c r="AQ61" s="688"/>
      <c r="AR61" s="688"/>
      <c r="AS61" s="688"/>
      <c r="AT61" s="688"/>
      <c r="AV61" s="69"/>
      <c r="AW61" s="69"/>
      <c r="AX61" s="69"/>
      <c r="AY61" s="69"/>
      <c r="AZ61" s="69"/>
      <c r="BA61" s="69"/>
      <c r="BB61" s="69"/>
      <c r="BC61" s="69"/>
      <c r="BD61" s="69"/>
      <c r="BE61" s="69"/>
      <c r="BF61" s="69"/>
      <c r="BG61" s="69"/>
      <c r="BH61" s="69"/>
      <c r="BI61" s="69"/>
      <c r="BJ61" s="69"/>
      <c r="BK61" s="69"/>
      <c r="BL61" s="69"/>
      <c r="BM61" s="69"/>
      <c r="BN61" s="69"/>
      <c r="BO61" s="69"/>
      <c r="BP61" s="69"/>
      <c r="BQ61" s="69"/>
    </row>
    <row r="62" spans="1:69" ht="17" customHeight="1" x14ac:dyDescent="0.25">
      <c r="B62" s="637"/>
      <c r="C62" s="907"/>
      <c r="D62" s="907"/>
      <c r="E62" s="907"/>
      <c r="F62" s="907"/>
      <c r="G62" s="638"/>
      <c r="H62" s="658" t="s">
        <v>208</v>
      </c>
      <c r="I62" s="857"/>
      <c r="J62" s="857"/>
      <c r="K62" s="857"/>
      <c r="L62" s="858"/>
      <c r="M62" s="10" t="s">
        <v>72</v>
      </c>
      <c r="N62" s="792">
        <f>B62/50</f>
        <v>0</v>
      </c>
      <c r="O62" s="793"/>
      <c r="P62" s="794"/>
      <c r="Q62" s="792">
        <f>综合数据!P21*100</f>
        <v>0</v>
      </c>
      <c r="R62" s="793"/>
      <c r="S62" s="793"/>
      <c r="T62" s="793"/>
      <c r="U62" s="793"/>
      <c r="V62" s="794"/>
      <c r="W62" s="792">
        <f>综合数据!P21*10</f>
        <v>0</v>
      </c>
      <c r="X62" s="793"/>
      <c r="Y62" s="793"/>
      <c r="Z62" s="793"/>
      <c r="AA62" s="793"/>
      <c r="AB62" s="794"/>
      <c r="AC62" s="792">
        <f>综合数据!P21*2</f>
        <v>0</v>
      </c>
      <c r="AD62" s="793"/>
      <c r="AE62" s="793"/>
      <c r="AF62" s="793"/>
      <c r="AG62" s="793"/>
      <c r="AH62" s="794"/>
      <c r="AI62" s="792">
        <f>综合数据!P21</f>
        <v>0</v>
      </c>
      <c r="AJ62" s="793"/>
      <c r="AK62" s="793"/>
      <c r="AL62" s="793"/>
      <c r="AM62" s="793"/>
      <c r="AN62" s="794"/>
      <c r="AO62" s="792">
        <f>综合数据!P21/10</f>
        <v>0</v>
      </c>
      <c r="AP62" s="793"/>
      <c r="AQ62" s="793"/>
      <c r="AR62" s="793"/>
      <c r="AS62" s="793"/>
      <c r="AT62" s="794"/>
      <c r="AW62" s="520" t="s">
        <v>210</v>
      </c>
      <c r="AX62" s="522"/>
      <c r="AY62" s="550"/>
      <c r="AZ62" s="551"/>
      <c r="BA62" s="551"/>
      <c r="BB62" s="551"/>
      <c r="BC62" s="551"/>
      <c r="BD62" s="551"/>
      <c r="BE62" s="551"/>
      <c r="BF62" s="552"/>
      <c r="BG62" s="520" t="s">
        <v>38</v>
      </c>
      <c r="BH62" s="522"/>
      <c r="BI62" s="550"/>
      <c r="BJ62" s="551"/>
      <c r="BK62" s="551"/>
      <c r="BL62" s="551"/>
      <c r="BM62" s="551"/>
      <c r="BN62" s="551"/>
      <c r="BO62" s="551"/>
      <c r="BP62" s="552"/>
    </row>
    <row r="63" spans="1:69" ht="17" customHeight="1" x14ac:dyDescent="0.25">
      <c r="AE63" s="816"/>
      <c r="AF63" s="816"/>
      <c r="AG63" s="816"/>
      <c r="AH63" s="816"/>
      <c r="AI63" s="817"/>
      <c r="AJ63" s="817"/>
      <c r="AK63" s="817"/>
      <c r="AP63" s="11"/>
      <c r="AQ63" s="11"/>
      <c r="AR63" s="11"/>
      <c r="AS63" s="11"/>
      <c r="AT63" s="11"/>
      <c r="AW63" s="775" t="s">
        <v>97</v>
      </c>
      <c r="AX63" s="775"/>
      <c r="AY63" s="698"/>
      <c r="AZ63" s="698"/>
      <c r="BA63" s="698"/>
      <c r="BB63" s="698"/>
      <c r="BC63" s="775" t="s">
        <v>211</v>
      </c>
      <c r="BD63" s="775"/>
      <c r="BE63" s="598"/>
      <c r="BF63" s="598"/>
      <c r="BG63" s="598"/>
      <c r="BH63" s="598"/>
      <c r="BI63" s="598"/>
      <c r="BJ63" s="775" t="s">
        <v>54</v>
      </c>
      <c r="BK63" s="775"/>
      <c r="BL63" s="930"/>
      <c r="BM63" s="931"/>
      <c r="BN63" s="931"/>
      <c r="BO63" s="931"/>
      <c r="BP63" s="932"/>
    </row>
    <row r="64" spans="1:69" ht="17" customHeight="1" x14ac:dyDescent="0.3">
      <c r="B64" s="12"/>
      <c r="C64" s="580" t="str">
        <f>IF(法术数据!AO47&gt;1,"有重复法术","")</f>
        <v/>
      </c>
      <c r="D64" s="580"/>
      <c r="E64" s="580"/>
      <c r="F64" s="580"/>
      <c r="G64" s="580"/>
      <c r="H64" s="12"/>
      <c r="I64" s="627" t="s">
        <v>212</v>
      </c>
      <c r="J64" s="627"/>
      <c r="K64" s="627"/>
      <c r="L64" s="627"/>
      <c r="M64" s="627"/>
      <c r="N64" s="627"/>
      <c r="O64" s="12"/>
      <c r="P64" s="788" t="str">
        <f>IF(法术数据!AQ47=0,"","有"&amp;法术数据!AQ47&amp;"个法术需要专注")</f>
        <v/>
      </c>
      <c r="Q64" s="788"/>
      <c r="R64" s="788"/>
      <c r="S64" s="788"/>
      <c r="T64" s="788"/>
      <c r="U64" s="788"/>
      <c r="W64" s="12"/>
      <c r="X64" s="788" t="s">
        <v>213</v>
      </c>
      <c r="Y64" s="788"/>
      <c r="Z64" s="12"/>
      <c r="AA64" s="12"/>
      <c r="AB64" s="12"/>
      <c r="AC64" s="12"/>
      <c r="AD64" s="12"/>
      <c r="AE64" s="627" t="s">
        <v>214</v>
      </c>
      <c r="AF64" s="627"/>
      <c r="AG64" s="627"/>
      <c r="AH64" s="627"/>
      <c r="AI64" s="627"/>
      <c r="AJ64" s="627"/>
      <c r="AK64" s="627"/>
      <c r="AL64" s="12"/>
      <c r="AM64" s="12"/>
      <c r="AN64" s="12"/>
      <c r="AO64" s="12"/>
      <c r="AP64" s="12"/>
      <c r="AQ64" s="12"/>
      <c r="AR64" s="12"/>
      <c r="AS64" s="12"/>
      <c r="AT64" s="11"/>
      <c r="BM64" s="710"/>
      <c r="BN64" s="710"/>
      <c r="BO64" s="710" t="s">
        <v>55</v>
      </c>
      <c r="BP64" s="710"/>
    </row>
    <row r="65" spans="2:69" ht="17" customHeight="1" x14ac:dyDescent="0.3">
      <c r="B65" s="6" t="s">
        <v>215</v>
      </c>
      <c r="C65" s="582" t="s">
        <v>216</v>
      </c>
      <c r="D65" s="582"/>
      <c r="E65" s="582"/>
      <c r="F65" s="582"/>
      <c r="G65" s="582"/>
      <c r="H65" s="6"/>
      <c r="I65" s="6" t="s">
        <v>215</v>
      </c>
      <c r="J65" s="582" t="s">
        <v>216</v>
      </c>
      <c r="K65" s="582"/>
      <c r="L65" s="582"/>
      <c r="M65" s="582"/>
      <c r="N65" s="582"/>
      <c r="O65" s="6"/>
      <c r="P65" s="6" t="s">
        <v>215</v>
      </c>
      <c r="Q65" s="582" t="s">
        <v>216</v>
      </c>
      <c r="R65" s="582"/>
      <c r="S65" s="582"/>
      <c r="T65" s="582"/>
      <c r="U65" s="582"/>
      <c r="W65" s="688" t="s">
        <v>217</v>
      </c>
      <c r="X65" s="688"/>
      <c r="Y65" s="688"/>
      <c r="Z65" s="688"/>
      <c r="AA65" s="688"/>
      <c r="AB65" s="688"/>
      <c r="AC65" s="688"/>
      <c r="AE65" s="582" t="s">
        <v>218</v>
      </c>
      <c r="AF65" s="582"/>
      <c r="AH65" s="582" t="s">
        <v>219</v>
      </c>
      <c r="AI65" s="582"/>
      <c r="AK65" s="688" t="s">
        <v>220</v>
      </c>
      <c r="AL65" s="688"/>
      <c r="AM65" s="688"/>
      <c r="AN65" s="688"/>
      <c r="AO65" s="688"/>
      <c r="AP65" s="688"/>
      <c r="AQ65" s="688"/>
      <c r="AR65" s="688"/>
      <c r="AS65" s="688"/>
      <c r="AT65" s="11"/>
      <c r="AW65" s="520" t="s">
        <v>85</v>
      </c>
      <c r="AX65" s="522"/>
      <c r="AY65" s="616"/>
      <c r="AZ65" s="617"/>
      <c r="BB65" s="520" t="s">
        <v>98</v>
      </c>
      <c r="BC65" s="522"/>
      <c r="BD65" s="924"/>
      <c r="BE65" s="925"/>
      <c r="BF65" s="925"/>
      <c r="BG65" s="925"/>
      <c r="BH65" s="925"/>
      <c r="BI65" s="926"/>
      <c r="BJ65" s="11"/>
      <c r="BK65" s="520" t="s">
        <v>218</v>
      </c>
      <c r="BL65" s="522"/>
      <c r="BM65" s="616"/>
      <c r="BN65" s="617"/>
      <c r="BO65" s="908">
        <f>IFERROR(LOOKUP(BM65,综合数据!#REF!,综合数据!E:E),2)</f>
        <v>2</v>
      </c>
      <c r="BP65" s="909"/>
    </row>
    <row r="66" spans="2:69" ht="17" customHeight="1" x14ac:dyDescent="0.25">
      <c r="B66" s="70"/>
      <c r="C66" s="682"/>
      <c r="D66" s="683"/>
      <c r="E66" s="683"/>
      <c r="F66" s="683"/>
      <c r="G66" s="684"/>
      <c r="I66" s="70" t="str">
        <f>法术数据!AP17</f>
        <v/>
      </c>
      <c r="J66" s="609"/>
      <c r="K66" s="610"/>
      <c r="L66" s="610"/>
      <c r="M66" s="610"/>
      <c r="N66" s="611"/>
      <c r="P66" s="70" t="str">
        <f>法术数据!AP32</f>
        <v/>
      </c>
      <c r="Q66" s="609"/>
      <c r="R66" s="610"/>
      <c r="S66" s="610"/>
      <c r="T66" s="610"/>
      <c r="U66" s="611"/>
      <c r="W66" s="906" t="s">
        <v>8108</v>
      </c>
      <c r="X66" s="906"/>
      <c r="Y66" s="906"/>
      <c r="Z66" s="906"/>
      <c r="AA66" s="906"/>
      <c r="AB66" s="906"/>
      <c r="AC66" s="906"/>
      <c r="AE66" s="814" t="str">
        <f>IF(W66="","",VLOOKUP(VLOOKUP(W66,法术数据!B:P,15,FALSE),CHOOSE({1,2},法术数据!AI2:AI11,法术数据!AH2:AH11),2,FALSE))</f>
        <v>六环</v>
      </c>
      <c r="AF66" s="815"/>
      <c r="AH66" s="814" t="str">
        <f>IF(W66="","",VLOOKUP(W66,法术数据!B:E,4,0))</f>
        <v>变化</v>
      </c>
      <c r="AI66" s="815"/>
      <c r="AK66" s="651" t="str">
        <f>IF(W66="","",(VLOOKUP(W66,法术数据!B:G,6,0)))</f>
        <v>自身</v>
      </c>
      <c r="AL66" s="651"/>
      <c r="AM66" s="651"/>
      <c r="AN66" s="651"/>
      <c r="AO66" s="651"/>
      <c r="AP66" s="651"/>
      <c r="AQ66" s="651"/>
      <c r="AR66" s="651"/>
      <c r="AS66" s="651"/>
      <c r="AT66" s="11"/>
      <c r="AV66" s="71"/>
      <c r="AW66" s="71"/>
      <c r="AX66" s="71"/>
      <c r="AY66" s="71"/>
      <c r="AZ66" s="71"/>
      <c r="BA66" s="71"/>
      <c r="BB66" s="71"/>
      <c r="BC66" s="71"/>
      <c r="BD66" s="71"/>
      <c r="BE66" s="71"/>
      <c r="BF66" s="71"/>
      <c r="BG66" s="71"/>
      <c r="BH66" s="71"/>
      <c r="BI66" s="71"/>
      <c r="BJ66" s="71"/>
      <c r="BK66" s="71"/>
      <c r="BL66" s="71"/>
      <c r="BM66" s="71"/>
      <c r="BN66" s="71"/>
      <c r="BO66" s="71"/>
      <c r="BP66" s="71"/>
      <c r="BQ66" s="71"/>
    </row>
    <row r="67" spans="2:69" ht="17" customHeight="1" x14ac:dyDescent="0.3">
      <c r="B67" s="70" t="str">
        <f>法术数据!AP3</f>
        <v/>
      </c>
      <c r="C67" s="682"/>
      <c r="D67" s="683"/>
      <c r="E67" s="683"/>
      <c r="F67" s="683"/>
      <c r="G67" s="684"/>
      <c r="I67" s="70" t="str">
        <f>法术数据!AP18</f>
        <v/>
      </c>
      <c r="J67" s="609"/>
      <c r="K67" s="610"/>
      <c r="L67" s="610"/>
      <c r="M67" s="610"/>
      <c r="N67" s="611"/>
      <c r="P67" s="70" t="str">
        <f>法术数据!AP33</f>
        <v/>
      </c>
      <c r="Q67" s="609"/>
      <c r="R67" s="610"/>
      <c r="S67" s="610"/>
      <c r="T67" s="610"/>
      <c r="U67" s="611"/>
      <c r="W67" s="688" t="s">
        <v>222</v>
      </c>
      <c r="X67" s="688"/>
      <c r="Y67" s="688"/>
      <c r="Z67" s="688"/>
      <c r="AA67" s="688"/>
      <c r="AB67" s="688"/>
      <c r="AC67" s="688"/>
      <c r="AD67" s="688"/>
      <c r="AE67" s="688"/>
      <c r="AF67" s="688"/>
      <c r="AG67" s="688"/>
      <c r="AH67" s="688"/>
      <c r="AI67" s="688"/>
      <c r="AJ67" s="688"/>
      <c r="AK67" s="688"/>
      <c r="AL67" s="688"/>
      <c r="AM67" s="688"/>
      <c r="AN67" s="688"/>
      <c r="AO67" s="688"/>
      <c r="AP67" s="688"/>
      <c r="AQ67" s="688"/>
      <c r="AR67" s="688"/>
      <c r="AS67" s="688"/>
      <c r="AT67" s="11"/>
      <c r="AV67" s="71"/>
      <c r="AW67" s="520" t="s">
        <v>82</v>
      </c>
      <c r="AX67" s="522"/>
      <c r="AY67" s="550"/>
      <c r="AZ67" s="551"/>
      <c r="BA67" s="551"/>
      <c r="BB67" s="72" t="s">
        <v>83</v>
      </c>
      <c r="BC67" s="551"/>
      <c r="BD67" s="551"/>
      <c r="BE67" s="552"/>
      <c r="BF67" s="71"/>
      <c r="BG67" s="520" t="s">
        <v>86</v>
      </c>
      <c r="BH67" s="522"/>
      <c r="BI67" s="616"/>
      <c r="BJ67" s="745"/>
      <c r="BK67" s="72" t="s">
        <v>83</v>
      </c>
      <c r="BL67" s="745"/>
      <c r="BM67" s="617"/>
      <c r="BN67" s="818"/>
      <c r="BO67" s="819"/>
      <c r="BP67" s="820"/>
      <c r="BQ67" s="71"/>
    </row>
    <row r="68" spans="2:69" ht="17" customHeight="1" x14ac:dyDescent="0.3">
      <c r="B68" s="70" t="str">
        <f>法术数据!AP4</f>
        <v/>
      </c>
      <c r="C68" s="682"/>
      <c r="D68" s="683"/>
      <c r="E68" s="683"/>
      <c r="F68" s="683"/>
      <c r="G68" s="684"/>
      <c r="I68" s="70" t="str">
        <f>法术数据!AP19</f>
        <v/>
      </c>
      <c r="J68" s="609"/>
      <c r="K68" s="610"/>
      <c r="L68" s="610"/>
      <c r="M68" s="610"/>
      <c r="N68" s="611"/>
      <c r="P68" s="70" t="str">
        <f>法术数据!AP34</f>
        <v/>
      </c>
      <c r="Q68" s="609"/>
      <c r="R68" s="610"/>
      <c r="S68" s="610"/>
      <c r="T68" s="610"/>
      <c r="U68" s="611"/>
      <c r="W68" s="651" t="str">
        <f>IF(W66="","",VLOOKUP(W66,法术数据!B:F,5,0)&amp;IF(VLOOKUP(W66,法术数据!B:D,3,0)=1,"（仪式）",""))</f>
        <v>1动作</v>
      </c>
      <c r="X68" s="651"/>
      <c r="Y68" s="651"/>
      <c r="Z68" s="651"/>
      <c r="AA68" s="651"/>
      <c r="AB68" s="651"/>
      <c r="AC68" s="651"/>
      <c r="AD68" s="651"/>
      <c r="AE68" s="651"/>
      <c r="AF68" s="651"/>
      <c r="AG68" s="651"/>
      <c r="AH68" s="651"/>
      <c r="AI68" s="651"/>
      <c r="AJ68" s="651"/>
      <c r="AK68" s="651"/>
      <c r="AL68" s="651"/>
      <c r="AM68" s="651"/>
      <c r="AN68" s="651"/>
      <c r="AO68" s="651"/>
      <c r="AP68" s="651"/>
      <c r="AQ68" s="651"/>
      <c r="AR68" s="651"/>
      <c r="AS68" s="651"/>
      <c r="AT68" s="11"/>
      <c r="AV68" s="71"/>
      <c r="AW68" s="13" t="s">
        <v>55</v>
      </c>
      <c r="AX68" s="71"/>
      <c r="AY68" s="71"/>
      <c r="AZ68" s="632" t="s">
        <v>65</v>
      </c>
      <c r="BA68" s="632"/>
      <c r="BB68" s="71"/>
      <c r="BC68" s="632" t="s">
        <v>56</v>
      </c>
      <c r="BD68" s="632"/>
      <c r="BE68" s="582" t="s">
        <v>69</v>
      </c>
      <c r="BF68" s="582"/>
      <c r="BG68" s="71"/>
      <c r="BH68" s="71"/>
      <c r="BI68" s="71"/>
      <c r="BJ68" s="71"/>
      <c r="BK68" s="71"/>
      <c r="BL68" s="71"/>
      <c r="BM68" s="71"/>
      <c r="BN68" s="71"/>
      <c r="BO68" s="71"/>
      <c r="BP68" s="71"/>
      <c r="BQ68" s="71"/>
    </row>
    <row r="69" spans="2:69" ht="17" customHeight="1" x14ac:dyDescent="0.3">
      <c r="B69" s="70" t="str">
        <f>法术数据!AP5</f>
        <v/>
      </c>
      <c r="C69" s="682"/>
      <c r="D69" s="683"/>
      <c r="E69" s="683"/>
      <c r="F69" s="683"/>
      <c r="G69" s="684"/>
      <c r="I69" s="70" t="str">
        <f>法术数据!AP20</f>
        <v/>
      </c>
      <c r="J69" s="609"/>
      <c r="K69" s="610"/>
      <c r="L69" s="610"/>
      <c r="M69" s="610"/>
      <c r="N69" s="611"/>
      <c r="P69" s="70" t="str">
        <f>法术数据!AP35</f>
        <v/>
      </c>
      <c r="Q69" s="609"/>
      <c r="R69" s="610"/>
      <c r="S69" s="610"/>
      <c r="T69" s="610"/>
      <c r="U69" s="611"/>
      <c r="W69" s="680" t="s">
        <v>223</v>
      </c>
      <c r="X69" s="680"/>
      <c r="Y69" s="680"/>
      <c r="Z69" s="680"/>
      <c r="AA69" s="680"/>
      <c r="AB69" s="680"/>
      <c r="AD69" s="632" t="s">
        <v>224</v>
      </c>
      <c r="AE69" s="632"/>
      <c r="AF69" s="632"/>
      <c r="AG69" s="632"/>
      <c r="AH69" s="632"/>
      <c r="AI69" s="632"/>
      <c r="AJ69" s="632"/>
      <c r="AK69" s="910" t="str">
        <f>IF(W66="","",IF(VLOOKUP(W66,法术数据!B:H,7,0)=1," 言语 ","")&amp;IF(VLOOKUP(W66,法术数据!B:I,8,0)=1," 姿势 ","")&amp;IF(VLOOKUP(W66,法术数据!B:J,9,0)=1," 材料 ",""))</f>
        <v xml:space="preserve"> 言语  姿势 </v>
      </c>
      <c r="AL69" s="910"/>
      <c r="AM69" s="910"/>
      <c r="AN69" s="910"/>
      <c r="AO69" s="910"/>
      <c r="AP69" s="910"/>
      <c r="AQ69" s="910"/>
      <c r="AR69" s="910"/>
      <c r="AS69" s="910"/>
      <c r="AT69" s="11"/>
      <c r="AV69" s="71"/>
      <c r="AW69" s="73" t="b">
        <v>0</v>
      </c>
      <c r="AX69" s="614" t="s">
        <v>71</v>
      </c>
      <c r="AY69" s="615"/>
      <c r="AZ69" s="616"/>
      <c r="BA69" s="617"/>
      <c r="BB69" s="74" t="s">
        <v>72</v>
      </c>
      <c r="BC69" s="770">
        <f t="shared" ref="BC69:BC74" si="2">INT(AZ69/2-5)</f>
        <v>-5</v>
      </c>
      <c r="BD69" s="771"/>
      <c r="BE69" s="593">
        <f t="shared" ref="BE69:BE74" si="3">INT(AZ69/2-5)+IF(AW69=TRUE,$BO$65,0)</f>
        <v>-5</v>
      </c>
      <c r="BF69" s="594"/>
      <c r="BG69" s="71"/>
      <c r="BH69" s="689"/>
      <c r="BI69" s="690"/>
      <c r="BJ69" s="690"/>
      <c r="BK69" s="690"/>
      <c r="BL69" s="690"/>
      <c r="BM69" s="690"/>
      <c r="BN69" s="690"/>
      <c r="BO69" s="690"/>
      <c r="BP69" s="691"/>
      <c r="BQ69" s="71"/>
    </row>
    <row r="70" spans="2:69" ht="17" customHeight="1" x14ac:dyDescent="0.25">
      <c r="B70" s="70" t="str">
        <f>法术数据!AP6</f>
        <v/>
      </c>
      <c r="C70" s="682"/>
      <c r="D70" s="683"/>
      <c r="E70" s="683"/>
      <c r="F70" s="683"/>
      <c r="G70" s="684"/>
      <c r="I70" s="70" t="str">
        <f>法术数据!AP21</f>
        <v/>
      </c>
      <c r="J70" s="609"/>
      <c r="K70" s="610"/>
      <c r="L70" s="610"/>
      <c r="M70" s="610"/>
      <c r="N70" s="611"/>
      <c r="P70" s="70" t="str">
        <f>法术数据!AP36</f>
        <v/>
      </c>
      <c r="Q70" s="609"/>
      <c r="R70" s="610"/>
      <c r="S70" s="610"/>
      <c r="T70" s="610"/>
      <c r="U70" s="611"/>
      <c r="W70" s="651" t="str">
        <f>IF(W66="","",IF(VLOOKUP(W66,法术数据!B:M,12,0)=1,"专注，","")&amp;VLOOKUP(W66,法术数据!B:N,13,0))</f>
        <v>专注，至多10分钟</v>
      </c>
      <c r="X70" s="651"/>
      <c r="Y70" s="651"/>
      <c r="Z70" s="651"/>
      <c r="AA70" s="651"/>
      <c r="AB70" s="651"/>
      <c r="AD70" s="814" t="str">
        <f>IF(W66="","",IF(VLOOKUP(W66,法术数据!B:K,10,0)="","",VLOOKUP(W66,法术数据!B:K,10,0))&amp;IF(VLOOKUP(W66,法术数据!B:J,9,0)=2,CHAR(10),"")&amp;IF(VLOOKUP(W66,法术数据!B:L,11,0)="","",(VLOOKUP(W66,法术数据!B:L,11,0))))</f>
        <v/>
      </c>
      <c r="AE70" s="860"/>
      <c r="AF70" s="860"/>
      <c r="AG70" s="860"/>
      <c r="AH70" s="860"/>
      <c r="AI70" s="860"/>
      <c r="AJ70" s="860"/>
      <c r="AK70" s="860"/>
      <c r="AL70" s="860"/>
      <c r="AM70" s="860"/>
      <c r="AN70" s="860"/>
      <c r="AO70" s="860"/>
      <c r="AP70" s="860"/>
      <c r="AQ70" s="860"/>
      <c r="AR70" s="860"/>
      <c r="AS70" s="815"/>
      <c r="AT70" s="11"/>
      <c r="AV70" s="71"/>
      <c r="AW70" s="73" t="b">
        <v>0</v>
      </c>
      <c r="AX70" s="614" t="s">
        <v>73</v>
      </c>
      <c r="AY70" s="615"/>
      <c r="AZ70" s="616"/>
      <c r="BA70" s="617"/>
      <c r="BB70" s="74" t="s">
        <v>72</v>
      </c>
      <c r="BC70" s="770">
        <f t="shared" si="2"/>
        <v>-5</v>
      </c>
      <c r="BD70" s="771"/>
      <c r="BE70" s="593">
        <f t="shared" si="3"/>
        <v>-5</v>
      </c>
      <c r="BF70" s="594"/>
      <c r="BG70" s="71"/>
      <c r="BH70" s="692"/>
      <c r="BI70" s="693"/>
      <c r="BJ70" s="693"/>
      <c r="BK70" s="693"/>
      <c r="BL70" s="693"/>
      <c r="BM70" s="693"/>
      <c r="BN70" s="693"/>
      <c r="BO70" s="693"/>
      <c r="BP70" s="694"/>
      <c r="BQ70" s="71"/>
    </row>
    <row r="71" spans="2:69" ht="17" customHeight="1" x14ac:dyDescent="0.3">
      <c r="B71" s="70" t="str">
        <f>法术数据!AP7</f>
        <v/>
      </c>
      <c r="C71" s="682"/>
      <c r="D71" s="683"/>
      <c r="E71" s="683"/>
      <c r="F71" s="683"/>
      <c r="G71" s="684"/>
      <c r="I71" s="70" t="str">
        <f>法术数据!AP22</f>
        <v/>
      </c>
      <c r="J71" s="609"/>
      <c r="K71" s="610"/>
      <c r="L71" s="610"/>
      <c r="M71" s="610"/>
      <c r="N71" s="611"/>
      <c r="P71" s="70" t="str">
        <f>法术数据!AP37</f>
        <v/>
      </c>
      <c r="Q71" s="609"/>
      <c r="R71" s="610"/>
      <c r="S71" s="610"/>
      <c r="T71" s="610"/>
      <c r="U71" s="611"/>
      <c r="W71" s="582" t="s">
        <v>225</v>
      </c>
      <c r="X71" s="582"/>
      <c r="Y71" s="582"/>
      <c r="Z71" s="582"/>
      <c r="AA71" s="582"/>
      <c r="AB71" s="582"/>
      <c r="AC71" s="582"/>
      <c r="AD71" s="582"/>
      <c r="AE71" s="582"/>
      <c r="AF71" s="582"/>
      <c r="AG71" s="582"/>
      <c r="AH71" s="582"/>
      <c r="AI71" s="582"/>
      <c r="AJ71" s="582"/>
      <c r="AK71" s="582"/>
      <c r="AL71" s="582"/>
      <c r="AM71" s="582"/>
      <c r="AN71" s="582"/>
      <c r="AO71" s="582"/>
      <c r="AP71" s="582"/>
      <c r="AQ71" s="582"/>
      <c r="AR71" s="582"/>
      <c r="AS71" s="582"/>
      <c r="AT71" s="11"/>
      <c r="AV71" s="71"/>
      <c r="AW71" s="73" t="b">
        <v>0</v>
      </c>
      <c r="AX71" s="614" t="s">
        <v>74</v>
      </c>
      <c r="AY71" s="615"/>
      <c r="AZ71" s="616"/>
      <c r="BA71" s="617"/>
      <c r="BB71" s="74" t="s">
        <v>72</v>
      </c>
      <c r="BC71" s="770">
        <f t="shared" si="2"/>
        <v>-5</v>
      </c>
      <c r="BD71" s="771"/>
      <c r="BE71" s="593">
        <f t="shared" si="3"/>
        <v>-5</v>
      </c>
      <c r="BF71" s="594"/>
      <c r="BG71" s="71"/>
      <c r="BH71" s="692"/>
      <c r="BI71" s="693"/>
      <c r="BJ71" s="693"/>
      <c r="BK71" s="693"/>
      <c r="BL71" s="693"/>
      <c r="BM71" s="693"/>
      <c r="BN71" s="693"/>
      <c r="BO71" s="693"/>
      <c r="BP71" s="694"/>
      <c r="BQ71" s="71"/>
    </row>
    <row r="72" spans="2:69" ht="17" customHeight="1" x14ac:dyDescent="0.25">
      <c r="B72" s="70" t="str">
        <f>法术数据!AP8</f>
        <v/>
      </c>
      <c r="C72" s="682"/>
      <c r="D72" s="683"/>
      <c r="E72" s="683"/>
      <c r="F72" s="683"/>
      <c r="G72" s="684"/>
      <c r="I72" s="70" t="str">
        <f>法术数据!AP23</f>
        <v/>
      </c>
      <c r="J72" s="609"/>
      <c r="K72" s="610"/>
      <c r="L72" s="610"/>
      <c r="M72" s="610"/>
      <c r="N72" s="611"/>
      <c r="P72" s="70" t="str">
        <f>法术数据!AP38</f>
        <v/>
      </c>
      <c r="Q72" s="609"/>
      <c r="R72" s="610"/>
      <c r="S72" s="610"/>
      <c r="T72" s="610"/>
      <c r="U72" s="611"/>
      <c r="W72" s="750" t="str">
        <f>IF(W66="","",(VLOOKUP(W66,法术数据!B:O,14,0)))</f>
        <v>火焰环绕着你的身体，照亮周围30尺半径的区域，并在外围30尺范围内产生微弱的亮光。这些火焰不会伤害到你。直到此法术终结，你得到如下的好处：
你免疫于火焰伤害并对冷冻伤害具有抗力。
任何在回合中第一次进入你周围5尺范围之内，或是在你周围5尺范围之内结束回合的生物受到1d10火焰伤害。
你可以使用你的动作以创造出一条以你为起始点，向由你选择的方向延伸的15尺长、5尺宽的火线。在线中的每个生物都必须进行一次敏捷豁免检定。豁免失败的生物受到4d8火焰伤害，豁免成功者受到上述伤害的一半。</v>
      </c>
      <c r="X72" s="751"/>
      <c r="Y72" s="751"/>
      <c r="Z72" s="751"/>
      <c r="AA72" s="751"/>
      <c r="AB72" s="751"/>
      <c r="AC72" s="751"/>
      <c r="AD72" s="751"/>
      <c r="AE72" s="751"/>
      <c r="AF72" s="751"/>
      <c r="AG72" s="751"/>
      <c r="AH72" s="751"/>
      <c r="AI72" s="751"/>
      <c r="AJ72" s="751"/>
      <c r="AK72" s="751"/>
      <c r="AL72" s="751"/>
      <c r="AM72" s="751"/>
      <c r="AN72" s="751"/>
      <c r="AO72" s="751"/>
      <c r="AP72" s="751"/>
      <c r="AQ72" s="751"/>
      <c r="AR72" s="751"/>
      <c r="AS72" s="752"/>
      <c r="AT72" s="11"/>
      <c r="AV72" s="71"/>
      <c r="AW72" s="73"/>
      <c r="AX72" s="614" t="s">
        <v>75</v>
      </c>
      <c r="AY72" s="615"/>
      <c r="AZ72" s="616"/>
      <c r="BA72" s="617"/>
      <c r="BB72" s="74" t="s">
        <v>72</v>
      </c>
      <c r="BC72" s="770">
        <f t="shared" si="2"/>
        <v>-5</v>
      </c>
      <c r="BD72" s="771"/>
      <c r="BE72" s="593">
        <f t="shared" si="3"/>
        <v>-5</v>
      </c>
      <c r="BF72" s="594"/>
      <c r="BG72" s="71"/>
      <c r="BH72" s="692"/>
      <c r="BI72" s="693"/>
      <c r="BJ72" s="693"/>
      <c r="BK72" s="693"/>
      <c r="BL72" s="693"/>
      <c r="BM72" s="693"/>
      <c r="BN72" s="693"/>
      <c r="BO72" s="693"/>
      <c r="BP72" s="694"/>
      <c r="BQ72" s="71"/>
    </row>
    <row r="73" spans="2:69" ht="17" customHeight="1" x14ac:dyDescent="0.25">
      <c r="B73" s="70" t="str">
        <f>法术数据!AP9</f>
        <v/>
      </c>
      <c r="C73" s="682"/>
      <c r="D73" s="683"/>
      <c r="E73" s="683"/>
      <c r="F73" s="683"/>
      <c r="G73" s="684"/>
      <c r="I73" s="70" t="str">
        <f>法术数据!AP24</f>
        <v/>
      </c>
      <c r="J73" s="609"/>
      <c r="K73" s="610"/>
      <c r="L73" s="610"/>
      <c r="M73" s="610"/>
      <c r="N73" s="611"/>
      <c r="P73" s="70" t="str">
        <f>法术数据!AP39</f>
        <v/>
      </c>
      <c r="Q73" s="609"/>
      <c r="R73" s="610"/>
      <c r="S73" s="610"/>
      <c r="T73" s="610"/>
      <c r="U73" s="611"/>
      <c r="W73" s="753"/>
      <c r="X73" s="754"/>
      <c r="Y73" s="754"/>
      <c r="Z73" s="754"/>
      <c r="AA73" s="754"/>
      <c r="AB73" s="754"/>
      <c r="AC73" s="754"/>
      <c r="AD73" s="754"/>
      <c r="AE73" s="754"/>
      <c r="AF73" s="754"/>
      <c r="AG73" s="754"/>
      <c r="AH73" s="754"/>
      <c r="AI73" s="754"/>
      <c r="AJ73" s="754"/>
      <c r="AK73" s="754"/>
      <c r="AL73" s="754"/>
      <c r="AM73" s="754"/>
      <c r="AN73" s="754"/>
      <c r="AO73" s="754"/>
      <c r="AP73" s="754"/>
      <c r="AQ73" s="754"/>
      <c r="AR73" s="754"/>
      <c r="AS73" s="755"/>
      <c r="AT73" s="11"/>
      <c r="AV73" s="71"/>
      <c r="AW73" s="73" t="b">
        <v>0</v>
      </c>
      <c r="AX73" s="614" t="s">
        <v>76</v>
      </c>
      <c r="AY73" s="615"/>
      <c r="AZ73" s="616"/>
      <c r="BA73" s="617"/>
      <c r="BB73" s="74" t="s">
        <v>72</v>
      </c>
      <c r="BC73" s="770">
        <f t="shared" si="2"/>
        <v>-5</v>
      </c>
      <c r="BD73" s="771"/>
      <c r="BE73" s="593">
        <f t="shared" si="3"/>
        <v>-5</v>
      </c>
      <c r="BF73" s="594"/>
      <c r="BG73" s="71"/>
      <c r="BH73" s="692"/>
      <c r="BI73" s="693"/>
      <c r="BJ73" s="693"/>
      <c r="BK73" s="693"/>
      <c r="BL73" s="693"/>
      <c r="BM73" s="693"/>
      <c r="BN73" s="693"/>
      <c r="BO73" s="693"/>
      <c r="BP73" s="694"/>
      <c r="BQ73" s="71"/>
    </row>
    <row r="74" spans="2:69" ht="17" customHeight="1" x14ac:dyDescent="0.25">
      <c r="B74" s="70" t="str">
        <f>法术数据!AP10</f>
        <v/>
      </c>
      <c r="C74" s="682"/>
      <c r="D74" s="683"/>
      <c r="E74" s="683"/>
      <c r="F74" s="683"/>
      <c r="G74" s="684"/>
      <c r="I74" s="70" t="str">
        <f>法术数据!AP25</f>
        <v/>
      </c>
      <c r="J74" s="609"/>
      <c r="K74" s="610"/>
      <c r="L74" s="610"/>
      <c r="M74" s="610"/>
      <c r="N74" s="611"/>
      <c r="P74" s="70" t="str">
        <f>法术数据!AP40</f>
        <v/>
      </c>
      <c r="Q74" s="609"/>
      <c r="R74" s="610"/>
      <c r="S74" s="610"/>
      <c r="T74" s="610"/>
      <c r="U74" s="611"/>
      <c r="W74" s="753"/>
      <c r="X74" s="754"/>
      <c r="Y74" s="754"/>
      <c r="Z74" s="754"/>
      <c r="AA74" s="754"/>
      <c r="AB74" s="754"/>
      <c r="AC74" s="754"/>
      <c r="AD74" s="754"/>
      <c r="AE74" s="754"/>
      <c r="AF74" s="754"/>
      <c r="AG74" s="754"/>
      <c r="AH74" s="754"/>
      <c r="AI74" s="754"/>
      <c r="AJ74" s="754"/>
      <c r="AK74" s="754"/>
      <c r="AL74" s="754"/>
      <c r="AM74" s="754"/>
      <c r="AN74" s="754"/>
      <c r="AO74" s="754"/>
      <c r="AP74" s="754"/>
      <c r="AQ74" s="754"/>
      <c r="AR74" s="754"/>
      <c r="AS74" s="755"/>
      <c r="AT74" s="11"/>
      <c r="AV74" s="71"/>
      <c r="AW74" s="73"/>
      <c r="AX74" s="614" t="s">
        <v>77</v>
      </c>
      <c r="AY74" s="615"/>
      <c r="AZ74" s="616"/>
      <c r="BA74" s="617"/>
      <c r="BB74" s="74" t="s">
        <v>72</v>
      </c>
      <c r="BC74" s="770">
        <f t="shared" si="2"/>
        <v>-5</v>
      </c>
      <c r="BD74" s="771"/>
      <c r="BE74" s="593">
        <f t="shared" si="3"/>
        <v>-5</v>
      </c>
      <c r="BF74" s="594"/>
      <c r="BG74" s="71"/>
      <c r="BH74" s="695"/>
      <c r="BI74" s="696"/>
      <c r="BJ74" s="696"/>
      <c r="BK74" s="696"/>
      <c r="BL74" s="696"/>
      <c r="BM74" s="696"/>
      <c r="BN74" s="696"/>
      <c r="BO74" s="696"/>
      <c r="BP74" s="697"/>
      <c r="BQ74" s="71"/>
    </row>
    <row r="75" spans="2:69" ht="17" customHeight="1" x14ac:dyDescent="0.25">
      <c r="B75" s="70" t="str">
        <f>法术数据!AP11</f>
        <v/>
      </c>
      <c r="C75" s="682"/>
      <c r="D75" s="683"/>
      <c r="E75" s="683"/>
      <c r="F75" s="683"/>
      <c r="G75" s="684"/>
      <c r="I75" s="70" t="str">
        <f>法术数据!AP26</f>
        <v/>
      </c>
      <c r="J75" s="609"/>
      <c r="K75" s="610"/>
      <c r="L75" s="610"/>
      <c r="M75" s="610"/>
      <c r="N75" s="611"/>
      <c r="P75" s="70" t="str">
        <f>法术数据!AP41</f>
        <v/>
      </c>
      <c r="Q75" s="609"/>
      <c r="R75" s="610"/>
      <c r="S75" s="610"/>
      <c r="T75" s="610"/>
      <c r="U75" s="611"/>
      <c r="W75" s="753"/>
      <c r="X75" s="754"/>
      <c r="Y75" s="754"/>
      <c r="Z75" s="754"/>
      <c r="AA75" s="754"/>
      <c r="AB75" s="754"/>
      <c r="AC75" s="754"/>
      <c r="AD75" s="754"/>
      <c r="AE75" s="754"/>
      <c r="AF75" s="754"/>
      <c r="AG75" s="754"/>
      <c r="AH75" s="754"/>
      <c r="AI75" s="754"/>
      <c r="AJ75" s="754"/>
      <c r="AK75" s="754"/>
      <c r="AL75" s="754"/>
      <c r="AM75" s="754"/>
      <c r="AN75" s="754"/>
      <c r="AO75" s="754"/>
      <c r="AP75" s="754"/>
      <c r="AQ75" s="754"/>
      <c r="AR75" s="754"/>
      <c r="AS75" s="755"/>
      <c r="AT75" s="11"/>
      <c r="AV75" s="71"/>
      <c r="AW75" s="71"/>
      <c r="AX75" s="71"/>
      <c r="AY75" s="71"/>
      <c r="AZ75" s="71"/>
      <c r="BA75" s="71"/>
      <c r="BB75" s="71"/>
      <c r="BC75" s="71"/>
      <c r="BD75" s="71"/>
      <c r="BE75" s="71"/>
      <c r="BF75" s="71"/>
      <c r="BG75" s="71"/>
      <c r="BH75" s="71"/>
      <c r="BI75" s="71"/>
      <c r="BJ75" s="71"/>
      <c r="BK75" s="71"/>
      <c r="BL75" s="71"/>
      <c r="BM75" s="71"/>
      <c r="BN75" s="71"/>
      <c r="BO75" s="71"/>
      <c r="BP75" s="71"/>
      <c r="BQ75" s="71"/>
    </row>
    <row r="76" spans="2:69" ht="17" customHeight="1" x14ac:dyDescent="0.25">
      <c r="B76" s="70" t="str">
        <f>法术数据!AP12</f>
        <v/>
      </c>
      <c r="C76" s="682"/>
      <c r="D76" s="683"/>
      <c r="E76" s="683"/>
      <c r="F76" s="683"/>
      <c r="G76" s="684"/>
      <c r="I76" s="70" t="str">
        <f>法术数据!AP27</f>
        <v/>
      </c>
      <c r="J76" s="609"/>
      <c r="K76" s="610"/>
      <c r="L76" s="610"/>
      <c r="M76" s="610"/>
      <c r="N76" s="611"/>
      <c r="P76" s="70" t="str">
        <f>法术数据!AP42</f>
        <v/>
      </c>
      <c r="Q76" s="609"/>
      <c r="R76" s="610"/>
      <c r="S76" s="610"/>
      <c r="T76" s="610"/>
      <c r="U76" s="611"/>
      <c r="W76" s="753"/>
      <c r="X76" s="754"/>
      <c r="Y76" s="754"/>
      <c r="Z76" s="754"/>
      <c r="AA76" s="754"/>
      <c r="AB76" s="754"/>
      <c r="AC76" s="754"/>
      <c r="AD76" s="754"/>
      <c r="AE76" s="754"/>
      <c r="AF76" s="754"/>
      <c r="AG76" s="754"/>
      <c r="AH76" s="754"/>
      <c r="AI76" s="754"/>
      <c r="AJ76" s="754"/>
      <c r="AK76" s="754"/>
      <c r="AL76" s="754"/>
      <c r="AM76" s="754"/>
      <c r="AN76" s="754"/>
      <c r="AO76" s="754"/>
      <c r="AP76" s="754"/>
      <c r="AQ76" s="754"/>
      <c r="AR76" s="754"/>
      <c r="AS76" s="755"/>
      <c r="AT76" s="11"/>
      <c r="AV76" s="71"/>
      <c r="AW76" s="520" t="s">
        <v>103</v>
      </c>
      <c r="AX76" s="522"/>
      <c r="AY76" s="618"/>
      <c r="AZ76" s="619"/>
      <c r="BA76" s="619"/>
      <c r="BB76" s="619"/>
      <c r="BC76" s="619"/>
      <c r="BD76" s="619"/>
      <c r="BE76" s="619"/>
      <c r="BF76" s="619"/>
      <c r="BG76" s="619"/>
      <c r="BH76" s="619"/>
      <c r="BI76" s="619"/>
      <c r="BJ76" s="619"/>
      <c r="BK76" s="619"/>
      <c r="BL76" s="619"/>
      <c r="BM76" s="619"/>
      <c r="BN76" s="619"/>
      <c r="BO76" s="619"/>
      <c r="BP76" s="620"/>
      <c r="BQ76" s="71"/>
    </row>
    <row r="77" spans="2:69" ht="17" customHeight="1" x14ac:dyDescent="0.25">
      <c r="B77" s="70" t="str">
        <f>法术数据!AP13</f>
        <v/>
      </c>
      <c r="C77" s="682"/>
      <c r="D77" s="683"/>
      <c r="E77" s="683"/>
      <c r="F77" s="683"/>
      <c r="G77" s="684"/>
      <c r="I77" s="70" t="str">
        <f>法术数据!AP28</f>
        <v/>
      </c>
      <c r="J77" s="609"/>
      <c r="K77" s="610"/>
      <c r="L77" s="610"/>
      <c r="M77" s="610"/>
      <c r="N77" s="611"/>
      <c r="P77" s="70" t="str">
        <f>法术数据!AP43</f>
        <v/>
      </c>
      <c r="Q77" s="609"/>
      <c r="R77" s="610"/>
      <c r="S77" s="610"/>
      <c r="T77" s="610"/>
      <c r="U77" s="611"/>
      <c r="W77" s="753"/>
      <c r="X77" s="754"/>
      <c r="Y77" s="754"/>
      <c r="Z77" s="754"/>
      <c r="AA77" s="754"/>
      <c r="AB77" s="754"/>
      <c r="AC77" s="754"/>
      <c r="AD77" s="754"/>
      <c r="AE77" s="754"/>
      <c r="AF77" s="754"/>
      <c r="AG77" s="754"/>
      <c r="AH77" s="754"/>
      <c r="AI77" s="754"/>
      <c r="AJ77" s="754"/>
      <c r="AK77" s="754"/>
      <c r="AL77" s="754"/>
      <c r="AM77" s="754"/>
      <c r="AN77" s="754"/>
      <c r="AO77" s="754"/>
      <c r="AP77" s="754"/>
      <c r="AQ77" s="754"/>
      <c r="AR77" s="754"/>
      <c r="AS77" s="755"/>
      <c r="AT77" s="11"/>
      <c r="AV77" s="71"/>
      <c r="AW77" s="520" t="s">
        <v>93</v>
      </c>
      <c r="AX77" s="522"/>
      <c r="AY77" s="618"/>
      <c r="AZ77" s="619"/>
      <c r="BA77" s="619"/>
      <c r="BB77" s="619"/>
      <c r="BC77" s="619"/>
      <c r="BD77" s="619"/>
      <c r="BE77" s="619"/>
      <c r="BF77" s="619"/>
      <c r="BG77" s="619"/>
      <c r="BH77" s="619"/>
      <c r="BI77" s="619"/>
      <c r="BJ77" s="619"/>
      <c r="BK77" s="619"/>
      <c r="BL77" s="619"/>
      <c r="BM77" s="619"/>
      <c r="BN77" s="619"/>
      <c r="BO77" s="619"/>
      <c r="BP77" s="620"/>
      <c r="BQ77" s="71"/>
    </row>
    <row r="78" spans="2:69" ht="17" customHeight="1" x14ac:dyDescent="0.25">
      <c r="B78" s="70" t="str">
        <f>法术数据!AP14</f>
        <v/>
      </c>
      <c r="C78" s="682"/>
      <c r="D78" s="683"/>
      <c r="E78" s="683"/>
      <c r="F78" s="683"/>
      <c r="G78" s="684"/>
      <c r="I78" s="70" t="str">
        <f>法术数据!AP29</f>
        <v/>
      </c>
      <c r="J78" s="609"/>
      <c r="K78" s="610"/>
      <c r="L78" s="610"/>
      <c r="M78" s="610"/>
      <c r="N78" s="611"/>
      <c r="P78" s="70" t="str">
        <f>法术数据!AP44</f>
        <v/>
      </c>
      <c r="Q78" s="609"/>
      <c r="R78" s="610"/>
      <c r="S78" s="610"/>
      <c r="T78" s="610"/>
      <c r="U78" s="611"/>
      <c r="W78" s="753"/>
      <c r="X78" s="754"/>
      <c r="Y78" s="754"/>
      <c r="Z78" s="754"/>
      <c r="AA78" s="754"/>
      <c r="AB78" s="754"/>
      <c r="AC78" s="754"/>
      <c r="AD78" s="754"/>
      <c r="AE78" s="754"/>
      <c r="AF78" s="754"/>
      <c r="AG78" s="754"/>
      <c r="AH78" s="754"/>
      <c r="AI78" s="754"/>
      <c r="AJ78" s="754"/>
      <c r="AK78" s="754"/>
      <c r="AL78" s="754"/>
      <c r="AM78" s="754"/>
      <c r="AN78" s="754"/>
      <c r="AO78" s="754"/>
      <c r="AP78" s="754"/>
      <c r="AQ78" s="754"/>
      <c r="AR78" s="754"/>
      <c r="AS78" s="755"/>
      <c r="AT78" s="11"/>
      <c r="AV78" s="71"/>
      <c r="AW78" s="520" t="s">
        <v>94</v>
      </c>
      <c r="AX78" s="522"/>
      <c r="AY78" s="618"/>
      <c r="AZ78" s="619"/>
      <c r="BA78" s="619"/>
      <c r="BB78" s="619"/>
      <c r="BC78" s="619"/>
      <c r="BD78" s="619"/>
      <c r="BE78" s="619"/>
      <c r="BF78" s="619"/>
      <c r="BG78" s="619"/>
      <c r="BH78" s="619"/>
      <c r="BI78" s="619"/>
      <c r="BJ78" s="619"/>
      <c r="BK78" s="619"/>
      <c r="BL78" s="619"/>
      <c r="BM78" s="619"/>
      <c r="BN78" s="619"/>
      <c r="BO78" s="619"/>
      <c r="BP78" s="620"/>
      <c r="BQ78" s="71"/>
    </row>
    <row r="79" spans="2:69" ht="17" customHeight="1" x14ac:dyDescent="0.25">
      <c r="B79" s="70" t="str">
        <f>法术数据!AP15</f>
        <v/>
      </c>
      <c r="C79" s="682"/>
      <c r="D79" s="683"/>
      <c r="E79" s="683"/>
      <c r="F79" s="683"/>
      <c r="G79" s="684"/>
      <c r="I79" s="70" t="str">
        <f>法术数据!AP30</f>
        <v/>
      </c>
      <c r="J79" s="609"/>
      <c r="K79" s="610"/>
      <c r="L79" s="610"/>
      <c r="M79" s="610"/>
      <c r="N79" s="611"/>
      <c r="P79" s="70" t="str">
        <f>法术数据!AP45</f>
        <v/>
      </c>
      <c r="Q79" s="609"/>
      <c r="R79" s="610"/>
      <c r="S79" s="610"/>
      <c r="T79" s="610"/>
      <c r="U79" s="611"/>
      <c r="W79" s="753"/>
      <c r="X79" s="754"/>
      <c r="Y79" s="754"/>
      <c r="Z79" s="754"/>
      <c r="AA79" s="754"/>
      <c r="AB79" s="754"/>
      <c r="AC79" s="754"/>
      <c r="AD79" s="754"/>
      <c r="AE79" s="754"/>
      <c r="AF79" s="754"/>
      <c r="AG79" s="754"/>
      <c r="AH79" s="754"/>
      <c r="AI79" s="754"/>
      <c r="AJ79" s="754"/>
      <c r="AK79" s="754"/>
      <c r="AL79" s="754"/>
      <c r="AM79" s="754"/>
      <c r="AN79" s="754"/>
      <c r="AO79" s="754"/>
      <c r="AP79" s="754"/>
      <c r="AQ79" s="754"/>
      <c r="AR79" s="754"/>
      <c r="AS79" s="755"/>
      <c r="AT79" s="11"/>
      <c r="AV79" s="71"/>
      <c r="AW79" s="520" t="s">
        <v>226</v>
      </c>
      <c r="AX79" s="522"/>
      <c r="AY79" s="618"/>
      <c r="AZ79" s="619"/>
      <c r="BA79" s="619"/>
      <c r="BB79" s="619"/>
      <c r="BC79" s="619"/>
      <c r="BD79" s="619"/>
      <c r="BE79" s="619"/>
      <c r="BF79" s="620"/>
      <c r="BG79" s="520" t="s">
        <v>21</v>
      </c>
      <c r="BH79" s="522"/>
      <c r="BI79" s="618"/>
      <c r="BJ79" s="619"/>
      <c r="BK79" s="619"/>
      <c r="BL79" s="619"/>
      <c r="BM79" s="619"/>
      <c r="BN79" s="619"/>
      <c r="BO79" s="619"/>
      <c r="BP79" s="620"/>
      <c r="BQ79" s="71"/>
    </row>
    <row r="80" spans="2:69" ht="17" customHeight="1" x14ac:dyDescent="0.3">
      <c r="B80" s="70" t="str">
        <f>法术数据!AP16</f>
        <v/>
      </c>
      <c r="C80" s="682"/>
      <c r="D80" s="683"/>
      <c r="E80" s="683"/>
      <c r="F80" s="683"/>
      <c r="G80" s="684"/>
      <c r="I80" s="70" t="str">
        <f>法术数据!AP31</f>
        <v/>
      </c>
      <c r="J80" s="609"/>
      <c r="K80" s="610"/>
      <c r="L80" s="610"/>
      <c r="M80" s="610"/>
      <c r="N80" s="611"/>
      <c r="P80" s="70" t="str">
        <f>法术数据!AP46</f>
        <v/>
      </c>
      <c r="Q80" s="609"/>
      <c r="R80" s="610"/>
      <c r="S80" s="610"/>
      <c r="T80" s="610"/>
      <c r="U80" s="611"/>
      <c r="W80" s="756"/>
      <c r="X80" s="757"/>
      <c r="Y80" s="757"/>
      <c r="Z80" s="757"/>
      <c r="AA80" s="757"/>
      <c r="AB80" s="757"/>
      <c r="AC80" s="757"/>
      <c r="AD80" s="757"/>
      <c r="AE80" s="757"/>
      <c r="AF80" s="757"/>
      <c r="AG80" s="757"/>
      <c r="AH80" s="757"/>
      <c r="AI80" s="757"/>
      <c r="AJ80" s="757"/>
      <c r="AK80" s="757"/>
      <c r="AL80" s="757"/>
      <c r="AM80" s="757"/>
      <c r="AN80" s="757"/>
      <c r="AO80" s="757"/>
      <c r="AP80" s="757"/>
      <c r="AQ80" s="757"/>
      <c r="AR80" s="757"/>
      <c r="AS80" s="758"/>
      <c r="AT80" s="11"/>
      <c r="AV80" s="71"/>
      <c r="AW80" s="632" t="s">
        <v>227</v>
      </c>
      <c r="AX80" s="632"/>
      <c r="AY80" s="71"/>
      <c r="AZ80" s="71"/>
      <c r="BA80" s="71"/>
      <c r="BB80" s="71"/>
      <c r="BC80" s="71"/>
      <c r="BD80" s="71"/>
      <c r="BE80" s="71"/>
      <c r="BF80" s="71"/>
      <c r="BG80" s="71"/>
      <c r="BH80" s="71"/>
      <c r="BI80" s="71"/>
      <c r="BJ80" s="71"/>
      <c r="BK80" s="71"/>
      <c r="BL80" s="71"/>
      <c r="BM80" s="71"/>
      <c r="BN80" s="71"/>
      <c r="BO80" s="71"/>
      <c r="BP80" s="71"/>
      <c r="BQ80" s="71"/>
    </row>
    <row r="81" spans="2:69" ht="17" customHeight="1" x14ac:dyDescent="0.25">
      <c r="AP81" s="11"/>
      <c r="AQ81" s="11"/>
      <c r="AR81" s="11"/>
      <c r="AS81" s="11"/>
      <c r="AT81" s="11"/>
      <c r="AV81" s="71"/>
      <c r="AW81" s="558"/>
      <c r="AX81" s="559"/>
      <c r="AY81" s="559"/>
      <c r="AZ81" s="559"/>
      <c r="BA81" s="559"/>
      <c r="BB81" s="559"/>
      <c r="BC81" s="559"/>
      <c r="BD81" s="559"/>
      <c r="BE81" s="559"/>
      <c r="BF81" s="559"/>
      <c r="BG81" s="559"/>
      <c r="BH81" s="559"/>
      <c r="BI81" s="559"/>
      <c r="BJ81" s="559"/>
      <c r="BK81" s="559"/>
      <c r="BL81" s="559"/>
      <c r="BM81" s="559"/>
      <c r="BN81" s="559"/>
      <c r="BO81" s="559"/>
      <c r="BP81" s="560"/>
      <c r="BQ81" s="71"/>
    </row>
    <row r="82" spans="2:69" ht="17" customHeight="1" x14ac:dyDescent="0.25">
      <c r="B82" s="746" t="s">
        <v>1531</v>
      </c>
      <c r="C82" s="747"/>
      <c r="D82" s="747"/>
      <c r="E82" s="747"/>
      <c r="F82" s="747"/>
      <c r="G82" s="748"/>
      <c r="H82" s="75"/>
      <c r="I82" s="12"/>
      <c r="J82" s="12"/>
      <c r="K82" s="627" t="s">
        <v>228</v>
      </c>
      <c r="L82" s="627"/>
      <c r="M82" s="627"/>
      <c r="N82" s="627"/>
      <c r="O82" s="627"/>
      <c r="P82" s="12"/>
      <c r="Q82" s="12"/>
      <c r="R82" s="580" t="str">
        <f>IF(B82="","请选择职业",IF(职业数据!AC22&gt;=1,"职业无等级",IF(职业数据!AB20&gt;=1,"职业重复",IF(职业数据!AC20&gt;=1,"子职错误",IF(职业数据!AC21&gt;=1,"未选子职",IF(职业数据!BI48&gt;1,"有重复特性",IF(职业数据!BH47&gt;=1,"有互斥特性",IF(职业数据!BI50&gt;=1,"可选特性未选",IF(职业数据!BI51&gt;=1,"可选特性选多","")))))))))</f>
        <v>子职错误</v>
      </c>
      <c r="S82" s="580"/>
      <c r="T82" s="580"/>
      <c r="U82" s="580"/>
      <c r="V82" s="580"/>
      <c r="W82" s="12"/>
      <c r="Y82" s="12"/>
      <c r="Z82" s="659" t="str">
        <f>IF(D6="","请选择种族",IF(种族数据!U18=1,"未选亚种",IF(种族数据!T18=0,"错误亚种",IF(种族数据!AC16&gt;1,"有重复特性",IF(种族数据!AC17&gt;=1,"有互斥特性",IF(种族数据!AD17&gt;1,"强化错误",""))))))</f>
        <v/>
      </c>
      <c r="AA82" s="659"/>
      <c r="AB82" s="659"/>
      <c r="AC82" s="659"/>
      <c r="AD82" s="659"/>
      <c r="AE82" s="12"/>
      <c r="AF82" s="12"/>
      <c r="AG82" s="627" t="s">
        <v>229</v>
      </c>
      <c r="AH82" s="627"/>
      <c r="AI82" s="627"/>
      <c r="AJ82" s="627"/>
      <c r="AK82" s="627"/>
      <c r="AL82" s="12"/>
      <c r="AM82" s="12"/>
      <c r="AN82" s="12"/>
      <c r="AO82" s="627"/>
      <c r="AP82" s="627"/>
      <c r="AQ82" s="627"/>
      <c r="AR82" s="627"/>
      <c r="AS82" s="627"/>
      <c r="AT82" s="11"/>
      <c r="AV82" s="71"/>
      <c r="AW82" s="561"/>
      <c r="AX82" s="562"/>
      <c r="AY82" s="562"/>
      <c r="AZ82" s="562"/>
      <c r="BA82" s="562"/>
      <c r="BB82" s="562"/>
      <c r="BC82" s="562"/>
      <c r="BD82" s="562"/>
      <c r="BE82" s="562"/>
      <c r="BF82" s="562"/>
      <c r="BG82" s="562"/>
      <c r="BH82" s="562"/>
      <c r="BI82" s="562"/>
      <c r="BJ82" s="562"/>
      <c r="BK82" s="562"/>
      <c r="BL82" s="562"/>
      <c r="BM82" s="562"/>
      <c r="BN82" s="562"/>
      <c r="BO82" s="562"/>
      <c r="BP82" s="563"/>
      <c r="BQ82" s="71"/>
    </row>
    <row r="83" spans="2:69" ht="17" customHeight="1" x14ac:dyDescent="0.3">
      <c r="B83" s="685" t="s">
        <v>230</v>
      </c>
      <c r="C83" s="685"/>
      <c r="D83" s="813" t="s">
        <v>109</v>
      </c>
      <c r="E83" s="813"/>
      <c r="F83" s="813"/>
      <c r="G83" s="76"/>
      <c r="H83" s="582" t="s">
        <v>169</v>
      </c>
      <c r="I83" s="582"/>
      <c r="J83" s="582"/>
      <c r="K83" s="582"/>
      <c r="L83" s="582"/>
      <c r="M83" s="582"/>
      <c r="N83" s="582"/>
      <c r="O83" s="582"/>
      <c r="P83" s="582"/>
      <c r="Q83" s="582"/>
      <c r="R83" s="582"/>
      <c r="S83" s="582"/>
      <c r="T83" s="582"/>
      <c r="U83" s="582"/>
      <c r="V83" s="582"/>
      <c r="W83" s="582"/>
      <c r="Y83" s="582" t="s">
        <v>230</v>
      </c>
      <c r="Z83" s="582"/>
      <c r="AA83" s="582" t="s">
        <v>109</v>
      </c>
      <c r="AB83" s="582"/>
      <c r="AC83" s="582"/>
      <c r="AD83" s="31"/>
      <c r="AE83" s="582" t="s">
        <v>169</v>
      </c>
      <c r="AF83" s="582"/>
      <c r="AG83" s="582"/>
      <c r="AH83" s="582"/>
      <c r="AI83" s="582"/>
      <c r="AJ83" s="582"/>
      <c r="AK83" s="582"/>
      <c r="AL83" s="582"/>
      <c r="AM83" s="582"/>
      <c r="AN83" s="582"/>
      <c r="AO83" s="582"/>
      <c r="AP83" s="582"/>
      <c r="AQ83" s="582"/>
      <c r="AR83" s="582"/>
      <c r="AS83" s="582"/>
      <c r="AT83" s="11"/>
      <c r="AV83" s="71"/>
      <c r="AW83" s="561"/>
      <c r="AX83" s="562"/>
      <c r="AY83" s="562"/>
      <c r="AZ83" s="562"/>
      <c r="BA83" s="562"/>
      <c r="BB83" s="562"/>
      <c r="BC83" s="562"/>
      <c r="BD83" s="562"/>
      <c r="BE83" s="562"/>
      <c r="BF83" s="562"/>
      <c r="BG83" s="562"/>
      <c r="BH83" s="562"/>
      <c r="BI83" s="562"/>
      <c r="BJ83" s="562"/>
      <c r="BK83" s="562"/>
      <c r="BL83" s="562"/>
      <c r="BM83" s="562"/>
      <c r="BN83" s="562"/>
      <c r="BO83" s="562"/>
      <c r="BP83" s="563"/>
      <c r="BQ83" s="71"/>
    </row>
    <row r="84" spans="2:69" ht="17" customHeight="1" x14ac:dyDescent="0.25">
      <c r="B84" s="35"/>
      <c r="C84" s="678" t="s">
        <v>231</v>
      </c>
      <c r="D84" s="663"/>
      <c r="E84" s="663"/>
      <c r="F84" s="663"/>
      <c r="G84" s="664"/>
      <c r="H84" s="621" t="s">
        <v>8858</v>
      </c>
      <c r="I84" s="622"/>
      <c r="J84" s="622"/>
      <c r="K84" s="622"/>
      <c r="L84" s="622"/>
      <c r="M84" s="622"/>
      <c r="N84" s="622"/>
      <c r="O84" s="622"/>
      <c r="P84" s="622"/>
      <c r="Q84" s="622"/>
      <c r="R84" s="622"/>
      <c r="S84" s="622"/>
      <c r="T84" s="622"/>
      <c r="U84" s="622"/>
      <c r="V84" s="622"/>
      <c r="W84" s="623"/>
      <c r="Y84" s="35"/>
      <c r="Z84" s="678" t="s">
        <v>232</v>
      </c>
      <c r="AA84" s="663"/>
      <c r="AB84" s="663"/>
      <c r="AC84" s="663"/>
      <c r="AD84" s="664"/>
      <c r="AE84" s="621" t="s">
        <v>8874</v>
      </c>
      <c r="AF84" s="622"/>
      <c r="AG84" s="622"/>
      <c r="AH84" s="622"/>
      <c r="AI84" s="622"/>
      <c r="AJ84" s="622"/>
      <c r="AK84" s="622"/>
      <c r="AL84" s="622"/>
      <c r="AM84" s="622"/>
      <c r="AN84" s="622"/>
      <c r="AO84" s="622"/>
      <c r="AP84" s="622"/>
      <c r="AQ84" s="622"/>
      <c r="AR84" s="622"/>
      <c r="AS84" s="623"/>
      <c r="AV84" s="71"/>
      <c r="AW84" s="561"/>
      <c r="AX84" s="562"/>
      <c r="AY84" s="562"/>
      <c r="AZ84" s="562"/>
      <c r="BA84" s="562"/>
      <c r="BB84" s="562"/>
      <c r="BC84" s="562"/>
      <c r="BD84" s="562"/>
      <c r="BE84" s="562"/>
      <c r="BF84" s="562"/>
      <c r="BG84" s="562"/>
      <c r="BH84" s="562"/>
      <c r="BI84" s="562"/>
      <c r="BJ84" s="562"/>
      <c r="BK84" s="562"/>
      <c r="BL84" s="562"/>
      <c r="BM84" s="562"/>
      <c r="BN84" s="562"/>
      <c r="BO84" s="562"/>
      <c r="BP84" s="563"/>
      <c r="BQ84" s="71"/>
    </row>
    <row r="85" spans="2:69" ht="17" customHeight="1" x14ac:dyDescent="0.25">
      <c r="B85" s="50"/>
      <c r="C85" s="652" t="s">
        <v>233</v>
      </c>
      <c r="D85" s="634"/>
      <c r="E85" s="634"/>
      <c r="F85" s="634"/>
      <c r="G85" s="635"/>
      <c r="H85" s="624"/>
      <c r="I85" s="625"/>
      <c r="J85" s="625"/>
      <c r="K85" s="625"/>
      <c r="L85" s="625"/>
      <c r="M85" s="625"/>
      <c r="N85" s="625"/>
      <c r="O85" s="625"/>
      <c r="P85" s="625"/>
      <c r="Q85" s="625"/>
      <c r="R85" s="625"/>
      <c r="S85" s="625"/>
      <c r="T85" s="625"/>
      <c r="U85" s="625"/>
      <c r="V85" s="625"/>
      <c r="W85" s="626"/>
      <c r="Y85" s="50"/>
      <c r="Z85" s="652" t="s">
        <v>98</v>
      </c>
      <c r="AA85" s="634"/>
      <c r="AB85" s="634"/>
      <c r="AC85" s="634"/>
      <c r="AD85" s="635"/>
      <c r="AE85" s="624" t="s">
        <v>558</v>
      </c>
      <c r="AF85" s="625"/>
      <c r="AG85" s="625"/>
      <c r="AH85" s="625"/>
      <c r="AI85" s="625"/>
      <c r="AJ85" s="625"/>
      <c r="AK85" s="625"/>
      <c r="AL85" s="625"/>
      <c r="AM85" s="625"/>
      <c r="AN85" s="625"/>
      <c r="AO85" s="625"/>
      <c r="AP85" s="625"/>
      <c r="AQ85" s="625"/>
      <c r="AR85" s="625"/>
      <c r="AS85" s="626"/>
      <c r="AV85" s="71"/>
      <c r="AW85" s="561"/>
      <c r="AX85" s="562"/>
      <c r="AY85" s="562"/>
      <c r="AZ85" s="562"/>
      <c r="BA85" s="562"/>
      <c r="BB85" s="562"/>
      <c r="BC85" s="562"/>
      <c r="BD85" s="562"/>
      <c r="BE85" s="562"/>
      <c r="BF85" s="562"/>
      <c r="BG85" s="562"/>
      <c r="BH85" s="562"/>
      <c r="BI85" s="562"/>
      <c r="BJ85" s="562"/>
      <c r="BK85" s="562"/>
      <c r="BL85" s="562"/>
      <c r="BM85" s="562"/>
      <c r="BN85" s="562"/>
      <c r="BO85" s="562"/>
      <c r="BP85" s="563"/>
      <c r="BQ85" s="71"/>
    </row>
    <row r="86" spans="2:69" ht="17" customHeight="1" x14ac:dyDescent="0.25">
      <c r="B86" s="35"/>
      <c r="C86" s="678" t="s">
        <v>234</v>
      </c>
      <c r="D86" s="663"/>
      <c r="E86" s="663"/>
      <c r="F86" s="663"/>
      <c r="G86" s="664"/>
      <c r="H86" s="621"/>
      <c r="I86" s="622"/>
      <c r="J86" s="622"/>
      <c r="K86" s="622"/>
      <c r="L86" s="622"/>
      <c r="M86" s="622"/>
      <c r="N86" s="622"/>
      <c r="O86" s="622"/>
      <c r="P86" s="622"/>
      <c r="Q86" s="622"/>
      <c r="R86" s="622"/>
      <c r="S86" s="622"/>
      <c r="T86" s="622"/>
      <c r="U86" s="622"/>
      <c r="V86" s="622"/>
      <c r="W86" s="623"/>
      <c r="Y86" s="35"/>
      <c r="Z86" s="678" t="s">
        <v>97</v>
      </c>
      <c r="AA86" s="663"/>
      <c r="AB86" s="663"/>
      <c r="AC86" s="663"/>
      <c r="AD86" s="664"/>
      <c r="AE86" s="621" t="s">
        <v>1019</v>
      </c>
      <c r="AF86" s="622"/>
      <c r="AG86" s="622"/>
      <c r="AH86" s="622"/>
      <c r="AI86" s="622"/>
      <c r="AJ86" s="622"/>
      <c r="AK86" s="622"/>
      <c r="AL86" s="622"/>
      <c r="AM86" s="622"/>
      <c r="AN86" s="622"/>
      <c r="AO86" s="622"/>
      <c r="AP86" s="622"/>
      <c r="AQ86" s="622"/>
      <c r="AR86" s="622"/>
      <c r="AS86" s="623"/>
      <c r="AV86" s="71"/>
      <c r="AW86" s="561"/>
      <c r="AX86" s="562"/>
      <c r="AY86" s="562"/>
      <c r="AZ86" s="562"/>
      <c r="BA86" s="562"/>
      <c r="BB86" s="562"/>
      <c r="BC86" s="562"/>
      <c r="BD86" s="562"/>
      <c r="BE86" s="562"/>
      <c r="BF86" s="562"/>
      <c r="BG86" s="562"/>
      <c r="BH86" s="562"/>
      <c r="BI86" s="562"/>
      <c r="BJ86" s="562"/>
      <c r="BK86" s="562"/>
      <c r="BL86" s="562"/>
      <c r="BM86" s="562"/>
      <c r="BN86" s="562"/>
      <c r="BO86" s="562"/>
      <c r="BP86" s="563"/>
      <c r="BQ86" s="71"/>
    </row>
    <row r="87" spans="2:69" ht="17" customHeight="1" x14ac:dyDescent="0.25">
      <c r="B87" s="50"/>
      <c r="C87" s="652" t="s">
        <v>235</v>
      </c>
      <c r="D87" s="634"/>
      <c r="E87" s="634"/>
      <c r="F87" s="634"/>
      <c r="G87" s="635"/>
      <c r="H87" s="624" t="s">
        <v>1538</v>
      </c>
      <c r="I87" s="625"/>
      <c r="J87" s="625"/>
      <c r="K87" s="625"/>
      <c r="L87" s="625"/>
      <c r="M87" s="625"/>
      <c r="N87" s="625"/>
      <c r="O87" s="625"/>
      <c r="P87" s="625"/>
      <c r="Q87" s="625"/>
      <c r="R87" s="625"/>
      <c r="S87" s="625"/>
      <c r="T87" s="625"/>
      <c r="U87" s="625"/>
      <c r="V87" s="625"/>
      <c r="W87" s="626"/>
      <c r="Y87" s="50"/>
      <c r="Z87" s="652" t="s">
        <v>8876</v>
      </c>
      <c r="AA87" s="634"/>
      <c r="AB87" s="634"/>
      <c r="AC87" s="634"/>
      <c r="AD87" s="635"/>
      <c r="AE87" s="624" t="s">
        <v>8875</v>
      </c>
      <c r="AF87" s="625"/>
      <c r="AG87" s="625"/>
      <c r="AH87" s="625"/>
      <c r="AI87" s="625"/>
      <c r="AJ87" s="625"/>
      <c r="AK87" s="625"/>
      <c r="AL87" s="625"/>
      <c r="AM87" s="625"/>
      <c r="AN87" s="625"/>
      <c r="AO87" s="625"/>
      <c r="AP87" s="625"/>
      <c r="AQ87" s="625"/>
      <c r="AR87" s="625"/>
      <c r="AS87" s="626"/>
      <c r="AV87" s="71"/>
      <c r="AW87" s="561"/>
      <c r="AX87" s="562"/>
      <c r="AY87" s="562"/>
      <c r="AZ87" s="562"/>
      <c r="BA87" s="562"/>
      <c r="BB87" s="562"/>
      <c r="BC87" s="562"/>
      <c r="BD87" s="562"/>
      <c r="BE87" s="562"/>
      <c r="BF87" s="562"/>
      <c r="BG87" s="562"/>
      <c r="BH87" s="562"/>
      <c r="BI87" s="562"/>
      <c r="BJ87" s="562"/>
      <c r="BK87" s="562"/>
      <c r="BL87" s="562"/>
      <c r="BM87" s="562"/>
      <c r="BN87" s="562"/>
      <c r="BO87" s="562"/>
      <c r="BP87" s="563"/>
      <c r="BQ87" s="71"/>
    </row>
    <row r="88" spans="2:69" ht="17" customHeight="1" x14ac:dyDescent="0.25">
      <c r="B88" s="35"/>
      <c r="C88" s="678" t="s">
        <v>236</v>
      </c>
      <c r="D88" s="663"/>
      <c r="E88" s="663"/>
      <c r="F88" s="663"/>
      <c r="G88" s="664"/>
      <c r="H88" s="621" t="s">
        <v>8871</v>
      </c>
      <c r="I88" s="622"/>
      <c r="J88" s="622"/>
      <c r="K88" s="622"/>
      <c r="L88" s="622"/>
      <c r="M88" s="622"/>
      <c r="N88" s="622"/>
      <c r="O88" s="622"/>
      <c r="P88" s="622"/>
      <c r="Q88" s="622"/>
      <c r="R88" s="622"/>
      <c r="S88" s="622"/>
      <c r="T88" s="622"/>
      <c r="U88" s="622"/>
      <c r="V88" s="622"/>
      <c r="W88" s="623"/>
      <c r="Y88" s="35"/>
      <c r="Z88" s="629" t="s">
        <v>8877</v>
      </c>
      <c r="AA88" s="663"/>
      <c r="AB88" s="663"/>
      <c r="AC88" s="663"/>
      <c r="AD88" s="664"/>
      <c r="AE88" s="621" t="s">
        <v>8878</v>
      </c>
      <c r="AF88" s="622"/>
      <c r="AG88" s="622"/>
      <c r="AH88" s="622"/>
      <c r="AI88" s="622"/>
      <c r="AJ88" s="622"/>
      <c r="AK88" s="622"/>
      <c r="AL88" s="622"/>
      <c r="AM88" s="622"/>
      <c r="AN88" s="622"/>
      <c r="AO88" s="622"/>
      <c r="AP88" s="622"/>
      <c r="AQ88" s="622"/>
      <c r="AR88" s="622"/>
      <c r="AS88" s="623"/>
      <c r="AV88" s="71"/>
      <c r="AW88" s="561"/>
      <c r="AX88" s="562"/>
      <c r="AY88" s="562"/>
      <c r="AZ88" s="562"/>
      <c r="BA88" s="562"/>
      <c r="BB88" s="562"/>
      <c r="BC88" s="562"/>
      <c r="BD88" s="562"/>
      <c r="BE88" s="562"/>
      <c r="BF88" s="562"/>
      <c r="BG88" s="562"/>
      <c r="BH88" s="562"/>
      <c r="BI88" s="562"/>
      <c r="BJ88" s="562"/>
      <c r="BK88" s="562"/>
      <c r="BL88" s="562"/>
      <c r="BM88" s="562"/>
      <c r="BN88" s="562"/>
      <c r="BO88" s="562"/>
      <c r="BP88" s="563"/>
      <c r="BQ88" s="71"/>
    </row>
    <row r="89" spans="2:69" ht="17" customHeight="1" x14ac:dyDescent="0.25">
      <c r="B89" s="50"/>
      <c r="C89" s="652" t="s">
        <v>237</v>
      </c>
      <c r="D89" s="634"/>
      <c r="E89" s="634"/>
      <c r="F89" s="634"/>
      <c r="G89" s="635"/>
      <c r="H89" s="624" t="s">
        <v>8872</v>
      </c>
      <c r="I89" s="625"/>
      <c r="J89" s="625"/>
      <c r="K89" s="625"/>
      <c r="L89" s="625"/>
      <c r="M89" s="625"/>
      <c r="N89" s="625"/>
      <c r="O89" s="625"/>
      <c r="P89" s="625"/>
      <c r="Q89" s="625"/>
      <c r="R89" s="625"/>
      <c r="S89" s="625"/>
      <c r="T89" s="625"/>
      <c r="U89" s="625"/>
      <c r="V89" s="625"/>
      <c r="W89" s="626"/>
      <c r="Y89" s="50"/>
      <c r="Z89" s="653" t="s">
        <v>8880</v>
      </c>
      <c r="AA89" s="634"/>
      <c r="AB89" s="634"/>
      <c r="AC89" s="634"/>
      <c r="AD89" s="635"/>
      <c r="AE89" s="624" t="s">
        <v>8879</v>
      </c>
      <c r="AF89" s="625"/>
      <c r="AG89" s="625"/>
      <c r="AH89" s="625"/>
      <c r="AI89" s="625"/>
      <c r="AJ89" s="625"/>
      <c r="AK89" s="625"/>
      <c r="AL89" s="625"/>
      <c r="AM89" s="625"/>
      <c r="AN89" s="625"/>
      <c r="AO89" s="625"/>
      <c r="AP89" s="625"/>
      <c r="AQ89" s="625"/>
      <c r="AR89" s="625"/>
      <c r="AS89" s="626"/>
      <c r="AV89" s="71"/>
      <c r="AW89" s="561"/>
      <c r="AX89" s="562"/>
      <c r="AY89" s="562"/>
      <c r="AZ89" s="562"/>
      <c r="BA89" s="562"/>
      <c r="BB89" s="562"/>
      <c r="BC89" s="562"/>
      <c r="BD89" s="562"/>
      <c r="BE89" s="562"/>
      <c r="BF89" s="562"/>
      <c r="BG89" s="562"/>
      <c r="BH89" s="562"/>
      <c r="BI89" s="562"/>
      <c r="BJ89" s="562"/>
      <c r="BK89" s="562"/>
      <c r="BL89" s="562"/>
      <c r="BM89" s="562"/>
      <c r="BN89" s="562"/>
      <c r="BO89" s="562"/>
      <c r="BP89" s="563"/>
      <c r="BQ89" s="71"/>
    </row>
    <row r="90" spans="2:69" ht="17" customHeight="1" x14ac:dyDescent="0.25">
      <c r="B90" s="35"/>
      <c r="C90" s="678" t="s">
        <v>238</v>
      </c>
      <c r="D90" s="663"/>
      <c r="E90" s="663"/>
      <c r="F90" s="663"/>
      <c r="G90" s="664"/>
      <c r="H90" s="621" t="s">
        <v>8859</v>
      </c>
      <c r="I90" s="622"/>
      <c r="J90" s="622"/>
      <c r="K90" s="622"/>
      <c r="L90" s="622"/>
      <c r="M90" s="622"/>
      <c r="N90" s="622"/>
      <c r="O90" s="622"/>
      <c r="P90" s="622"/>
      <c r="Q90" s="622"/>
      <c r="R90" s="622"/>
      <c r="S90" s="622"/>
      <c r="T90" s="622"/>
      <c r="U90" s="622"/>
      <c r="V90" s="622"/>
      <c r="W90" s="623"/>
      <c r="Y90" s="35"/>
      <c r="Z90" s="678"/>
      <c r="AA90" s="663"/>
      <c r="AB90" s="663"/>
      <c r="AC90" s="663"/>
      <c r="AD90" s="664"/>
      <c r="AE90" s="621"/>
      <c r="AF90" s="622"/>
      <c r="AG90" s="622"/>
      <c r="AH90" s="622"/>
      <c r="AI90" s="622"/>
      <c r="AJ90" s="622"/>
      <c r="AK90" s="622"/>
      <c r="AL90" s="622"/>
      <c r="AM90" s="622"/>
      <c r="AN90" s="622"/>
      <c r="AO90" s="622"/>
      <c r="AP90" s="622"/>
      <c r="AQ90" s="622"/>
      <c r="AR90" s="622"/>
      <c r="AS90" s="623"/>
      <c r="AV90" s="71"/>
      <c r="AW90" s="561"/>
      <c r="AX90" s="562"/>
      <c r="AY90" s="562"/>
      <c r="AZ90" s="562"/>
      <c r="BA90" s="562"/>
      <c r="BB90" s="562"/>
      <c r="BC90" s="562"/>
      <c r="BD90" s="562"/>
      <c r="BE90" s="562"/>
      <c r="BF90" s="562"/>
      <c r="BG90" s="562"/>
      <c r="BH90" s="562"/>
      <c r="BI90" s="562"/>
      <c r="BJ90" s="562"/>
      <c r="BK90" s="562"/>
      <c r="BL90" s="562"/>
      <c r="BM90" s="562"/>
      <c r="BN90" s="562"/>
      <c r="BO90" s="562"/>
      <c r="BP90" s="563"/>
      <c r="BQ90" s="71"/>
    </row>
    <row r="91" spans="2:69" ht="17" customHeight="1" x14ac:dyDescent="0.25">
      <c r="B91" s="50"/>
      <c r="C91" s="652"/>
      <c r="D91" s="634"/>
      <c r="E91" s="634"/>
      <c r="F91" s="634"/>
      <c r="G91" s="635"/>
      <c r="H91" s="624"/>
      <c r="I91" s="625"/>
      <c r="J91" s="625"/>
      <c r="K91" s="625"/>
      <c r="L91" s="625"/>
      <c r="M91" s="625"/>
      <c r="N91" s="625"/>
      <c r="O91" s="625"/>
      <c r="P91" s="625"/>
      <c r="Q91" s="625"/>
      <c r="R91" s="625"/>
      <c r="S91" s="625"/>
      <c r="T91" s="625"/>
      <c r="U91" s="625"/>
      <c r="V91" s="625"/>
      <c r="W91" s="626"/>
      <c r="Y91" s="50"/>
      <c r="Z91" s="652"/>
      <c r="AA91" s="634"/>
      <c r="AB91" s="634"/>
      <c r="AC91" s="634"/>
      <c r="AD91" s="635"/>
      <c r="AE91" s="624"/>
      <c r="AF91" s="625"/>
      <c r="AG91" s="625"/>
      <c r="AH91" s="625"/>
      <c r="AI91" s="625"/>
      <c r="AJ91" s="625"/>
      <c r="AK91" s="625"/>
      <c r="AL91" s="625"/>
      <c r="AM91" s="625"/>
      <c r="AN91" s="625"/>
      <c r="AO91" s="625"/>
      <c r="AP91" s="625"/>
      <c r="AQ91" s="625"/>
      <c r="AR91" s="625"/>
      <c r="AS91" s="626"/>
      <c r="AV91" s="71"/>
      <c r="AW91" s="561"/>
      <c r="AX91" s="562"/>
      <c r="AY91" s="562"/>
      <c r="AZ91" s="562"/>
      <c r="BA91" s="562"/>
      <c r="BB91" s="562"/>
      <c r="BC91" s="562"/>
      <c r="BD91" s="562"/>
      <c r="BE91" s="562"/>
      <c r="BF91" s="562"/>
      <c r="BG91" s="562"/>
      <c r="BH91" s="562"/>
      <c r="BI91" s="562"/>
      <c r="BJ91" s="562"/>
      <c r="BK91" s="562"/>
      <c r="BL91" s="562"/>
      <c r="BM91" s="562"/>
      <c r="BN91" s="562"/>
      <c r="BO91" s="562"/>
      <c r="BP91" s="563"/>
      <c r="BQ91" s="71"/>
    </row>
    <row r="92" spans="2:69" ht="17" customHeight="1" x14ac:dyDescent="0.25">
      <c r="B92" s="35"/>
      <c r="C92" s="678"/>
      <c r="D92" s="663"/>
      <c r="E92" s="663"/>
      <c r="F92" s="663"/>
      <c r="G92" s="664"/>
      <c r="H92" s="621"/>
      <c r="I92" s="622"/>
      <c r="J92" s="622"/>
      <c r="K92" s="622"/>
      <c r="L92" s="622"/>
      <c r="M92" s="622"/>
      <c r="N92" s="622"/>
      <c r="O92" s="622"/>
      <c r="P92" s="622"/>
      <c r="Q92" s="622"/>
      <c r="R92" s="622"/>
      <c r="S92" s="622"/>
      <c r="T92" s="622"/>
      <c r="U92" s="622"/>
      <c r="V92" s="622"/>
      <c r="W92" s="623"/>
      <c r="Y92" s="35"/>
      <c r="Z92" s="678"/>
      <c r="AA92" s="663"/>
      <c r="AB92" s="663"/>
      <c r="AC92" s="663"/>
      <c r="AD92" s="664"/>
      <c r="AE92" s="621"/>
      <c r="AF92" s="622"/>
      <c r="AG92" s="622"/>
      <c r="AH92" s="622"/>
      <c r="AI92" s="622"/>
      <c r="AJ92" s="622"/>
      <c r="AK92" s="622"/>
      <c r="AL92" s="622"/>
      <c r="AM92" s="622"/>
      <c r="AN92" s="622"/>
      <c r="AO92" s="622"/>
      <c r="AP92" s="622"/>
      <c r="AQ92" s="622"/>
      <c r="AR92" s="622"/>
      <c r="AS92" s="623"/>
      <c r="AV92" s="71"/>
      <c r="AW92" s="561"/>
      <c r="AX92" s="562"/>
      <c r="AY92" s="562"/>
      <c r="AZ92" s="562"/>
      <c r="BA92" s="562"/>
      <c r="BB92" s="562"/>
      <c r="BC92" s="562"/>
      <c r="BD92" s="562"/>
      <c r="BE92" s="562"/>
      <c r="BF92" s="562"/>
      <c r="BG92" s="562"/>
      <c r="BH92" s="562"/>
      <c r="BI92" s="562"/>
      <c r="BJ92" s="562"/>
      <c r="BK92" s="562"/>
      <c r="BL92" s="562"/>
      <c r="BM92" s="562"/>
      <c r="BN92" s="562"/>
      <c r="BO92" s="562"/>
      <c r="BP92" s="563"/>
      <c r="BQ92" s="71"/>
    </row>
    <row r="93" spans="2:69" ht="17" customHeight="1" x14ac:dyDescent="0.25">
      <c r="B93" s="50"/>
      <c r="C93" s="652"/>
      <c r="D93" s="634"/>
      <c r="E93" s="634"/>
      <c r="F93" s="634"/>
      <c r="G93" s="635"/>
      <c r="H93" s="624"/>
      <c r="I93" s="625"/>
      <c r="J93" s="625"/>
      <c r="K93" s="625"/>
      <c r="L93" s="625"/>
      <c r="M93" s="625"/>
      <c r="N93" s="625"/>
      <c r="O93" s="625"/>
      <c r="P93" s="625"/>
      <c r="Q93" s="625"/>
      <c r="R93" s="625"/>
      <c r="S93" s="625"/>
      <c r="T93" s="625"/>
      <c r="U93" s="625"/>
      <c r="V93" s="625"/>
      <c r="W93" s="626"/>
      <c r="Y93" s="50"/>
      <c r="Z93" s="652"/>
      <c r="AA93" s="634"/>
      <c r="AB93" s="634"/>
      <c r="AC93" s="634"/>
      <c r="AD93" s="635"/>
      <c r="AE93" s="624"/>
      <c r="AF93" s="625"/>
      <c r="AG93" s="625"/>
      <c r="AH93" s="625"/>
      <c r="AI93" s="625"/>
      <c r="AJ93" s="625"/>
      <c r="AK93" s="625"/>
      <c r="AL93" s="625"/>
      <c r="AM93" s="625"/>
      <c r="AN93" s="625"/>
      <c r="AO93" s="625"/>
      <c r="AP93" s="625"/>
      <c r="AQ93" s="625"/>
      <c r="AR93" s="625"/>
      <c r="AS93" s="626"/>
      <c r="AV93" s="71"/>
      <c r="AW93" s="561"/>
      <c r="AX93" s="562"/>
      <c r="AY93" s="562"/>
      <c r="AZ93" s="562"/>
      <c r="BA93" s="562"/>
      <c r="BB93" s="562"/>
      <c r="BC93" s="562"/>
      <c r="BD93" s="562"/>
      <c r="BE93" s="562"/>
      <c r="BF93" s="562"/>
      <c r="BG93" s="562"/>
      <c r="BH93" s="562"/>
      <c r="BI93" s="562"/>
      <c r="BJ93" s="562"/>
      <c r="BK93" s="562"/>
      <c r="BL93" s="562"/>
      <c r="BM93" s="562"/>
      <c r="BN93" s="562"/>
      <c r="BO93" s="562"/>
      <c r="BP93" s="563"/>
      <c r="BQ93" s="71"/>
    </row>
    <row r="94" spans="2:69" ht="17" customHeight="1" x14ac:dyDescent="0.25">
      <c r="B94" s="35"/>
      <c r="C94" s="678"/>
      <c r="D94" s="663"/>
      <c r="E94" s="663"/>
      <c r="F94" s="663"/>
      <c r="G94" s="664"/>
      <c r="H94" s="621"/>
      <c r="I94" s="622"/>
      <c r="J94" s="622"/>
      <c r="K94" s="622"/>
      <c r="L94" s="622"/>
      <c r="M94" s="622"/>
      <c r="N94" s="622"/>
      <c r="O94" s="622"/>
      <c r="P94" s="622"/>
      <c r="Q94" s="622"/>
      <c r="R94" s="622"/>
      <c r="S94" s="622"/>
      <c r="T94" s="622"/>
      <c r="U94" s="622"/>
      <c r="V94" s="622"/>
      <c r="W94" s="623"/>
      <c r="Y94" s="35"/>
      <c r="Z94" s="678"/>
      <c r="AA94" s="663"/>
      <c r="AB94" s="663"/>
      <c r="AC94" s="663"/>
      <c r="AD94" s="664"/>
      <c r="AE94" s="621"/>
      <c r="AF94" s="622"/>
      <c r="AG94" s="622"/>
      <c r="AH94" s="622"/>
      <c r="AI94" s="622"/>
      <c r="AJ94" s="622"/>
      <c r="AK94" s="622"/>
      <c r="AL94" s="622"/>
      <c r="AM94" s="622"/>
      <c r="AN94" s="622"/>
      <c r="AO94" s="622"/>
      <c r="AP94" s="622"/>
      <c r="AQ94" s="622"/>
      <c r="AR94" s="622"/>
      <c r="AS94" s="623"/>
      <c r="AV94" s="71"/>
      <c r="AW94" s="561"/>
      <c r="AX94" s="562"/>
      <c r="AY94" s="562"/>
      <c r="AZ94" s="562"/>
      <c r="BA94" s="562"/>
      <c r="BB94" s="562"/>
      <c r="BC94" s="562"/>
      <c r="BD94" s="562"/>
      <c r="BE94" s="562"/>
      <c r="BF94" s="562"/>
      <c r="BG94" s="562"/>
      <c r="BH94" s="562"/>
      <c r="BI94" s="562"/>
      <c r="BJ94" s="562"/>
      <c r="BK94" s="562"/>
      <c r="BL94" s="562"/>
      <c r="BM94" s="562"/>
      <c r="BN94" s="562"/>
      <c r="BO94" s="562"/>
      <c r="BP94" s="563"/>
      <c r="BQ94" s="71"/>
    </row>
    <row r="95" spans="2:69" ht="17" customHeight="1" x14ac:dyDescent="0.25">
      <c r="B95" s="50"/>
      <c r="C95" s="652" t="s">
        <v>8873</v>
      </c>
      <c r="D95" s="634"/>
      <c r="E95" s="634"/>
      <c r="F95" s="634"/>
      <c r="G95" s="635"/>
      <c r="H95" s="624" t="s">
        <v>8870</v>
      </c>
      <c r="I95" s="625"/>
      <c r="J95" s="625"/>
      <c r="K95" s="625"/>
      <c r="L95" s="625"/>
      <c r="M95" s="625"/>
      <c r="N95" s="625"/>
      <c r="O95" s="625"/>
      <c r="P95" s="625"/>
      <c r="Q95" s="625"/>
      <c r="R95" s="625"/>
      <c r="S95" s="625"/>
      <c r="T95" s="625"/>
      <c r="U95" s="625"/>
      <c r="V95" s="625"/>
      <c r="W95" s="626"/>
      <c r="Y95" s="50"/>
      <c r="Z95" s="652"/>
      <c r="AA95" s="634"/>
      <c r="AB95" s="634"/>
      <c r="AC95" s="634"/>
      <c r="AD95" s="635"/>
      <c r="AE95" s="624"/>
      <c r="AF95" s="625"/>
      <c r="AG95" s="625"/>
      <c r="AH95" s="625"/>
      <c r="AI95" s="625"/>
      <c r="AJ95" s="625"/>
      <c r="AK95" s="625"/>
      <c r="AL95" s="625"/>
      <c r="AM95" s="625"/>
      <c r="AN95" s="625"/>
      <c r="AO95" s="625"/>
      <c r="AP95" s="625"/>
      <c r="AQ95" s="625"/>
      <c r="AR95" s="625"/>
      <c r="AS95" s="626"/>
      <c r="AV95" s="71"/>
      <c r="AW95" s="564"/>
      <c r="AX95" s="565"/>
      <c r="AY95" s="565"/>
      <c r="AZ95" s="565"/>
      <c r="BA95" s="565"/>
      <c r="BB95" s="565"/>
      <c r="BC95" s="565"/>
      <c r="BD95" s="565"/>
      <c r="BE95" s="565"/>
      <c r="BF95" s="565"/>
      <c r="BG95" s="565"/>
      <c r="BH95" s="565"/>
      <c r="BI95" s="565"/>
      <c r="BJ95" s="565"/>
      <c r="BK95" s="565"/>
      <c r="BL95" s="565"/>
      <c r="BM95" s="565"/>
      <c r="BN95" s="565"/>
      <c r="BO95" s="565"/>
      <c r="BP95" s="566"/>
      <c r="BQ95" s="71"/>
    </row>
    <row r="96" spans="2:69" ht="17" customHeight="1" x14ac:dyDescent="0.3">
      <c r="B96" s="35"/>
      <c r="C96" s="678"/>
      <c r="D96" s="663"/>
      <c r="E96" s="663"/>
      <c r="F96" s="663"/>
      <c r="G96" s="664"/>
      <c r="H96" s="621"/>
      <c r="I96" s="622"/>
      <c r="J96" s="622"/>
      <c r="K96" s="622"/>
      <c r="L96" s="622"/>
      <c r="M96" s="622"/>
      <c r="N96" s="622"/>
      <c r="O96" s="622"/>
      <c r="P96" s="622"/>
      <c r="Q96" s="622"/>
      <c r="R96" s="622"/>
      <c r="S96" s="622"/>
      <c r="T96" s="622"/>
      <c r="U96" s="622"/>
      <c r="V96" s="622"/>
      <c r="W96" s="623"/>
      <c r="Y96" s="35"/>
      <c r="Z96" s="678"/>
      <c r="AA96" s="663"/>
      <c r="AB96" s="663"/>
      <c r="AC96" s="663"/>
      <c r="AD96" s="664"/>
      <c r="AE96" s="621"/>
      <c r="AF96" s="622"/>
      <c r="AG96" s="622"/>
      <c r="AH96" s="622"/>
      <c r="AI96" s="622"/>
      <c r="AJ96" s="622"/>
      <c r="AK96" s="622"/>
      <c r="AL96" s="622"/>
      <c r="AM96" s="622"/>
      <c r="AN96" s="622"/>
      <c r="AO96" s="622"/>
      <c r="AP96" s="622"/>
      <c r="AQ96" s="622"/>
      <c r="AR96" s="622"/>
      <c r="AS96" s="623"/>
      <c r="AV96" s="71"/>
      <c r="AW96" s="632" t="s">
        <v>110</v>
      </c>
      <c r="AX96" s="632"/>
      <c r="AY96" s="71"/>
      <c r="AZ96" s="71"/>
      <c r="BA96" s="71"/>
      <c r="BB96" s="71"/>
      <c r="BC96" s="71"/>
      <c r="BD96" s="71"/>
      <c r="BE96" s="71"/>
      <c r="BF96" s="71"/>
      <c r="BG96" s="71"/>
      <c r="BH96" s="71"/>
      <c r="BI96" s="71"/>
      <c r="BJ96" s="71"/>
      <c r="BK96" s="71"/>
      <c r="BL96" s="71"/>
      <c r="BM96" s="71"/>
      <c r="BN96" s="71"/>
      <c r="BO96" s="71"/>
      <c r="BP96" s="71"/>
      <c r="BQ96" s="71"/>
    </row>
    <row r="97" spans="2:69" ht="17" customHeight="1" x14ac:dyDescent="0.25">
      <c r="B97" s="50"/>
      <c r="C97" s="652"/>
      <c r="D97" s="634"/>
      <c r="E97" s="634"/>
      <c r="F97" s="634"/>
      <c r="G97" s="635"/>
      <c r="H97" s="624"/>
      <c r="I97" s="625"/>
      <c r="J97" s="625"/>
      <c r="K97" s="625"/>
      <c r="L97" s="625"/>
      <c r="M97" s="625"/>
      <c r="N97" s="625"/>
      <c r="O97" s="625"/>
      <c r="P97" s="625"/>
      <c r="Q97" s="625"/>
      <c r="R97" s="625"/>
      <c r="S97" s="625"/>
      <c r="T97" s="625"/>
      <c r="U97" s="625"/>
      <c r="V97" s="625"/>
      <c r="W97" s="626"/>
      <c r="Y97" s="50"/>
      <c r="Z97" s="652"/>
      <c r="AA97" s="634"/>
      <c r="AB97" s="634"/>
      <c r="AC97" s="634"/>
      <c r="AD97" s="635"/>
      <c r="AE97" s="624"/>
      <c r="AF97" s="625"/>
      <c r="AG97" s="625"/>
      <c r="AH97" s="625"/>
      <c r="AI97" s="625"/>
      <c r="AJ97" s="625"/>
      <c r="AK97" s="625"/>
      <c r="AL97" s="625"/>
      <c r="AM97" s="625"/>
      <c r="AN97" s="625"/>
      <c r="AO97" s="625"/>
      <c r="AP97" s="625"/>
      <c r="AQ97" s="625"/>
      <c r="AR97" s="625"/>
      <c r="AS97" s="626"/>
      <c r="AV97" s="71"/>
      <c r="AW97" s="558" t="s">
        <v>8856</v>
      </c>
      <c r="AX97" s="559"/>
      <c r="AY97" s="559"/>
      <c r="AZ97" s="559"/>
      <c r="BA97" s="559"/>
      <c r="BB97" s="559"/>
      <c r="BC97" s="559"/>
      <c r="BD97" s="559"/>
      <c r="BE97" s="559"/>
      <c r="BF97" s="559"/>
      <c r="BG97" s="559"/>
      <c r="BH97" s="559"/>
      <c r="BI97" s="559"/>
      <c r="BJ97" s="559"/>
      <c r="BK97" s="559"/>
      <c r="BL97" s="559"/>
      <c r="BM97" s="559"/>
      <c r="BN97" s="559"/>
      <c r="BO97" s="559"/>
      <c r="BP97" s="560"/>
      <c r="BQ97" s="71"/>
    </row>
    <row r="98" spans="2:69" ht="17" customHeight="1" x14ac:dyDescent="0.25">
      <c r="B98" s="35"/>
      <c r="C98" s="678"/>
      <c r="D98" s="663"/>
      <c r="E98" s="663"/>
      <c r="F98" s="663"/>
      <c r="G98" s="664"/>
      <c r="H98" s="621"/>
      <c r="I98" s="622"/>
      <c r="J98" s="622"/>
      <c r="K98" s="622"/>
      <c r="L98" s="622"/>
      <c r="M98" s="622"/>
      <c r="N98" s="622"/>
      <c r="O98" s="622"/>
      <c r="P98" s="622"/>
      <c r="Q98" s="622"/>
      <c r="R98" s="622"/>
      <c r="S98" s="622"/>
      <c r="T98" s="622"/>
      <c r="U98" s="622"/>
      <c r="V98" s="622"/>
      <c r="W98" s="623"/>
      <c r="Y98" s="4"/>
      <c r="Z98" s="4"/>
      <c r="AA98" s="4"/>
      <c r="AB98" s="4"/>
      <c r="AC98" s="4"/>
      <c r="AD98" s="4"/>
      <c r="AE98" s="4"/>
      <c r="AF98" s="4"/>
      <c r="AG98" s="4"/>
      <c r="AH98" s="4"/>
      <c r="AI98" s="4"/>
      <c r="AJ98" s="4"/>
      <c r="AK98" s="4"/>
      <c r="AL98" s="4"/>
      <c r="AM98" s="4"/>
      <c r="AN98" s="4"/>
      <c r="AO98" s="4"/>
      <c r="AP98" s="4"/>
      <c r="AQ98" s="4"/>
      <c r="AR98" s="4"/>
      <c r="AS98" s="4"/>
      <c r="AV98" s="71"/>
      <c r="AW98" s="561"/>
      <c r="AX98" s="562"/>
      <c r="AY98" s="562"/>
      <c r="AZ98" s="562"/>
      <c r="BA98" s="562"/>
      <c r="BB98" s="562"/>
      <c r="BC98" s="562"/>
      <c r="BD98" s="562"/>
      <c r="BE98" s="562"/>
      <c r="BF98" s="562"/>
      <c r="BG98" s="562"/>
      <c r="BH98" s="562"/>
      <c r="BI98" s="562"/>
      <c r="BJ98" s="562"/>
      <c r="BK98" s="562"/>
      <c r="BL98" s="562"/>
      <c r="BM98" s="562"/>
      <c r="BN98" s="562"/>
      <c r="BO98" s="562"/>
      <c r="BP98" s="563"/>
      <c r="BQ98" s="71"/>
    </row>
    <row r="99" spans="2:69" ht="17" customHeight="1" x14ac:dyDescent="0.25">
      <c r="B99" s="50"/>
      <c r="C99" s="652"/>
      <c r="D99" s="634"/>
      <c r="E99" s="634"/>
      <c r="F99" s="634"/>
      <c r="G99" s="635"/>
      <c r="H99" s="624"/>
      <c r="I99" s="625"/>
      <c r="J99" s="625"/>
      <c r="K99" s="625"/>
      <c r="L99" s="625"/>
      <c r="M99" s="625"/>
      <c r="N99" s="625"/>
      <c r="O99" s="625"/>
      <c r="P99" s="625"/>
      <c r="Q99" s="625"/>
      <c r="R99" s="625"/>
      <c r="S99" s="625"/>
      <c r="T99" s="625"/>
      <c r="U99" s="625"/>
      <c r="V99" s="625"/>
      <c r="W99" s="626"/>
      <c r="Y99" s="12"/>
      <c r="Z99" s="659" t="str">
        <f>IF(背景!E5="","请选择背景",IF(背景数据!B31&gt;1,"有重复特性",""))</f>
        <v/>
      </c>
      <c r="AA99" s="659"/>
      <c r="AB99" s="659"/>
      <c r="AC99" s="659"/>
      <c r="AD99" s="659"/>
      <c r="AE99" s="12"/>
      <c r="AF99" s="12"/>
      <c r="AG99" s="627" t="s">
        <v>239</v>
      </c>
      <c r="AH99" s="627"/>
      <c r="AI99" s="627"/>
      <c r="AJ99" s="627"/>
      <c r="AK99" s="627"/>
      <c r="AL99" s="12"/>
      <c r="AM99" s="12"/>
      <c r="AN99" s="12"/>
      <c r="AO99" s="627"/>
      <c r="AP99" s="627"/>
      <c r="AQ99" s="627"/>
      <c r="AR99" s="627"/>
      <c r="AS99" s="627"/>
      <c r="AV99" s="71"/>
      <c r="AW99" s="561"/>
      <c r="AX99" s="562"/>
      <c r="AY99" s="562"/>
      <c r="AZ99" s="562"/>
      <c r="BA99" s="562"/>
      <c r="BB99" s="562"/>
      <c r="BC99" s="562"/>
      <c r="BD99" s="562"/>
      <c r="BE99" s="562"/>
      <c r="BF99" s="562"/>
      <c r="BG99" s="562"/>
      <c r="BH99" s="562"/>
      <c r="BI99" s="562"/>
      <c r="BJ99" s="562"/>
      <c r="BK99" s="562"/>
      <c r="BL99" s="562"/>
      <c r="BM99" s="562"/>
      <c r="BN99" s="562"/>
      <c r="BO99" s="562"/>
      <c r="BP99" s="563"/>
      <c r="BQ99" s="71"/>
    </row>
    <row r="100" spans="2:69" ht="17" customHeight="1" x14ac:dyDescent="0.3">
      <c r="B100" s="35"/>
      <c r="C100" s="678"/>
      <c r="D100" s="663"/>
      <c r="E100" s="663"/>
      <c r="F100" s="663"/>
      <c r="G100" s="664"/>
      <c r="H100" s="621"/>
      <c r="I100" s="622"/>
      <c r="J100" s="622"/>
      <c r="K100" s="622"/>
      <c r="L100" s="622"/>
      <c r="M100" s="622"/>
      <c r="N100" s="622"/>
      <c r="O100" s="622"/>
      <c r="P100" s="622"/>
      <c r="Q100" s="622"/>
      <c r="R100" s="622"/>
      <c r="S100" s="622"/>
      <c r="T100" s="622"/>
      <c r="U100" s="622"/>
      <c r="V100" s="622"/>
      <c r="W100" s="623"/>
      <c r="Y100" s="582" t="s">
        <v>230</v>
      </c>
      <c r="Z100" s="582"/>
      <c r="AA100" s="582" t="s">
        <v>109</v>
      </c>
      <c r="AB100" s="582"/>
      <c r="AC100" s="582"/>
      <c r="AD100" s="31"/>
      <c r="AE100" s="582" t="s">
        <v>169</v>
      </c>
      <c r="AF100" s="582"/>
      <c r="AG100" s="582"/>
      <c r="AH100" s="582"/>
      <c r="AI100" s="582"/>
      <c r="AJ100" s="582"/>
      <c r="AK100" s="582"/>
      <c r="AL100" s="582"/>
      <c r="AM100" s="582"/>
      <c r="AN100" s="582"/>
      <c r="AO100" s="582"/>
      <c r="AP100" s="582"/>
      <c r="AQ100" s="582"/>
      <c r="AR100" s="582"/>
      <c r="AS100" s="582"/>
      <c r="AV100" s="71"/>
      <c r="AW100" s="561"/>
      <c r="AX100" s="562"/>
      <c r="AY100" s="562"/>
      <c r="AZ100" s="562"/>
      <c r="BA100" s="562"/>
      <c r="BB100" s="562"/>
      <c r="BC100" s="562"/>
      <c r="BD100" s="562"/>
      <c r="BE100" s="562"/>
      <c r="BF100" s="562"/>
      <c r="BG100" s="562"/>
      <c r="BH100" s="562"/>
      <c r="BI100" s="562"/>
      <c r="BJ100" s="562"/>
      <c r="BK100" s="562"/>
      <c r="BL100" s="562"/>
      <c r="BM100" s="562"/>
      <c r="BN100" s="562"/>
      <c r="BO100" s="562"/>
      <c r="BP100" s="563"/>
      <c r="BQ100" s="71"/>
    </row>
    <row r="101" spans="2:69" ht="17" customHeight="1" x14ac:dyDescent="0.25">
      <c r="B101" s="50"/>
      <c r="C101" s="652"/>
      <c r="D101" s="634"/>
      <c r="E101" s="634"/>
      <c r="F101" s="634"/>
      <c r="G101" s="635"/>
      <c r="H101" s="624" t="s">
        <v>117</v>
      </c>
      <c r="I101" s="625"/>
      <c r="J101" s="625"/>
      <c r="K101" s="625"/>
      <c r="L101" s="625"/>
      <c r="M101" s="625"/>
      <c r="N101" s="625"/>
      <c r="O101" s="625"/>
      <c r="P101" s="625"/>
      <c r="Q101" s="625"/>
      <c r="R101" s="625"/>
      <c r="S101" s="625"/>
      <c r="T101" s="625"/>
      <c r="U101" s="625"/>
      <c r="V101" s="625"/>
      <c r="W101" s="626"/>
      <c r="Y101" s="35"/>
      <c r="Z101" s="629"/>
      <c r="AA101" s="630"/>
      <c r="AB101" s="630"/>
      <c r="AC101" s="630"/>
      <c r="AD101" s="631"/>
      <c r="AE101" s="621"/>
      <c r="AF101" s="622"/>
      <c r="AG101" s="622"/>
      <c r="AH101" s="622"/>
      <c r="AI101" s="622"/>
      <c r="AJ101" s="622"/>
      <c r="AK101" s="622"/>
      <c r="AL101" s="622"/>
      <c r="AM101" s="622"/>
      <c r="AN101" s="622"/>
      <c r="AO101" s="622"/>
      <c r="AP101" s="622"/>
      <c r="AQ101" s="622"/>
      <c r="AR101" s="622"/>
      <c r="AS101" s="623"/>
      <c r="AV101" s="71"/>
      <c r="AW101" s="561"/>
      <c r="AX101" s="562"/>
      <c r="AY101" s="562"/>
      <c r="AZ101" s="562"/>
      <c r="BA101" s="562"/>
      <c r="BB101" s="562"/>
      <c r="BC101" s="562"/>
      <c r="BD101" s="562"/>
      <c r="BE101" s="562"/>
      <c r="BF101" s="562"/>
      <c r="BG101" s="562"/>
      <c r="BH101" s="562"/>
      <c r="BI101" s="562"/>
      <c r="BJ101" s="562"/>
      <c r="BK101" s="562"/>
      <c r="BL101" s="562"/>
      <c r="BM101" s="562"/>
      <c r="BN101" s="562"/>
      <c r="BO101" s="562"/>
      <c r="BP101" s="563"/>
      <c r="BQ101" s="71"/>
    </row>
    <row r="102" spans="2:69" ht="17" customHeight="1" x14ac:dyDescent="0.25">
      <c r="B102" s="35"/>
      <c r="C102" s="678"/>
      <c r="D102" s="663"/>
      <c r="E102" s="663"/>
      <c r="F102" s="663"/>
      <c r="G102" s="664"/>
      <c r="H102" s="621"/>
      <c r="I102" s="622"/>
      <c r="J102" s="622"/>
      <c r="K102" s="622"/>
      <c r="L102" s="622"/>
      <c r="M102" s="622"/>
      <c r="N102" s="622"/>
      <c r="O102" s="622"/>
      <c r="P102" s="622"/>
      <c r="Q102" s="622"/>
      <c r="R102" s="622"/>
      <c r="S102" s="622"/>
      <c r="T102" s="622"/>
      <c r="U102" s="622"/>
      <c r="V102" s="622"/>
      <c r="W102" s="623"/>
      <c r="Y102" s="50"/>
      <c r="Z102" s="653" t="s">
        <v>235</v>
      </c>
      <c r="AA102" s="654"/>
      <c r="AB102" s="654"/>
      <c r="AC102" s="654"/>
      <c r="AD102" s="655"/>
      <c r="AE102" s="624" t="s">
        <v>8883</v>
      </c>
      <c r="AF102" s="625"/>
      <c r="AG102" s="625"/>
      <c r="AH102" s="625"/>
      <c r="AI102" s="625"/>
      <c r="AJ102" s="625"/>
      <c r="AK102" s="625"/>
      <c r="AL102" s="625"/>
      <c r="AM102" s="625"/>
      <c r="AN102" s="625"/>
      <c r="AO102" s="625"/>
      <c r="AP102" s="625"/>
      <c r="AQ102" s="625"/>
      <c r="AR102" s="625"/>
      <c r="AS102" s="626"/>
      <c r="AV102" s="71"/>
      <c r="AW102" s="561"/>
      <c r="AX102" s="562"/>
      <c r="AY102" s="562"/>
      <c r="AZ102" s="562"/>
      <c r="BA102" s="562"/>
      <c r="BB102" s="562"/>
      <c r="BC102" s="562"/>
      <c r="BD102" s="562"/>
      <c r="BE102" s="562"/>
      <c r="BF102" s="562"/>
      <c r="BG102" s="562"/>
      <c r="BH102" s="562"/>
      <c r="BI102" s="562"/>
      <c r="BJ102" s="562"/>
      <c r="BK102" s="562"/>
      <c r="BL102" s="562"/>
      <c r="BM102" s="562"/>
      <c r="BN102" s="562"/>
      <c r="BO102" s="562"/>
      <c r="BP102" s="563"/>
      <c r="BQ102" s="71"/>
    </row>
    <row r="103" spans="2:69" ht="17" customHeight="1" x14ac:dyDescent="0.25">
      <c r="B103" s="50"/>
      <c r="C103" s="652"/>
      <c r="D103" s="634"/>
      <c r="E103" s="634"/>
      <c r="F103" s="634"/>
      <c r="G103" s="635"/>
      <c r="H103" s="624"/>
      <c r="I103" s="625"/>
      <c r="J103" s="625"/>
      <c r="K103" s="625"/>
      <c r="L103" s="625"/>
      <c r="M103" s="625"/>
      <c r="N103" s="625"/>
      <c r="O103" s="625"/>
      <c r="P103" s="625"/>
      <c r="Q103" s="625"/>
      <c r="R103" s="625"/>
      <c r="S103" s="625"/>
      <c r="T103" s="625"/>
      <c r="U103" s="625"/>
      <c r="V103" s="625"/>
      <c r="W103" s="626"/>
      <c r="Y103" s="35"/>
      <c r="Z103" s="629" t="s">
        <v>237</v>
      </c>
      <c r="AA103" s="630"/>
      <c r="AB103" s="630"/>
      <c r="AC103" s="630"/>
      <c r="AD103" s="631"/>
      <c r="AE103" s="621" t="s">
        <v>8882</v>
      </c>
      <c r="AF103" s="622"/>
      <c r="AG103" s="622"/>
      <c r="AH103" s="622"/>
      <c r="AI103" s="622"/>
      <c r="AJ103" s="622"/>
      <c r="AK103" s="622"/>
      <c r="AL103" s="622"/>
      <c r="AM103" s="622"/>
      <c r="AN103" s="622"/>
      <c r="AO103" s="622"/>
      <c r="AP103" s="622"/>
      <c r="AQ103" s="622"/>
      <c r="AR103" s="622"/>
      <c r="AS103" s="623"/>
      <c r="AV103" s="71"/>
      <c r="AW103" s="561"/>
      <c r="AX103" s="562"/>
      <c r="AY103" s="562"/>
      <c r="AZ103" s="562"/>
      <c r="BA103" s="562"/>
      <c r="BB103" s="562"/>
      <c r="BC103" s="562"/>
      <c r="BD103" s="562"/>
      <c r="BE103" s="562"/>
      <c r="BF103" s="562"/>
      <c r="BG103" s="562"/>
      <c r="BH103" s="562"/>
      <c r="BI103" s="562"/>
      <c r="BJ103" s="562"/>
      <c r="BK103" s="562"/>
      <c r="BL103" s="562"/>
      <c r="BM103" s="562"/>
      <c r="BN103" s="562"/>
      <c r="BO103" s="562"/>
      <c r="BP103" s="563"/>
      <c r="BQ103" s="71"/>
    </row>
    <row r="104" spans="2:69" ht="17" customHeight="1" x14ac:dyDescent="0.25">
      <c r="B104" s="35"/>
      <c r="C104" s="678"/>
      <c r="D104" s="663"/>
      <c r="E104" s="663"/>
      <c r="F104" s="663"/>
      <c r="G104" s="664"/>
      <c r="H104" s="621"/>
      <c r="I104" s="622"/>
      <c r="J104" s="622"/>
      <c r="K104" s="622"/>
      <c r="L104" s="622"/>
      <c r="M104" s="622"/>
      <c r="N104" s="622"/>
      <c r="O104" s="622"/>
      <c r="P104" s="622"/>
      <c r="Q104" s="622"/>
      <c r="R104" s="622"/>
      <c r="S104" s="622"/>
      <c r="T104" s="622"/>
      <c r="U104" s="622"/>
      <c r="V104" s="622"/>
      <c r="W104" s="623"/>
      <c r="Y104" s="50"/>
      <c r="Z104" s="653"/>
      <c r="AA104" s="654"/>
      <c r="AB104" s="654"/>
      <c r="AC104" s="654"/>
      <c r="AD104" s="655"/>
      <c r="AE104" s="624"/>
      <c r="AF104" s="625"/>
      <c r="AG104" s="625"/>
      <c r="AH104" s="625"/>
      <c r="AI104" s="625"/>
      <c r="AJ104" s="625"/>
      <c r="AK104" s="625"/>
      <c r="AL104" s="625"/>
      <c r="AM104" s="625"/>
      <c r="AN104" s="625"/>
      <c r="AO104" s="625"/>
      <c r="AP104" s="625"/>
      <c r="AQ104" s="625"/>
      <c r="AR104" s="625"/>
      <c r="AS104" s="626"/>
      <c r="AV104" s="71"/>
      <c r="AW104" s="561"/>
      <c r="AX104" s="562"/>
      <c r="AY104" s="562"/>
      <c r="AZ104" s="562"/>
      <c r="BA104" s="562"/>
      <c r="BB104" s="562"/>
      <c r="BC104" s="562"/>
      <c r="BD104" s="562"/>
      <c r="BE104" s="562"/>
      <c r="BF104" s="562"/>
      <c r="BG104" s="562"/>
      <c r="BH104" s="562"/>
      <c r="BI104" s="562"/>
      <c r="BJ104" s="562"/>
      <c r="BK104" s="562"/>
      <c r="BL104" s="562"/>
      <c r="BM104" s="562"/>
      <c r="BN104" s="562"/>
      <c r="BO104" s="562"/>
      <c r="BP104" s="563"/>
      <c r="BQ104" s="71"/>
    </row>
    <row r="105" spans="2:69" ht="17" customHeight="1" x14ac:dyDescent="0.25">
      <c r="B105" s="50"/>
      <c r="C105" s="652"/>
      <c r="D105" s="634"/>
      <c r="E105" s="634"/>
      <c r="F105" s="634"/>
      <c r="G105" s="635"/>
      <c r="H105" s="624"/>
      <c r="I105" s="625"/>
      <c r="J105" s="625"/>
      <c r="K105" s="625"/>
      <c r="L105" s="625"/>
      <c r="M105" s="625"/>
      <c r="N105" s="625"/>
      <c r="O105" s="625"/>
      <c r="P105" s="625"/>
      <c r="Q105" s="625"/>
      <c r="R105" s="625"/>
      <c r="S105" s="625"/>
      <c r="T105" s="625"/>
      <c r="U105" s="625"/>
      <c r="V105" s="625"/>
      <c r="W105" s="626"/>
      <c r="Y105" s="35"/>
      <c r="Z105" s="629"/>
      <c r="AA105" s="630"/>
      <c r="AB105" s="630"/>
      <c r="AC105" s="630"/>
      <c r="AD105" s="631"/>
      <c r="AE105" s="621"/>
      <c r="AF105" s="622"/>
      <c r="AG105" s="622"/>
      <c r="AH105" s="622"/>
      <c r="AI105" s="622"/>
      <c r="AJ105" s="622"/>
      <c r="AK105" s="622"/>
      <c r="AL105" s="622"/>
      <c r="AM105" s="622"/>
      <c r="AN105" s="622"/>
      <c r="AO105" s="622"/>
      <c r="AP105" s="622"/>
      <c r="AQ105" s="622"/>
      <c r="AR105" s="622"/>
      <c r="AS105" s="623"/>
      <c r="AV105" s="71"/>
      <c r="AW105" s="561"/>
      <c r="AX105" s="562"/>
      <c r="AY105" s="562"/>
      <c r="AZ105" s="562"/>
      <c r="BA105" s="562"/>
      <c r="BB105" s="562"/>
      <c r="BC105" s="562"/>
      <c r="BD105" s="562"/>
      <c r="BE105" s="562"/>
      <c r="BF105" s="562"/>
      <c r="BG105" s="562"/>
      <c r="BH105" s="562"/>
      <c r="BI105" s="562"/>
      <c r="BJ105" s="562"/>
      <c r="BK105" s="562"/>
      <c r="BL105" s="562"/>
      <c r="BM105" s="562"/>
      <c r="BN105" s="562"/>
      <c r="BO105" s="562"/>
      <c r="BP105" s="563"/>
      <c r="BQ105" s="71"/>
    </row>
    <row r="106" spans="2:69" ht="17" customHeight="1" x14ac:dyDescent="0.25">
      <c r="B106" s="35"/>
      <c r="C106" s="678"/>
      <c r="D106" s="663"/>
      <c r="E106" s="663"/>
      <c r="F106" s="663"/>
      <c r="G106" s="664"/>
      <c r="H106" s="621"/>
      <c r="I106" s="622"/>
      <c r="J106" s="622"/>
      <c r="K106" s="622"/>
      <c r="L106" s="622"/>
      <c r="M106" s="622"/>
      <c r="N106" s="622"/>
      <c r="O106" s="622"/>
      <c r="P106" s="622"/>
      <c r="Q106" s="622"/>
      <c r="R106" s="622"/>
      <c r="S106" s="622"/>
      <c r="T106" s="622"/>
      <c r="U106" s="622"/>
      <c r="V106" s="622"/>
      <c r="W106" s="623"/>
      <c r="AV106" s="71"/>
      <c r="AW106" s="561"/>
      <c r="AX106" s="562"/>
      <c r="AY106" s="562"/>
      <c r="AZ106" s="562"/>
      <c r="BA106" s="562"/>
      <c r="BB106" s="562"/>
      <c r="BC106" s="562"/>
      <c r="BD106" s="562"/>
      <c r="BE106" s="562"/>
      <c r="BF106" s="562"/>
      <c r="BG106" s="562"/>
      <c r="BH106" s="562"/>
      <c r="BI106" s="562"/>
      <c r="BJ106" s="562"/>
      <c r="BK106" s="562"/>
      <c r="BL106" s="562"/>
      <c r="BM106" s="562"/>
      <c r="BN106" s="562"/>
      <c r="BO106" s="562"/>
      <c r="BP106" s="563"/>
      <c r="BQ106" s="71"/>
    </row>
    <row r="107" spans="2:69" ht="17" customHeight="1" x14ac:dyDescent="0.25">
      <c r="B107" s="50"/>
      <c r="C107" s="652"/>
      <c r="D107" s="634"/>
      <c r="E107" s="634"/>
      <c r="F107" s="634"/>
      <c r="G107" s="635"/>
      <c r="H107" s="624"/>
      <c r="I107" s="625"/>
      <c r="J107" s="625"/>
      <c r="K107" s="625"/>
      <c r="L107" s="625"/>
      <c r="M107" s="625"/>
      <c r="N107" s="625"/>
      <c r="O107" s="625"/>
      <c r="P107" s="625"/>
      <c r="Q107" s="625"/>
      <c r="R107" s="625"/>
      <c r="S107" s="625"/>
      <c r="T107" s="625"/>
      <c r="U107" s="625"/>
      <c r="V107" s="625"/>
      <c r="W107" s="626"/>
      <c r="Y107" s="12"/>
      <c r="Z107" s="659" t="str">
        <f>IF(专长数据!F10+专长数据!G12&gt;=1,"未选专长",IF(专长数据!F10+专长数据!G12&lt;=-1,"专长过多",IF(专长数据!F11&gt;=1,"重复专长","")))</f>
        <v>专长过多</v>
      </c>
      <c r="AA107" s="659"/>
      <c r="AB107" s="659"/>
      <c r="AC107" s="659"/>
      <c r="AD107" s="659"/>
      <c r="AE107" s="12"/>
      <c r="AF107" s="12"/>
      <c r="AG107" s="627" t="s">
        <v>240</v>
      </c>
      <c r="AH107" s="627"/>
      <c r="AI107" s="627"/>
      <c r="AJ107" s="627"/>
      <c r="AK107" s="627"/>
      <c r="AL107" s="12"/>
      <c r="AM107" s="12"/>
      <c r="AN107" s="581" t="str">
        <f>IF(COUNTIF(专长数据!E2:E9,"&lt;&gt;0")=0,"","已选专长："&amp;COUNTIF(专长数据!E2:E9,"&lt;&gt;0")&amp;"/"&amp;专长数据!F10+专长数据!F12)</f>
        <v>已选专长：2/0</v>
      </c>
      <c r="AO107" s="581"/>
      <c r="AP107" s="581"/>
      <c r="AQ107" s="581"/>
      <c r="AR107" s="581"/>
      <c r="AS107" s="581"/>
      <c r="AV107" s="71"/>
      <c r="AW107" s="561"/>
      <c r="AX107" s="562"/>
      <c r="AY107" s="562"/>
      <c r="AZ107" s="562"/>
      <c r="BA107" s="562"/>
      <c r="BB107" s="562"/>
      <c r="BC107" s="562"/>
      <c r="BD107" s="562"/>
      <c r="BE107" s="562"/>
      <c r="BF107" s="562"/>
      <c r="BG107" s="562"/>
      <c r="BH107" s="562"/>
      <c r="BI107" s="562"/>
      <c r="BJ107" s="562"/>
      <c r="BK107" s="562"/>
      <c r="BL107" s="562"/>
      <c r="BM107" s="562"/>
      <c r="BN107" s="562"/>
      <c r="BO107" s="562"/>
      <c r="BP107" s="563"/>
      <c r="BQ107" s="71"/>
    </row>
    <row r="108" spans="2:69" ht="17" customHeight="1" x14ac:dyDescent="0.3">
      <c r="B108" s="35"/>
      <c r="C108" s="678"/>
      <c r="D108" s="663"/>
      <c r="E108" s="663"/>
      <c r="F108" s="663"/>
      <c r="G108" s="664"/>
      <c r="H108" s="621"/>
      <c r="I108" s="622"/>
      <c r="J108" s="622"/>
      <c r="K108" s="622"/>
      <c r="L108" s="622"/>
      <c r="M108" s="622"/>
      <c r="N108" s="622"/>
      <c r="O108" s="622"/>
      <c r="P108" s="622"/>
      <c r="Q108" s="622"/>
      <c r="R108" s="622"/>
      <c r="S108" s="622"/>
      <c r="T108" s="622"/>
      <c r="U108" s="622"/>
      <c r="V108" s="622"/>
      <c r="W108" s="623"/>
      <c r="Y108" s="582" t="s">
        <v>230</v>
      </c>
      <c r="Z108" s="582"/>
      <c r="AA108" s="582" t="s">
        <v>109</v>
      </c>
      <c r="AB108" s="582"/>
      <c r="AC108" s="582"/>
      <c r="AD108" s="31"/>
      <c r="AE108" s="582" t="s">
        <v>169</v>
      </c>
      <c r="AF108" s="582"/>
      <c r="AG108" s="582"/>
      <c r="AH108" s="582"/>
      <c r="AI108" s="582"/>
      <c r="AJ108" s="582"/>
      <c r="AK108" s="582"/>
      <c r="AL108" s="582"/>
      <c r="AM108" s="582"/>
      <c r="AN108" s="582"/>
      <c r="AO108" s="582"/>
      <c r="AP108" s="582"/>
      <c r="AQ108" s="582"/>
      <c r="AR108" s="582"/>
      <c r="AS108" s="582"/>
      <c r="AV108" s="71"/>
      <c r="AW108" s="561"/>
      <c r="AX108" s="562"/>
      <c r="AY108" s="562"/>
      <c r="AZ108" s="562"/>
      <c r="BA108" s="562"/>
      <c r="BB108" s="562"/>
      <c r="BC108" s="562"/>
      <c r="BD108" s="562"/>
      <c r="BE108" s="562"/>
      <c r="BF108" s="562"/>
      <c r="BG108" s="562"/>
      <c r="BH108" s="562"/>
      <c r="BI108" s="562"/>
      <c r="BJ108" s="562"/>
      <c r="BK108" s="562"/>
      <c r="BL108" s="562"/>
      <c r="BM108" s="562"/>
      <c r="BN108" s="562"/>
      <c r="BO108" s="562"/>
      <c r="BP108" s="563"/>
      <c r="BQ108" s="71"/>
    </row>
    <row r="109" spans="2:69" ht="17" customHeight="1" x14ac:dyDescent="0.25">
      <c r="B109" s="50"/>
      <c r="C109" s="652"/>
      <c r="D109" s="634"/>
      <c r="E109" s="634"/>
      <c r="F109" s="634"/>
      <c r="G109" s="635"/>
      <c r="H109" s="624"/>
      <c r="I109" s="625"/>
      <c r="J109" s="625"/>
      <c r="K109" s="625"/>
      <c r="L109" s="625"/>
      <c r="M109" s="625"/>
      <c r="N109" s="625"/>
      <c r="O109" s="625"/>
      <c r="P109" s="625"/>
      <c r="Q109" s="625"/>
      <c r="R109" s="625"/>
      <c r="S109" s="625"/>
      <c r="T109" s="625"/>
      <c r="U109" s="625"/>
      <c r="V109" s="625"/>
      <c r="W109" s="626"/>
      <c r="Y109" s="35"/>
      <c r="Z109" s="629" t="s">
        <v>8881</v>
      </c>
      <c r="AA109" s="630"/>
      <c r="AB109" s="630"/>
      <c r="AC109" s="630"/>
      <c r="AD109" s="631"/>
      <c r="AE109" s="660" t="s">
        <v>8884</v>
      </c>
      <c r="AF109" s="812"/>
      <c r="AG109" s="812"/>
      <c r="AH109" s="812"/>
      <c r="AI109" s="812"/>
      <c r="AJ109" s="812"/>
      <c r="AK109" s="812"/>
      <c r="AL109" s="812"/>
      <c r="AM109" s="812"/>
      <c r="AN109" s="812"/>
      <c r="AO109" s="812"/>
      <c r="AP109" s="812"/>
      <c r="AQ109" s="812"/>
      <c r="AR109" s="812"/>
      <c r="AS109" s="812"/>
      <c r="AV109" s="71"/>
      <c r="AW109" s="561"/>
      <c r="AX109" s="562"/>
      <c r="AY109" s="562"/>
      <c r="AZ109" s="562"/>
      <c r="BA109" s="562"/>
      <c r="BB109" s="562"/>
      <c r="BC109" s="562"/>
      <c r="BD109" s="562"/>
      <c r="BE109" s="562"/>
      <c r="BF109" s="562"/>
      <c r="BG109" s="562"/>
      <c r="BH109" s="562"/>
      <c r="BI109" s="562"/>
      <c r="BJ109" s="562"/>
      <c r="BK109" s="562"/>
      <c r="BL109" s="562"/>
      <c r="BM109" s="562"/>
      <c r="BN109" s="562"/>
      <c r="BO109" s="562"/>
      <c r="BP109" s="563"/>
      <c r="BQ109" s="71"/>
    </row>
    <row r="110" spans="2:69" ht="17" customHeight="1" x14ac:dyDescent="0.25">
      <c r="B110" s="35"/>
      <c r="C110" s="678"/>
      <c r="D110" s="663"/>
      <c r="E110" s="663"/>
      <c r="F110" s="663"/>
      <c r="G110" s="664"/>
      <c r="H110" s="621"/>
      <c r="I110" s="622"/>
      <c r="J110" s="622"/>
      <c r="K110" s="622"/>
      <c r="L110" s="622"/>
      <c r="M110" s="622"/>
      <c r="N110" s="622"/>
      <c r="O110" s="622"/>
      <c r="P110" s="622"/>
      <c r="Q110" s="622"/>
      <c r="R110" s="622"/>
      <c r="S110" s="622"/>
      <c r="T110" s="622"/>
      <c r="U110" s="622"/>
      <c r="V110" s="622"/>
      <c r="W110" s="623"/>
      <c r="Y110" s="50"/>
      <c r="Z110" s="653" t="s">
        <v>8885</v>
      </c>
      <c r="AA110" s="654"/>
      <c r="AB110" s="654"/>
      <c r="AC110" s="654"/>
      <c r="AD110" s="655"/>
      <c r="AE110" s="628" t="s">
        <v>8886</v>
      </c>
      <c r="AF110" s="628"/>
      <c r="AG110" s="628"/>
      <c r="AH110" s="628"/>
      <c r="AI110" s="628"/>
      <c r="AJ110" s="628"/>
      <c r="AK110" s="628"/>
      <c r="AL110" s="628"/>
      <c r="AM110" s="628"/>
      <c r="AN110" s="628"/>
      <c r="AO110" s="628"/>
      <c r="AP110" s="628"/>
      <c r="AQ110" s="628"/>
      <c r="AR110" s="628"/>
      <c r="AS110" s="628"/>
      <c r="AV110" s="71"/>
      <c r="AW110" s="561"/>
      <c r="AX110" s="562"/>
      <c r="AY110" s="562"/>
      <c r="AZ110" s="562"/>
      <c r="BA110" s="562"/>
      <c r="BB110" s="562"/>
      <c r="BC110" s="562"/>
      <c r="BD110" s="562"/>
      <c r="BE110" s="562"/>
      <c r="BF110" s="562"/>
      <c r="BG110" s="562"/>
      <c r="BH110" s="562"/>
      <c r="BI110" s="562"/>
      <c r="BJ110" s="562"/>
      <c r="BK110" s="562"/>
      <c r="BL110" s="562"/>
      <c r="BM110" s="562"/>
      <c r="BN110" s="562"/>
      <c r="BO110" s="562"/>
      <c r="BP110" s="563"/>
      <c r="BQ110" s="71"/>
    </row>
    <row r="111" spans="2:69" ht="17" customHeight="1" x14ac:dyDescent="0.25">
      <c r="B111" s="50"/>
      <c r="C111" s="652"/>
      <c r="D111" s="634"/>
      <c r="E111" s="634"/>
      <c r="F111" s="634"/>
      <c r="G111" s="635"/>
      <c r="H111" s="624"/>
      <c r="I111" s="625"/>
      <c r="J111" s="625"/>
      <c r="K111" s="625"/>
      <c r="L111" s="625"/>
      <c r="M111" s="625"/>
      <c r="N111" s="625"/>
      <c r="O111" s="625"/>
      <c r="P111" s="625"/>
      <c r="Q111" s="625"/>
      <c r="R111" s="625"/>
      <c r="S111" s="625"/>
      <c r="T111" s="625"/>
      <c r="U111" s="625"/>
      <c r="V111" s="625"/>
      <c r="W111" s="626"/>
      <c r="Y111" s="35"/>
      <c r="Z111" s="629"/>
      <c r="AA111" s="630"/>
      <c r="AB111" s="630"/>
      <c r="AC111" s="630"/>
      <c r="AD111" s="631"/>
      <c r="AE111" s="660"/>
      <c r="AF111" s="660"/>
      <c r="AG111" s="660"/>
      <c r="AH111" s="660"/>
      <c r="AI111" s="660"/>
      <c r="AJ111" s="660"/>
      <c r="AK111" s="660"/>
      <c r="AL111" s="660"/>
      <c r="AM111" s="660"/>
      <c r="AN111" s="660"/>
      <c r="AO111" s="660"/>
      <c r="AP111" s="660"/>
      <c r="AQ111" s="660"/>
      <c r="AR111" s="660"/>
      <c r="AS111" s="660"/>
      <c r="AV111" s="71"/>
      <c r="AW111" s="564"/>
      <c r="AX111" s="565"/>
      <c r="AY111" s="565"/>
      <c r="AZ111" s="565"/>
      <c r="BA111" s="565"/>
      <c r="BB111" s="565"/>
      <c r="BC111" s="565"/>
      <c r="BD111" s="565"/>
      <c r="BE111" s="565"/>
      <c r="BF111" s="565"/>
      <c r="BG111" s="565"/>
      <c r="BH111" s="565"/>
      <c r="BI111" s="565"/>
      <c r="BJ111" s="565"/>
      <c r="BK111" s="565"/>
      <c r="BL111" s="565"/>
      <c r="BM111" s="565"/>
      <c r="BN111" s="565"/>
      <c r="BO111" s="565"/>
      <c r="BP111" s="566"/>
      <c r="BQ111" s="71"/>
    </row>
    <row r="112" spans="2:69" ht="17" customHeight="1" x14ac:dyDescent="0.25">
      <c r="B112" s="35"/>
      <c r="C112" s="678"/>
      <c r="D112" s="663"/>
      <c r="E112" s="663"/>
      <c r="F112" s="663"/>
      <c r="G112" s="664"/>
      <c r="H112" s="621"/>
      <c r="I112" s="622"/>
      <c r="J112" s="622"/>
      <c r="K112" s="622"/>
      <c r="L112" s="622"/>
      <c r="M112" s="622"/>
      <c r="N112" s="622"/>
      <c r="O112" s="622"/>
      <c r="P112" s="622"/>
      <c r="Q112" s="622"/>
      <c r="R112" s="622"/>
      <c r="S112" s="622"/>
      <c r="T112" s="622"/>
      <c r="U112" s="622"/>
      <c r="V112" s="622"/>
      <c r="W112" s="623"/>
      <c r="Y112" s="50"/>
      <c r="Z112" s="653"/>
      <c r="AA112" s="654"/>
      <c r="AB112" s="654"/>
      <c r="AC112" s="654"/>
      <c r="AD112" s="655"/>
      <c r="AE112" s="628"/>
      <c r="AF112" s="628"/>
      <c r="AG112" s="628"/>
      <c r="AH112" s="628"/>
      <c r="AI112" s="628"/>
      <c r="AJ112" s="628"/>
      <c r="AK112" s="628"/>
      <c r="AL112" s="628"/>
      <c r="AM112" s="628"/>
      <c r="AN112" s="628"/>
      <c r="AO112" s="628"/>
      <c r="AP112" s="628"/>
      <c r="AQ112" s="628"/>
      <c r="AR112" s="628"/>
      <c r="AS112" s="628"/>
    </row>
    <row r="113" spans="2:69" ht="17" customHeight="1" x14ac:dyDescent="0.25">
      <c r="B113" s="50"/>
      <c r="C113" s="652"/>
      <c r="D113" s="634"/>
      <c r="E113" s="634"/>
      <c r="F113" s="634"/>
      <c r="G113" s="635"/>
      <c r="H113" s="624"/>
      <c r="I113" s="625"/>
      <c r="J113" s="625"/>
      <c r="K113" s="625"/>
      <c r="L113" s="625"/>
      <c r="M113" s="625"/>
      <c r="N113" s="625"/>
      <c r="O113" s="625"/>
      <c r="P113" s="625"/>
      <c r="Q113" s="625"/>
      <c r="R113" s="625"/>
      <c r="S113" s="625"/>
      <c r="T113" s="625"/>
      <c r="U113" s="625"/>
      <c r="V113" s="625"/>
      <c r="W113" s="626"/>
      <c r="Y113" s="35"/>
      <c r="Z113" s="629"/>
      <c r="AA113" s="630"/>
      <c r="AB113" s="630"/>
      <c r="AC113" s="630"/>
      <c r="AD113" s="631"/>
      <c r="AE113" s="660"/>
      <c r="AF113" s="660"/>
      <c r="AG113" s="660"/>
      <c r="AH113" s="660"/>
      <c r="AI113" s="660"/>
      <c r="AJ113" s="660"/>
      <c r="AK113" s="660"/>
      <c r="AL113" s="660"/>
      <c r="AM113" s="660"/>
      <c r="AN113" s="660"/>
      <c r="AO113" s="660"/>
      <c r="AP113" s="660"/>
      <c r="AQ113" s="660"/>
      <c r="AR113" s="660"/>
      <c r="AS113" s="660"/>
      <c r="AV113" s="627" t="s">
        <v>241</v>
      </c>
      <c r="AW113" s="627"/>
      <c r="AX113" s="627"/>
      <c r="AY113" s="627"/>
      <c r="AZ113" s="627"/>
      <c r="BA113" s="627"/>
      <c r="BB113" s="627"/>
      <c r="BC113" s="627"/>
      <c r="BD113" s="627"/>
      <c r="BE113" s="627"/>
      <c r="BF113" s="627"/>
      <c r="BG113" s="627"/>
      <c r="BH113" s="627"/>
      <c r="BI113" s="627"/>
      <c r="BJ113" s="627"/>
      <c r="BK113" s="627"/>
      <c r="BL113" s="627"/>
      <c r="BM113" s="627"/>
      <c r="BN113" s="627"/>
      <c r="BO113" s="627"/>
      <c r="BP113" s="627"/>
      <c r="BQ113" s="627"/>
    </row>
    <row r="114" spans="2:69" ht="17" customHeight="1" x14ac:dyDescent="0.25">
      <c r="B114" s="35"/>
      <c r="C114" s="678"/>
      <c r="D114" s="663"/>
      <c r="E114" s="663"/>
      <c r="F114" s="663"/>
      <c r="G114" s="664"/>
      <c r="H114" s="621"/>
      <c r="I114" s="622"/>
      <c r="J114" s="622"/>
      <c r="K114" s="622"/>
      <c r="L114" s="622"/>
      <c r="M114" s="622"/>
      <c r="N114" s="622"/>
      <c r="O114" s="622"/>
      <c r="P114" s="622"/>
      <c r="Q114" s="622"/>
      <c r="R114" s="622"/>
      <c r="S114" s="622"/>
      <c r="T114" s="622"/>
      <c r="U114" s="622"/>
      <c r="V114" s="622"/>
      <c r="W114" s="623"/>
      <c r="Y114" s="50"/>
      <c r="Z114" s="653"/>
      <c r="AA114" s="654"/>
      <c r="AB114" s="654"/>
      <c r="AC114" s="654"/>
      <c r="AD114" s="655"/>
      <c r="AE114" s="628"/>
      <c r="AF114" s="628"/>
      <c r="AG114" s="628"/>
      <c r="AH114" s="628"/>
      <c r="AI114" s="628"/>
      <c r="AJ114" s="628"/>
      <c r="AK114" s="628"/>
      <c r="AL114" s="628"/>
      <c r="AM114" s="628"/>
      <c r="AN114" s="628"/>
      <c r="AO114" s="628"/>
      <c r="AP114" s="628"/>
      <c r="AQ114" s="628"/>
      <c r="AR114" s="628"/>
      <c r="AS114" s="628"/>
      <c r="AW114" s="584" t="s">
        <v>242</v>
      </c>
      <c r="AX114" s="584"/>
      <c r="AZ114" s="584" t="s">
        <v>243</v>
      </c>
      <c r="BA114" s="584"/>
      <c r="BC114" s="584" t="s">
        <v>244</v>
      </c>
      <c r="BD114" s="584"/>
      <c r="BF114" s="584" t="s">
        <v>245</v>
      </c>
      <c r="BG114" s="584"/>
      <c r="BI114" s="584" t="s">
        <v>246</v>
      </c>
      <c r="BJ114" s="584"/>
      <c r="BL114" s="584" t="s">
        <v>247</v>
      </c>
      <c r="BM114" s="584"/>
      <c r="BO114" s="584" t="s">
        <v>248</v>
      </c>
      <c r="BP114" s="584"/>
    </row>
    <row r="115" spans="2:69" ht="17" customHeight="1" x14ac:dyDescent="0.25">
      <c r="B115" s="50"/>
      <c r="C115" s="652"/>
      <c r="D115" s="634"/>
      <c r="E115" s="634"/>
      <c r="F115" s="634"/>
      <c r="G115" s="635"/>
      <c r="H115" s="624"/>
      <c r="I115" s="625"/>
      <c r="J115" s="625"/>
      <c r="K115" s="625"/>
      <c r="L115" s="625"/>
      <c r="M115" s="625"/>
      <c r="N115" s="625"/>
      <c r="O115" s="625"/>
      <c r="P115" s="625"/>
      <c r="Q115" s="625"/>
      <c r="R115" s="625"/>
      <c r="S115" s="625"/>
      <c r="T115" s="625"/>
      <c r="U115" s="625"/>
      <c r="V115" s="625"/>
      <c r="W115" s="626"/>
      <c r="Y115" s="35"/>
      <c r="Z115" s="629"/>
      <c r="AA115" s="630"/>
      <c r="AB115" s="630"/>
      <c r="AC115" s="630"/>
      <c r="AD115" s="631"/>
      <c r="AE115" s="660"/>
      <c r="AF115" s="660"/>
      <c r="AG115" s="660"/>
      <c r="AH115" s="660"/>
      <c r="AI115" s="660"/>
      <c r="AJ115" s="660"/>
      <c r="AK115" s="660"/>
      <c r="AL115" s="660"/>
      <c r="AM115" s="660"/>
      <c r="AN115" s="660"/>
      <c r="AO115" s="660"/>
      <c r="AP115" s="660"/>
      <c r="AQ115" s="660"/>
      <c r="AR115" s="660"/>
      <c r="AS115" s="660"/>
      <c r="AW115" s="584" t="s">
        <v>249</v>
      </c>
      <c r="AX115" s="584"/>
      <c r="AZ115" s="584" t="s">
        <v>250</v>
      </c>
      <c r="BA115" s="584"/>
      <c r="BC115" s="584" t="s">
        <v>251</v>
      </c>
      <c r="BD115" s="584"/>
      <c r="BF115" s="584" t="s">
        <v>252</v>
      </c>
      <c r="BG115" s="584"/>
      <c r="BI115" s="584" t="s">
        <v>253</v>
      </c>
      <c r="BJ115" s="584"/>
      <c r="BL115" s="584" t="s">
        <v>254</v>
      </c>
      <c r="BM115" s="584"/>
      <c r="BO115" s="584" t="s">
        <v>255</v>
      </c>
      <c r="BP115" s="584"/>
    </row>
    <row r="116" spans="2:69" ht="17" customHeight="1" x14ac:dyDescent="0.25">
      <c r="B116" s="35"/>
      <c r="C116" s="678"/>
      <c r="D116" s="663"/>
      <c r="E116" s="663"/>
      <c r="F116" s="663"/>
      <c r="G116" s="664"/>
      <c r="H116" s="621"/>
      <c r="I116" s="622"/>
      <c r="J116" s="622"/>
      <c r="K116" s="622"/>
      <c r="L116" s="622"/>
      <c r="M116" s="622"/>
      <c r="N116" s="622"/>
      <c r="O116" s="622"/>
      <c r="P116" s="622"/>
      <c r="Q116" s="622"/>
      <c r="R116" s="622"/>
      <c r="S116" s="622"/>
      <c r="T116" s="622"/>
      <c r="U116" s="622"/>
      <c r="V116" s="622"/>
      <c r="W116" s="623"/>
      <c r="Y116" s="50"/>
      <c r="Z116" s="653"/>
      <c r="AA116" s="654"/>
      <c r="AB116" s="654"/>
      <c r="AC116" s="654"/>
      <c r="AD116" s="655"/>
      <c r="AE116" s="628" t="s">
        <v>117</v>
      </c>
      <c r="AF116" s="628"/>
      <c r="AG116" s="628"/>
      <c r="AH116" s="628"/>
      <c r="AI116" s="628"/>
      <c r="AJ116" s="628"/>
      <c r="AK116" s="628"/>
      <c r="AL116" s="628"/>
      <c r="AM116" s="628"/>
      <c r="AN116" s="628"/>
      <c r="AO116" s="628"/>
      <c r="AP116" s="628"/>
      <c r="AQ116" s="628"/>
      <c r="AR116" s="628"/>
      <c r="AS116" s="628"/>
      <c r="AW116" s="584" t="s">
        <v>256</v>
      </c>
      <c r="AX116" s="584"/>
      <c r="AZ116" s="584" t="s">
        <v>257</v>
      </c>
      <c r="BA116" s="584"/>
      <c r="BC116" s="596" t="s">
        <v>258</v>
      </c>
      <c r="BD116" s="596"/>
    </row>
    <row r="117" spans="2:69" ht="17" customHeight="1" x14ac:dyDescent="0.25">
      <c r="B117" s="50"/>
      <c r="C117" s="652"/>
      <c r="D117" s="634"/>
      <c r="E117" s="634"/>
      <c r="F117" s="634"/>
      <c r="G117" s="635"/>
      <c r="H117" s="624"/>
      <c r="I117" s="625"/>
      <c r="J117" s="625"/>
      <c r="K117" s="625"/>
      <c r="L117" s="625"/>
      <c r="M117" s="625"/>
      <c r="N117" s="625"/>
      <c r="O117" s="625"/>
      <c r="P117" s="625"/>
      <c r="Q117" s="625"/>
      <c r="R117" s="625"/>
      <c r="S117" s="625"/>
      <c r="T117" s="625"/>
      <c r="U117" s="625"/>
      <c r="V117" s="625"/>
      <c r="W117" s="626"/>
      <c r="Y117" s="35"/>
      <c r="Z117" s="629"/>
      <c r="AA117" s="630"/>
      <c r="AB117" s="630"/>
      <c r="AC117" s="630"/>
      <c r="AD117" s="631"/>
      <c r="AE117" s="621"/>
      <c r="AF117" s="622"/>
      <c r="AG117" s="622"/>
      <c r="AH117" s="622"/>
      <c r="AI117" s="622"/>
      <c r="AJ117" s="622"/>
      <c r="AK117" s="622"/>
      <c r="AL117" s="622"/>
      <c r="AM117" s="622"/>
      <c r="AN117" s="622"/>
      <c r="AO117" s="622"/>
      <c r="AP117" s="622"/>
      <c r="AQ117" s="622"/>
      <c r="AR117" s="622"/>
      <c r="AS117" s="623"/>
    </row>
    <row r="118" spans="2:69" ht="17" customHeight="1" x14ac:dyDescent="0.25">
      <c r="B118" s="35"/>
      <c r="C118" s="678"/>
      <c r="D118" s="663"/>
      <c r="E118" s="663"/>
      <c r="F118" s="663"/>
      <c r="G118" s="664"/>
      <c r="H118" s="621"/>
      <c r="I118" s="622"/>
      <c r="J118" s="622"/>
      <c r="K118" s="622"/>
      <c r="L118" s="622"/>
      <c r="M118" s="622"/>
      <c r="N118" s="622"/>
      <c r="O118" s="622"/>
      <c r="P118" s="622"/>
      <c r="Q118" s="622"/>
      <c r="R118" s="622"/>
      <c r="S118" s="622"/>
      <c r="T118" s="622"/>
      <c r="U118" s="622"/>
      <c r="V118" s="622"/>
      <c r="W118" s="623"/>
      <c r="AV118" s="12"/>
      <c r="AW118" s="12"/>
      <c r="AX118" s="12"/>
      <c r="AY118" s="12"/>
      <c r="AZ118" s="12"/>
      <c r="BA118" s="12"/>
      <c r="BB118" s="12"/>
      <c r="BC118" s="12"/>
      <c r="BD118" s="627" t="s">
        <v>259</v>
      </c>
      <c r="BE118" s="627"/>
      <c r="BF118" s="627"/>
      <c r="BG118" s="627"/>
      <c r="BH118" s="627"/>
      <c r="BI118" s="627"/>
      <c r="BJ118" s="12"/>
      <c r="BK118" s="12"/>
      <c r="BL118" s="12"/>
      <c r="BM118" s="12"/>
      <c r="BN118" s="12"/>
      <c r="BO118" s="12"/>
      <c r="BP118" s="927" t="s">
        <v>260</v>
      </c>
      <c r="BQ118" s="927"/>
    </row>
    <row r="119" spans="2:69" ht="17" customHeight="1" x14ac:dyDescent="0.25">
      <c r="B119" s="50"/>
      <c r="C119" s="652"/>
      <c r="D119" s="634"/>
      <c r="E119" s="634"/>
      <c r="F119" s="634"/>
      <c r="G119" s="635"/>
      <c r="H119" s="624"/>
      <c r="I119" s="625"/>
      <c r="J119" s="625"/>
      <c r="K119" s="625"/>
      <c r="L119" s="625"/>
      <c r="M119" s="625"/>
      <c r="N119" s="625"/>
      <c r="O119" s="625"/>
      <c r="P119" s="625"/>
      <c r="Q119" s="625"/>
      <c r="R119" s="625"/>
      <c r="S119" s="625"/>
      <c r="T119" s="625"/>
      <c r="U119" s="625"/>
      <c r="V119" s="625"/>
      <c r="W119" s="626"/>
      <c r="Y119" s="12"/>
      <c r="Z119" s="659" t="str">
        <f>IF(装备数据!AM21&gt;=1,"重复熟练项","")</f>
        <v/>
      </c>
      <c r="AA119" s="659"/>
      <c r="AB119" s="659"/>
      <c r="AC119" s="659"/>
      <c r="AD119" s="659"/>
      <c r="AE119" s="12"/>
      <c r="AF119" s="12"/>
      <c r="AG119" s="627" t="s">
        <v>235</v>
      </c>
      <c r="AH119" s="627"/>
      <c r="AI119" s="627"/>
      <c r="AJ119" s="627"/>
      <c r="AK119" s="627"/>
      <c r="AL119" s="12"/>
      <c r="AM119" s="12"/>
      <c r="AN119" s="12"/>
      <c r="AO119" s="627"/>
      <c r="AP119" s="627"/>
      <c r="AQ119" s="627"/>
      <c r="AR119" s="627"/>
      <c r="AS119" s="627"/>
      <c r="BD119" s="77"/>
      <c r="BE119" s="77"/>
      <c r="BF119" s="77"/>
      <c r="BG119" s="77"/>
      <c r="BH119" s="77"/>
      <c r="BI119" s="77"/>
    </row>
    <row r="120" spans="2:69" ht="17" customHeight="1" x14ac:dyDescent="0.3">
      <c r="B120" s="35"/>
      <c r="C120" s="678"/>
      <c r="D120" s="663"/>
      <c r="E120" s="663"/>
      <c r="F120" s="663"/>
      <c r="G120" s="664"/>
      <c r="H120" s="621"/>
      <c r="I120" s="622"/>
      <c r="J120" s="622"/>
      <c r="K120" s="622"/>
      <c r="L120" s="622"/>
      <c r="M120" s="622"/>
      <c r="N120" s="622"/>
      <c r="O120" s="622"/>
      <c r="P120" s="622"/>
      <c r="Q120" s="622"/>
      <c r="R120" s="622"/>
      <c r="S120" s="622"/>
      <c r="T120" s="622"/>
      <c r="U120" s="622"/>
      <c r="V120" s="622"/>
      <c r="W120" s="623"/>
      <c r="Y120" s="582" t="s">
        <v>230</v>
      </c>
      <c r="Z120" s="582"/>
      <c r="AA120" s="582" t="s">
        <v>109</v>
      </c>
      <c r="AB120" s="582"/>
      <c r="AC120" s="582"/>
      <c r="AD120" s="31"/>
      <c r="AE120" s="688" t="s">
        <v>169</v>
      </c>
      <c r="AF120" s="688"/>
      <c r="AG120" s="688"/>
      <c r="AH120" s="688"/>
      <c r="AI120" s="688"/>
      <c r="AJ120" s="688"/>
      <c r="AK120" s="688"/>
      <c r="AL120" s="688"/>
      <c r="AM120" s="688"/>
      <c r="AN120" s="688"/>
      <c r="AO120" s="688"/>
      <c r="AP120" s="688"/>
      <c r="AQ120" s="688"/>
      <c r="AR120" s="688"/>
      <c r="AS120" s="688"/>
      <c r="AV120" s="556" t="s">
        <v>71</v>
      </c>
      <c r="AW120" s="556"/>
      <c r="AX120" s="556"/>
      <c r="AY120" s="556"/>
      <c r="AZ120" s="556" t="str">
        <f>IFERROR(LOOKUP($F$14,综合数据!I:I,综合数据!J:J),"")</f>
        <v>你揍人就像在给对方按摩</v>
      </c>
      <c r="BA120" s="556"/>
      <c r="BB120" s="556"/>
      <c r="BC120" s="556"/>
      <c r="BD120" s="556"/>
      <c r="BE120" s="556"/>
      <c r="BF120" s="556"/>
      <c r="BG120" s="556"/>
      <c r="BH120" s="556"/>
      <c r="BI120" s="556"/>
      <c r="BJ120" s="556"/>
      <c r="BK120" s="556"/>
      <c r="BL120" s="556"/>
      <c r="BM120" s="556"/>
      <c r="BN120" s="556"/>
      <c r="BO120" s="556"/>
      <c r="BP120" s="556"/>
      <c r="BQ120" s="556"/>
    </row>
    <row r="121" spans="2:69" ht="17" customHeight="1" x14ac:dyDescent="0.25">
      <c r="B121" s="50"/>
      <c r="C121" s="652"/>
      <c r="D121" s="634"/>
      <c r="E121" s="634"/>
      <c r="F121" s="634"/>
      <c r="G121" s="635"/>
      <c r="H121" s="624"/>
      <c r="I121" s="625"/>
      <c r="J121" s="625"/>
      <c r="K121" s="625"/>
      <c r="L121" s="625"/>
      <c r="M121" s="625"/>
      <c r="N121" s="625"/>
      <c r="O121" s="625"/>
      <c r="P121" s="625"/>
      <c r="Q121" s="625"/>
      <c r="R121" s="625"/>
      <c r="S121" s="625"/>
      <c r="T121" s="625"/>
      <c r="U121" s="625"/>
      <c r="V121" s="625"/>
      <c r="W121" s="626"/>
      <c r="Y121" s="35"/>
      <c r="Z121" s="629" t="s">
        <v>1538</v>
      </c>
      <c r="AA121" s="630"/>
      <c r="AB121" s="630"/>
      <c r="AC121" s="630"/>
      <c r="AD121" s="631"/>
      <c r="AE121" s="621" t="s">
        <v>3807</v>
      </c>
      <c r="AF121" s="622"/>
      <c r="AG121" s="622"/>
      <c r="AH121" s="622"/>
      <c r="AI121" s="622"/>
      <c r="AJ121" s="622"/>
      <c r="AK121" s="622"/>
      <c r="AL121" s="622"/>
      <c r="AM121" s="622"/>
      <c r="AN121" s="622"/>
      <c r="AO121" s="622"/>
      <c r="AP121" s="622"/>
      <c r="AQ121" s="622"/>
      <c r="AR121" s="622"/>
      <c r="AS121" s="623"/>
      <c r="AV121" s="811" t="s">
        <v>73</v>
      </c>
      <c r="AW121" s="811"/>
      <c r="AX121" s="811"/>
      <c r="AY121" s="811"/>
      <c r="AZ121" s="811" t="str">
        <f>IFERROR(LOOKUP($F$15,综合数据!I:I,综合数据!K:K),"")</f>
        <v>左右横跳</v>
      </c>
      <c r="BA121" s="811"/>
      <c r="BB121" s="811"/>
      <c r="BC121" s="811"/>
      <c r="BD121" s="811"/>
      <c r="BE121" s="811"/>
      <c r="BF121" s="811"/>
      <c r="BG121" s="811"/>
      <c r="BH121" s="811"/>
      <c r="BI121" s="811"/>
      <c r="BJ121" s="811"/>
      <c r="BK121" s="811"/>
      <c r="BL121" s="811"/>
      <c r="BM121" s="811"/>
      <c r="BN121" s="811"/>
      <c r="BO121" s="811"/>
      <c r="BP121" s="811"/>
      <c r="BQ121" s="811"/>
    </row>
    <row r="122" spans="2:69" ht="17" customHeight="1" x14ac:dyDescent="0.25">
      <c r="B122" s="35"/>
      <c r="C122" s="678"/>
      <c r="D122" s="663"/>
      <c r="E122" s="663"/>
      <c r="F122" s="663"/>
      <c r="G122" s="664"/>
      <c r="H122" s="621"/>
      <c r="I122" s="622"/>
      <c r="J122" s="622"/>
      <c r="K122" s="622"/>
      <c r="L122" s="622"/>
      <c r="M122" s="622"/>
      <c r="N122" s="622"/>
      <c r="O122" s="622"/>
      <c r="P122" s="622"/>
      <c r="Q122" s="622"/>
      <c r="R122" s="622"/>
      <c r="S122" s="622"/>
      <c r="T122" s="622"/>
      <c r="U122" s="622"/>
      <c r="V122" s="622"/>
      <c r="W122" s="623"/>
      <c r="Y122" s="50"/>
      <c r="Z122" s="653"/>
      <c r="AA122" s="654"/>
      <c r="AB122" s="654"/>
      <c r="AC122" s="654"/>
      <c r="AD122" s="655"/>
      <c r="AE122" s="624"/>
      <c r="AF122" s="625"/>
      <c r="AG122" s="625"/>
      <c r="AH122" s="625"/>
      <c r="AI122" s="625"/>
      <c r="AJ122" s="625"/>
      <c r="AK122" s="625"/>
      <c r="AL122" s="625"/>
      <c r="AM122" s="625"/>
      <c r="AN122" s="625"/>
      <c r="AO122" s="625"/>
      <c r="AP122" s="625"/>
      <c r="AQ122" s="625"/>
      <c r="AR122" s="625"/>
      <c r="AS122" s="626"/>
      <c r="AV122" s="556" t="s">
        <v>74</v>
      </c>
      <c r="AW122" s="556"/>
      <c r="AX122" s="556"/>
      <c r="AY122" s="556"/>
      <c r="AZ122" s="556" t="str">
        <f>IFERROR(LOOKUP($F$16,综合数据!I:I,综合数据!L:L),"")</f>
        <v>一般的磕磕碰碰都不放在眼里</v>
      </c>
      <c r="BA122" s="556"/>
      <c r="BB122" s="556"/>
      <c r="BC122" s="556"/>
      <c r="BD122" s="556"/>
      <c r="BE122" s="556"/>
      <c r="BF122" s="556"/>
      <c r="BG122" s="556"/>
      <c r="BH122" s="556"/>
      <c r="BI122" s="556"/>
      <c r="BJ122" s="556"/>
      <c r="BK122" s="556"/>
      <c r="BL122" s="556"/>
      <c r="BM122" s="556"/>
      <c r="BN122" s="556"/>
      <c r="BO122" s="556"/>
      <c r="BP122" s="556"/>
      <c r="BQ122" s="556"/>
    </row>
    <row r="123" spans="2:69" ht="17" customHeight="1" x14ac:dyDescent="0.25">
      <c r="B123" s="50"/>
      <c r="C123" s="652"/>
      <c r="D123" s="634"/>
      <c r="E123" s="634"/>
      <c r="F123" s="634"/>
      <c r="G123" s="635"/>
      <c r="H123" s="624"/>
      <c r="I123" s="625"/>
      <c r="J123" s="625"/>
      <c r="K123" s="625"/>
      <c r="L123" s="625"/>
      <c r="M123" s="625"/>
      <c r="N123" s="625"/>
      <c r="O123" s="625"/>
      <c r="P123" s="625"/>
      <c r="Q123" s="625"/>
      <c r="R123" s="625"/>
      <c r="S123" s="625"/>
      <c r="T123" s="625"/>
      <c r="U123" s="625"/>
      <c r="V123" s="625"/>
      <c r="W123" s="626"/>
      <c r="Y123" s="35"/>
      <c r="Z123" s="629"/>
      <c r="AA123" s="630"/>
      <c r="AB123" s="630"/>
      <c r="AC123" s="630"/>
      <c r="AD123" s="631"/>
      <c r="AE123" s="621"/>
      <c r="AF123" s="622"/>
      <c r="AG123" s="622"/>
      <c r="AH123" s="622"/>
      <c r="AI123" s="622"/>
      <c r="AJ123" s="622"/>
      <c r="AK123" s="622"/>
      <c r="AL123" s="622"/>
      <c r="AM123" s="622"/>
      <c r="AN123" s="622"/>
      <c r="AO123" s="622"/>
      <c r="AP123" s="622"/>
      <c r="AQ123" s="622"/>
      <c r="AR123" s="622"/>
      <c r="AS123" s="623"/>
      <c r="AV123" s="811" t="s">
        <v>75</v>
      </c>
      <c r="AW123" s="811"/>
      <c r="AX123" s="811"/>
      <c r="AY123" s="811"/>
      <c r="AZ123" s="811" t="str">
        <f>IFERROR(LOOKUP($F$17,综合数据!I:I,综合数据!M:M),"")</f>
        <v>睿智的目光</v>
      </c>
      <c r="BA123" s="811"/>
      <c r="BB123" s="811"/>
      <c r="BC123" s="811"/>
      <c r="BD123" s="811"/>
      <c r="BE123" s="811"/>
      <c r="BF123" s="811"/>
      <c r="BG123" s="811"/>
      <c r="BH123" s="811"/>
      <c r="BI123" s="811"/>
      <c r="BJ123" s="811"/>
      <c r="BK123" s="811"/>
      <c r="BL123" s="811"/>
      <c r="BM123" s="811"/>
      <c r="BN123" s="811"/>
      <c r="BO123" s="811"/>
      <c r="BP123" s="811"/>
      <c r="BQ123" s="811"/>
    </row>
    <row r="124" spans="2:69" ht="17" customHeight="1" x14ac:dyDescent="0.25">
      <c r="B124" s="35"/>
      <c r="C124" s="678"/>
      <c r="D124" s="663"/>
      <c r="E124" s="663"/>
      <c r="F124" s="663"/>
      <c r="G124" s="664"/>
      <c r="H124" s="621"/>
      <c r="I124" s="622"/>
      <c r="J124" s="622"/>
      <c r="K124" s="622"/>
      <c r="L124" s="622"/>
      <c r="M124" s="622"/>
      <c r="N124" s="622"/>
      <c r="O124" s="622"/>
      <c r="P124" s="622"/>
      <c r="Q124" s="622"/>
      <c r="R124" s="622"/>
      <c r="S124" s="622"/>
      <c r="T124" s="622"/>
      <c r="U124" s="622"/>
      <c r="V124" s="622"/>
      <c r="W124" s="623"/>
      <c r="Y124" s="50"/>
      <c r="Z124" s="653"/>
      <c r="AA124" s="654"/>
      <c r="AB124" s="654"/>
      <c r="AC124" s="654"/>
      <c r="AD124" s="655"/>
      <c r="AE124" s="624"/>
      <c r="AF124" s="625"/>
      <c r="AG124" s="625"/>
      <c r="AH124" s="625"/>
      <c r="AI124" s="625"/>
      <c r="AJ124" s="625"/>
      <c r="AK124" s="625"/>
      <c r="AL124" s="625"/>
      <c r="AM124" s="625"/>
      <c r="AN124" s="625"/>
      <c r="AO124" s="625"/>
      <c r="AP124" s="625"/>
      <c r="AQ124" s="625"/>
      <c r="AR124" s="625"/>
      <c r="AS124" s="626"/>
      <c r="AV124" s="556" t="s">
        <v>76</v>
      </c>
      <c r="AW124" s="556"/>
      <c r="AX124" s="556"/>
      <c r="AY124" s="556"/>
      <c r="AZ124" s="556" t="str">
        <f>IFERROR(LOOKUP($F$18,综合数据!I:I,综合数据!N:N),"")</f>
        <v>身边的一切风吹草动都逃不出您的敏锐的目光</v>
      </c>
      <c r="BA124" s="556"/>
      <c r="BB124" s="556"/>
      <c r="BC124" s="556"/>
      <c r="BD124" s="556"/>
      <c r="BE124" s="556"/>
      <c r="BF124" s="556"/>
      <c r="BG124" s="556"/>
      <c r="BH124" s="556"/>
      <c r="BI124" s="556"/>
      <c r="BJ124" s="556"/>
      <c r="BK124" s="556"/>
      <c r="BL124" s="556"/>
      <c r="BM124" s="556"/>
      <c r="BN124" s="556"/>
      <c r="BO124" s="556"/>
      <c r="BP124" s="556"/>
      <c r="BQ124" s="556"/>
    </row>
    <row r="125" spans="2:69" ht="17" customHeight="1" x14ac:dyDescent="0.25">
      <c r="B125" s="50"/>
      <c r="C125" s="652"/>
      <c r="D125" s="634"/>
      <c r="E125" s="634"/>
      <c r="F125" s="634"/>
      <c r="G125" s="635"/>
      <c r="H125" s="624"/>
      <c r="I125" s="625"/>
      <c r="J125" s="625"/>
      <c r="K125" s="625"/>
      <c r="L125" s="625"/>
      <c r="M125" s="625"/>
      <c r="N125" s="625"/>
      <c r="O125" s="625"/>
      <c r="P125" s="625"/>
      <c r="Q125" s="625"/>
      <c r="R125" s="625"/>
      <c r="S125" s="625"/>
      <c r="T125" s="625"/>
      <c r="U125" s="625"/>
      <c r="V125" s="625"/>
      <c r="W125" s="626"/>
      <c r="Y125" s="35"/>
      <c r="Z125" s="629"/>
      <c r="AA125" s="630"/>
      <c r="AB125" s="630"/>
      <c r="AC125" s="630"/>
      <c r="AD125" s="631"/>
      <c r="AE125" s="621"/>
      <c r="AF125" s="622"/>
      <c r="AG125" s="622"/>
      <c r="AH125" s="622"/>
      <c r="AI125" s="622"/>
      <c r="AJ125" s="622"/>
      <c r="AK125" s="622"/>
      <c r="AL125" s="622"/>
      <c r="AM125" s="622"/>
      <c r="AN125" s="622"/>
      <c r="AO125" s="622"/>
      <c r="AP125" s="622"/>
      <c r="AQ125" s="622"/>
      <c r="AR125" s="622"/>
      <c r="AS125" s="623"/>
      <c r="AV125" s="811" t="s">
        <v>77</v>
      </c>
      <c r="AW125" s="811"/>
      <c r="AX125" s="811"/>
      <c r="AY125" s="811"/>
      <c r="AZ125" s="811" t="str">
        <f>IFERROR(LOOKUP($F$19,综合数据!I:I,综合数据!O:O),"")</f>
        <v>讨价还价的能力不错</v>
      </c>
      <c r="BA125" s="811"/>
      <c r="BB125" s="811"/>
      <c r="BC125" s="811"/>
      <c r="BD125" s="811"/>
      <c r="BE125" s="811"/>
      <c r="BF125" s="811"/>
      <c r="BG125" s="811"/>
      <c r="BH125" s="811"/>
      <c r="BI125" s="811"/>
      <c r="BJ125" s="811"/>
      <c r="BK125" s="811"/>
      <c r="BL125" s="811"/>
      <c r="BM125" s="811"/>
      <c r="BN125" s="811"/>
      <c r="BO125" s="811"/>
      <c r="BP125" s="811"/>
      <c r="BQ125" s="811"/>
    </row>
    <row r="126" spans="2:69" ht="17" customHeight="1" x14ac:dyDescent="0.25">
      <c r="B126" s="35"/>
      <c r="C126" s="678"/>
      <c r="D126" s="663"/>
      <c r="E126" s="663"/>
      <c r="F126" s="663"/>
      <c r="G126" s="664"/>
      <c r="H126" s="621"/>
      <c r="I126" s="622"/>
      <c r="J126" s="622"/>
      <c r="K126" s="622"/>
      <c r="L126" s="622"/>
      <c r="M126" s="622"/>
      <c r="N126" s="622"/>
      <c r="O126" s="622"/>
      <c r="P126" s="622"/>
      <c r="Q126" s="622"/>
      <c r="R126" s="622"/>
      <c r="S126" s="622"/>
      <c r="T126" s="622"/>
      <c r="U126" s="622"/>
      <c r="V126" s="622"/>
      <c r="W126" s="623"/>
      <c r="Y126" s="50"/>
      <c r="Z126" s="653"/>
      <c r="AA126" s="654"/>
      <c r="AB126" s="654"/>
      <c r="AC126" s="654"/>
      <c r="AD126" s="655"/>
      <c r="AE126" s="624"/>
      <c r="AF126" s="625"/>
      <c r="AG126" s="625"/>
      <c r="AH126" s="625"/>
      <c r="AI126" s="625"/>
      <c r="AJ126" s="625"/>
      <c r="AK126" s="625"/>
      <c r="AL126" s="625"/>
      <c r="AM126" s="625"/>
      <c r="AN126" s="625"/>
      <c r="AO126" s="625"/>
      <c r="AP126" s="625"/>
      <c r="AQ126" s="625"/>
      <c r="AR126" s="625"/>
      <c r="AS126" s="626"/>
    </row>
    <row r="127" spans="2:69" ht="17" customHeight="1" x14ac:dyDescent="0.25">
      <c r="B127" s="50"/>
      <c r="C127" s="652"/>
      <c r="D127" s="634"/>
      <c r="E127" s="634"/>
      <c r="F127" s="634"/>
      <c r="G127" s="635"/>
      <c r="H127" s="624"/>
      <c r="I127" s="625"/>
      <c r="J127" s="625"/>
      <c r="K127" s="625"/>
      <c r="L127" s="625"/>
      <c r="M127" s="625"/>
      <c r="N127" s="625"/>
      <c r="O127" s="625"/>
      <c r="P127" s="625"/>
      <c r="Q127" s="625"/>
      <c r="R127" s="625"/>
      <c r="S127" s="625"/>
      <c r="T127" s="625"/>
      <c r="U127" s="625"/>
      <c r="V127" s="625"/>
      <c r="W127" s="626"/>
      <c r="Y127" s="35"/>
      <c r="Z127" s="629"/>
      <c r="AA127" s="630"/>
      <c r="AB127" s="630"/>
      <c r="AC127" s="630"/>
      <c r="AD127" s="631"/>
      <c r="AE127" s="621"/>
      <c r="AF127" s="622"/>
      <c r="AG127" s="622"/>
      <c r="AH127" s="622"/>
      <c r="AI127" s="622"/>
      <c r="AJ127" s="622"/>
      <c r="AK127" s="622"/>
      <c r="AL127" s="622"/>
      <c r="AM127" s="622"/>
      <c r="AN127" s="622"/>
      <c r="AO127" s="622"/>
      <c r="AP127" s="622"/>
      <c r="AQ127" s="622"/>
      <c r="AR127" s="622"/>
      <c r="AS127" s="623"/>
    </row>
    <row r="128" spans="2:69" ht="17" customHeight="1" x14ac:dyDescent="0.25">
      <c r="B128" s="35"/>
      <c r="C128" s="678"/>
      <c r="D128" s="663"/>
      <c r="E128" s="663"/>
      <c r="F128" s="663"/>
      <c r="G128" s="664"/>
      <c r="H128" s="621"/>
      <c r="I128" s="622"/>
      <c r="J128" s="622"/>
      <c r="K128" s="622"/>
      <c r="L128" s="622"/>
      <c r="M128" s="622"/>
      <c r="N128" s="622"/>
      <c r="O128" s="622"/>
      <c r="P128" s="622"/>
      <c r="Q128" s="622"/>
      <c r="R128" s="622"/>
      <c r="S128" s="622"/>
      <c r="T128" s="622"/>
      <c r="U128" s="622"/>
      <c r="V128" s="622"/>
      <c r="W128" s="623"/>
      <c r="Y128" s="50"/>
      <c r="Z128" s="653"/>
      <c r="AA128" s="654"/>
      <c r="AB128" s="654"/>
      <c r="AC128" s="654"/>
      <c r="AD128" s="655"/>
      <c r="AE128" s="624"/>
      <c r="AF128" s="625"/>
      <c r="AG128" s="625"/>
      <c r="AH128" s="625"/>
      <c r="AI128" s="625"/>
      <c r="AJ128" s="625"/>
      <c r="AK128" s="625"/>
      <c r="AL128" s="625"/>
      <c r="AM128" s="625"/>
      <c r="AN128" s="625"/>
      <c r="AO128" s="625"/>
      <c r="AP128" s="625"/>
      <c r="AQ128" s="625"/>
      <c r="AR128" s="625"/>
      <c r="AS128" s="626"/>
    </row>
    <row r="129" spans="2:45" ht="17" customHeight="1" x14ac:dyDescent="0.25"/>
    <row r="130" spans="2:45" ht="17" customHeight="1" x14ac:dyDescent="0.25">
      <c r="B130" s="665" t="s">
        <v>261</v>
      </c>
      <c r="C130" s="665"/>
      <c r="D130" s="665"/>
      <c r="E130" s="665"/>
      <c r="F130" s="665"/>
      <c r="G130" s="665"/>
      <c r="H130" s="665"/>
      <c r="I130" s="665"/>
      <c r="J130" s="665"/>
      <c r="K130" s="665"/>
      <c r="L130" s="665"/>
      <c r="M130" s="665"/>
      <c r="N130" s="665"/>
      <c r="O130" s="665"/>
      <c r="P130" s="665"/>
      <c r="Q130" s="665"/>
      <c r="R130" s="665"/>
      <c r="S130" s="665"/>
      <c r="T130" s="665"/>
      <c r="U130" s="665"/>
      <c r="V130" s="665"/>
      <c r="W130" s="665"/>
      <c r="Y130" s="665" t="s">
        <v>262</v>
      </c>
      <c r="Z130" s="665"/>
      <c r="AA130" s="665"/>
      <c r="AB130" s="665"/>
      <c r="AC130" s="665"/>
      <c r="AD130" s="665"/>
      <c r="AE130" s="665"/>
      <c r="AF130" s="665"/>
      <c r="AG130" s="665"/>
      <c r="AH130" s="665"/>
      <c r="AI130" s="665"/>
      <c r="AJ130" s="665"/>
      <c r="AK130" s="665"/>
      <c r="AL130" s="665"/>
      <c r="AM130" s="665"/>
      <c r="AN130" s="665"/>
      <c r="AO130" s="665"/>
      <c r="AP130" s="665"/>
      <c r="AQ130" s="665"/>
      <c r="AR130" s="665"/>
      <c r="AS130" s="665"/>
    </row>
    <row r="131" spans="2:45" ht="17" customHeight="1" x14ac:dyDescent="0.25">
      <c r="B131" s="621"/>
      <c r="C131" s="622"/>
      <c r="D131" s="622"/>
      <c r="E131" s="622"/>
      <c r="F131" s="622"/>
      <c r="G131" s="622"/>
      <c r="H131" s="622"/>
      <c r="I131" s="622"/>
      <c r="J131" s="622"/>
      <c r="K131" s="622"/>
      <c r="L131" s="622"/>
      <c r="M131" s="622"/>
      <c r="N131" s="622"/>
      <c r="O131" s="622"/>
      <c r="P131" s="622"/>
      <c r="Q131" s="622"/>
      <c r="R131" s="622"/>
      <c r="S131" s="622"/>
      <c r="T131" s="622"/>
      <c r="U131" s="622"/>
      <c r="V131" s="622"/>
      <c r="W131" s="623"/>
      <c r="Y131" s="666"/>
      <c r="Z131" s="667"/>
      <c r="AA131" s="667"/>
      <c r="AB131" s="667"/>
      <c r="AC131" s="667"/>
      <c r="AD131" s="667"/>
      <c r="AE131" s="667"/>
      <c r="AF131" s="667"/>
      <c r="AG131" s="667"/>
      <c r="AH131" s="667"/>
      <c r="AI131" s="667"/>
      <c r="AJ131" s="667"/>
      <c r="AK131" s="667"/>
      <c r="AL131" s="667"/>
      <c r="AM131" s="667"/>
      <c r="AN131" s="667"/>
      <c r="AO131" s="667"/>
      <c r="AP131" s="667"/>
      <c r="AQ131" s="667"/>
      <c r="AR131" s="667"/>
      <c r="AS131" s="668"/>
    </row>
    <row r="132" spans="2:45" ht="17" customHeight="1" x14ac:dyDescent="0.25">
      <c r="B132" s="624"/>
      <c r="C132" s="625"/>
      <c r="D132" s="625"/>
      <c r="E132" s="625"/>
      <c r="F132" s="625"/>
      <c r="G132" s="625"/>
      <c r="H132" s="625"/>
      <c r="I132" s="625"/>
      <c r="J132" s="625"/>
      <c r="K132" s="625"/>
      <c r="L132" s="625"/>
      <c r="M132" s="625"/>
      <c r="N132" s="625"/>
      <c r="O132" s="625"/>
      <c r="P132" s="625"/>
      <c r="Q132" s="625"/>
      <c r="R132" s="625"/>
      <c r="S132" s="625"/>
      <c r="T132" s="625"/>
      <c r="U132" s="625"/>
      <c r="V132" s="625"/>
      <c r="W132" s="626"/>
      <c r="Y132" s="669"/>
      <c r="Z132" s="670"/>
      <c r="AA132" s="670"/>
      <c r="AB132" s="670"/>
      <c r="AC132" s="670"/>
      <c r="AD132" s="670"/>
      <c r="AE132" s="670"/>
      <c r="AF132" s="670"/>
      <c r="AG132" s="670"/>
      <c r="AH132" s="670"/>
      <c r="AI132" s="670"/>
      <c r="AJ132" s="670"/>
      <c r="AK132" s="670"/>
      <c r="AL132" s="670"/>
      <c r="AM132" s="670"/>
      <c r="AN132" s="670"/>
      <c r="AO132" s="670"/>
      <c r="AP132" s="670"/>
      <c r="AQ132" s="670"/>
      <c r="AR132" s="670"/>
      <c r="AS132" s="671"/>
    </row>
    <row r="133" spans="2:45" ht="17" customHeight="1" x14ac:dyDescent="0.25">
      <c r="B133" s="621"/>
      <c r="C133" s="622"/>
      <c r="D133" s="622"/>
      <c r="E133" s="622"/>
      <c r="F133" s="622"/>
      <c r="G133" s="622"/>
      <c r="H133" s="622"/>
      <c r="I133" s="622"/>
      <c r="J133" s="622"/>
      <c r="K133" s="622"/>
      <c r="L133" s="622"/>
      <c r="M133" s="622"/>
      <c r="N133" s="622"/>
      <c r="O133" s="622"/>
      <c r="P133" s="622"/>
      <c r="Q133" s="622"/>
      <c r="R133" s="622"/>
      <c r="S133" s="622"/>
      <c r="T133" s="622"/>
      <c r="U133" s="622"/>
      <c r="V133" s="622"/>
      <c r="W133" s="623"/>
      <c r="Y133" s="669"/>
      <c r="Z133" s="670"/>
      <c r="AA133" s="670"/>
      <c r="AB133" s="670"/>
      <c r="AC133" s="670"/>
      <c r="AD133" s="670"/>
      <c r="AE133" s="670"/>
      <c r="AF133" s="670"/>
      <c r="AG133" s="670"/>
      <c r="AH133" s="670"/>
      <c r="AI133" s="670"/>
      <c r="AJ133" s="670"/>
      <c r="AK133" s="670"/>
      <c r="AL133" s="670"/>
      <c r="AM133" s="670"/>
      <c r="AN133" s="670"/>
      <c r="AO133" s="670"/>
      <c r="AP133" s="670"/>
      <c r="AQ133" s="670"/>
      <c r="AR133" s="670"/>
      <c r="AS133" s="671"/>
    </row>
    <row r="134" spans="2:45" ht="17" customHeight="1" x14ac:dyDescent="0.25">
      <c r="B134" s="624"/>
      <c r="C134" s="625"/>
      <c r="D134" s="625"/>
      <c r="E134" s="625"/>
      <c r="F134" s="625"/>
      <c r="G134" s="625"/>
      <c r="H134" s="625"/>
      <c r="I134" s="625"/>
      <c r="J134" s="625"/>
      <c r="K134" s="625"/>
      <c r="L134" s="625"/>
      <c r="M134" s="625"/>
      <c r="N134" s="625"/>
      <c r="O134" s="625"/>
      <c r="P134" s="625"/>
      <c r="Q134" s="625"/>
      <c r="R134" s="625"/>
      <c r="S134" s="625"/>
      <c r="T134" s="625"/>
      <c r="U134" s="625"/>
      <c r="V134" s="625"/>
      <c r="W134" s="626"/>
      <c r="Y134" s="669"/>
      <c r="Z134" s="670"/>
      <c r="AA134" s="670"/>
      <c r="AB134" s="670"/>
      <c r="AC134" s="670"/>
      <c r="AD134" s="670"/>
      <c r="AE134" s="670"/>
      <c r="AF134" s="670"/>
      <c r="AG134" s="670"/>
      <c r="AH134" s="670"/>
      <c r="AI134" s="670"/>
      <c r="AJ134" s="670"/>
      <c r="AK134" s="670"/>
      <c r="AL134" s="670"/>
      <c r="AM134" s="670"/>
      <c r="AN134" s="670"/>
      <c r="AO134" s="670"/>
      <c r="AP134" s="670"/>
      <c r="AQ134" s="670"/>
      <c r="AR134" s="670"/>
      <c r="AS134" s="671"/>
    </row>
    <row r="135" spans="2:45" ht="17" customHeight="1" x14ac:dyDescent="0.25">
      <c r="B135" s="621"/>
      <c r="C135" s="622"/>
      <c r="D135" s="622"/>
      <c r="E135" s="622"/>
      <c r="F135" s="622"/>
      <c r="G135" s="622"/>
      <c r="H135" s="622"/>
      <c r="I135" s="622"/>
      <c r="J135" s="622"/>
      <c r="K135" s="622"/>
      <c r="L135" s="622"/>
      <c r="M135" s="622"/>
      <c r="N135" s="622"/>
      <c r="O135" s="622"/>
      <c r="P135" s="622"/>
      <c r="Q135" s="622"/>
      <c r="R135" s="622"/>
      <c r="S135" s="622"/>
      <c r="T135" s="622"/>
      <c r="U135" s="622"/>
      <c r="V135" s="622"/>
      <c r="W135" s="623"/>
      <c r="Y135" s="669"/>
      <c r="Z135" s="670"/>
      <c r="AA135" s="670"/>
      <c r="AB135" s="670"/>
      <c r="AC135" s="670"/>
      <c r="AD135" s="670"/>
      <c r="AE135" s="670"/>
      <c r="AF135" s="670"/>
      <c r="AG135" s="670"/>
      <c r="AH135" s="670"/>
      <c r="AI135" s="670"/>
      <c r="AJ135" s="670"/>
      <c r="AK135" s="670"/>
      <c r="AL135" s="670"/>
      <c r="AM135" s="670"/>
      <c r="AN135" s="670"/>
      <c r="AO135" s="670"/>
      <c r="AP135" s="670"/>
      <c r="AQ135" s="670"/>
      <c r="AR135" s="670"/>
      <c r="AS135" s="671"/>
    </row>
    <row r="136" spans="2:45" ht="17" customHeight="1" x14ac:dyDescent="0.25">
      <c r="B136" s="624"/>
      <c r="C136" s="625"/>
      <c r="D136" s="625"/>
      <c r="E136" s="625"/>
      <c r="F136" s="625"/>
      <c r="G136" s="625"/>
      <c r="H136" s="625"/>
      <c r="I136" s="625"/>
      <c r="J136" s="625"/>
      <c r="K136" s="625"/>
      <c r="L136" s="625"/>
      <c r="M136" s="625"/>
      <c r="N136" s="625"/>
      <c r="O136" s="625"/>
      <c r="P136" s="625"/>
      <c r="Q136" s="625"/>
      <c r="R136" s="625"/>
      <c r="S136" s="625"/>
      <c r="T136" s="625"/>
      <c r="U136" s="625"/>
      <c r="V136" s="625"/>
      <c r="W136" s="626"/>
      <c r="Y136" s="669"/>
      <c r="Z136" s="670"/>
      <c r="AA136" s="670"/>
      <c r="AB136" s="670"/>
      <c r="AC136" s="670"/>
      <c r="AD136" s="670"/>
      <c r="AE136" s="670"/>
      <c r="AF136" s="670"/>
      <c r="AG136" s="670"/>
      <c r="AH136" s="670"/>
      <c r="AI136" s="670"/>
      <c r="AJ136" s="670"/>
      <c r="AK136" s="670"/>
      <c r="AL136" s="670"/>
      <c r="AM136" s="670"/>
      <c r="AN136" s="670"/>
      <c r="AO136" s="670"/>
      <c r="AP136" s="670"/>
      <c r="AQ136" s="670"/>
      <c r="AR136" s="670"/>
      <c r="AS136" s="671"/>
    </row>
    <row r="137" spans="2:45" x14ac:dyDescent="0.25">
      <c r="B137" s="621"/>
      <c r="C137" s="622"/>
      <c r="D137" s="622"/>
      <c r="E137" s="622"/>
      <c r="F137" s="622"/>
      <c r="G137" s="622"/>
      <c r="H137" s="622"/>
      <c r="I137" s="622"/>
      <c r="J137" s="622"/>
      <c r="K137" s="622"/>
      <c r="L137" s="622"/>
      <c r="M137" s="622"/>
      <c r="N137" s="622"/>
      <c r="O137" s="622"/>
      <c r="P137" s="622"/>
      <c r="Q137" s="622"/>
      <c r="R137" s="622"/>
      <c r="S137" s="622"/>
      <c r="T137" s="622"/>
      <c r="U137" s="622"/>
      <c r="V137" s="622"/>
      <c r="W137" s="623"/>
      <c r="Y137" s="669"/>
      <c r="Z137" s="670"/>
      <c r="AA137" s="670"/>
      <c r="AB137" s="670"/>
      <c r="AC137" s="670"/>
      <c r="AD137" s="670"/>
      <c r="AE137" s="670"/>
      <c r="AF137" s="670"/>
      <c r="AG137" s="670"/>
      <c r="AH137" s="670"/>
      <c r="AI137" s="670"/>
      <c r="AJ137" s="670"/>
      <c r="AK137" s="670"/>
      <c r="AL137" s="670"/>
      <c r="AM137" s="670"/>
      <c r="AN137" s="670"/>
      <c r="AO137" s="670"/>
      <c r="AP137" s="670"/>
      <c r="AQ137" s="670"/>
      <c r="AR137" s="670"/>
      <c r="AS137" s="671"/>
    </row>
    <row r="138" spans="2:45" x14ac:dyDescent="0.25">
      <c r="B138" s="624"/>
      <c r="C138" s="625"/>
      <c r="D138" s="625"/>
      <c r="E138" s="625"/>
      <c r="F138" s="625"/>
      <c r="G138" s="625"/>
      <c r="H138" s="625"/>
      <c r="I138" s="625"/>
      <c r="J138" s="625"/>
      <c r="K138" s="625"/>
      <c r="L138" s="625"/>
      <c r="M138" s="625"/>
      <c r="N138" s="625"/>
      <c r="O138" s="625"/>
      <c r="P138" s="625"/>
      <c r="Q138" s="625"/>
      <c r="R138" s="625"/>
      <c r="S138" s="625"/>
      <c r="T138" s="625"/>
      <c r="U138" s="625"/>
      <c r="V138" s="625"/>
      <c r="W138" s="626"/>
      <c r="Y138" s="669"/>
      <c r="Z138" s="670"/>
      <c r="AA138" s="670"/>
      <c r="AB138" s="670"/>
      <c r="AC138" s="670"/>
      <c r="AD138" s="670"/>
      <c r="AE138" s="670"/>
      <c r="AF138" s="670"/>
      <c r="AG138" s="670"/>
      <c r="AH138" s="670"/>
      <c r="AI138" s="670"/>
      <c r="AJ138" s="670"/>
      <c r="AK138" s="670"/>
      <c r="AL138" s="670"/>
      <c r="AM138" s="670"/>
      <c r="AN138" s="670"/>
      <c r="AO138" s="670"/>
      <c r="AP138" s="670"/>
      <c r="AQ138" s="670"/>
      <c r="AR138" s="670"/>
      <c r="AS138" s="671"/>
    </row>
    <row r="139" spans="2:45" x14ac:dyDescent="0.25">
      <c r="B139" s="621"/>
      <c r="C139" s="622"/>
      <c r="D139" s="622"/>
      <c r="E139" s="622"/>
      <c r="F139" s="622"/>
      <c r="G139" s="622"/>
      <c r="H139" s="622"/>
      <c r="I139" s="622"/>
      <c r="J139" s="622"/>
      <c r="K139" s="622"/>
      <c r="L139" s="622"/>
      <c r="M139" s="622"/>
      <c r="N139" s="622"/>
      <c r="O139" s="622"/>
      <c r="P139" s="622"/>
      <c r="Q139" s="622"/>
      <c r="R139" s="622"/>
      <c r="S139" s="622"/>
      <c r="T139" s="622"/>
      <c r="U139" s="622"/>
      <c r="V139" s="622"/>
      <c r="W139" s="623"/>
      <c r="Y139" s="669"/>
      <c r="Z139" s="670"/>
      <c r="AA139" s="670"/>
      <c r="AB139" s="670"/>
      <c r="AC139" s="670"/>
      <c r="AD139" s="670"/>
      <c r="AE139" s="670"/>
      <c r="AF139" s="670"/>
      <c r="AG139" s="670"/>
      <c r="AH139" s="670"/>
      <c r="AI139" s="670"/>
      <c r="AJ139" s="670"/>
      <c r="AK139" s="670"/>
      <c r="AL139" s="670"/>
      <c r="AM139" s="670"/>
      <c r="AN139" s="670"/>
      <c r="AO139" s="670"/>
      <c r="AP139" s="670"/>
      <c r="AQ139" s="670"/>
      <c r="AR139" s="670"/>
      <c r="AS139" s="671"/>
    </row>
    <row r="140" spans="2:45" x14ac:dyDescent="0.25">
      <c r="B140" s="624"/>
      <c r="C140" s="625"/>
      <c r="D140" s="625"/>
      <c r="E140" s="625"/>
      <c r="F140" s="625"/>
      <c r="G140" s="625"/>
      <c r="H140" s="625"/>
      <c r="I140" s="625"/>
      <c r="J140" s="625"/>
      <c r="K140" s="625"/>
      <c r="L140" s="625"/>
      <c r="M140" s="625"/>
      <c r="N140" s="625"/>
      <c r="O140" s="625"/>
      <c r="P140" s="625"/>
      <c r="Q140" s="625"/>
      <c r="R140" s="625"/>
      <c r="S140" s="625"/>
      <c r="T140" s="625"/>
      <c r="U140" s="625"/>
      <c r="V140" s="625"/>
      <c r="W140" s="626"/>
      <c r="Y140" s="669"/>
      <c r="Z140" s="670"/>
      <c r="AA140" s="670"/>
      <c r="AB140" s="670"/>
      <c r="AC140" s="670"/>
      <c r="AD140" s="670"/>
      <c r="AE140" s="670"/>
      <c r="AF140" s="670"/>
      <c r="AG140" s="670"/>
      <c r="AH140" s="670"/>
      <c r="AI140" s="670"/>
      <c r="AJ140" s="670"/>
      <c r="AK140" s="670"/>
      <c r="AL140" s="670"/>
      <c r="AM140" s="670"/>
      <c r="AN140" s="670"/>
      <c r="AO140" s="670"/>
      <c r="AP140" s="670"/>
      <c r="AQ140" s="670"/>
      <c r="AR140" s="670"/>
      <c r="AS140" s="671"/>
    </row>
    <row r="141" spans="2:45" x14ac:dyDescent="0.25">
      <c r="B141" s="621"/>
      <c r="C141" s="622"/>
      <c r="D141" s="622"/>
      <c r="E141" s="622"/>
      <c r="F141" s="622"/>
      <c r="G141" s="622"/>
      <c r="H141" s="622"/>
      <c r="I141" s="622"/>
      <c r="J141" s="622"/>
      <c r="K141" s="622"/>
      <c r="L141" s="622"/>
      <c r="M141" s="622"/>
      <c r="N141" s="622"/>
      <c r="O141" s="622"/>
      <c r="P141" s="622"/>
      <c r="Q141" s="622"/>
      <c r="R141" s="622"/>
      <c r="S141" s="622"/>
      <c r="T141" s="622"/>
      <c r="U141" s="622"/>
      <c r="V141" s="622"/>
      <c r="W141" s="623"/>
      <c r="Y141" s="669"/>
      <c r="Z141" s="670"/>
      <c r="AA141" s="670"/>
      <c r="AB141" s="670"/>
      <c r="AC141" s="670"/>
      <c r="AD141" s="670"/>
      <c r="AE141" s="670"/>
      <c r="AF141" s="670"/>
      <c r="AG141" s="670"/>
      <c r="AH141" s="670"/>
      <c r="AI141" s="670"/>
      <c r="AJ141" s="670"/>
      <c r="AK141" s="670"/>
      <c r="AL141" s="670"/>
      <c r="AM141" s="670"/>
      <c r="AN141" s="670"/>
      <c r="AO141" s="670"/>
      <c r="AP141" s="670"/>
      <c r="AQ141" s="670"/>
      <c r="AR141" s="670"/>
      <c r="AS141" s="671"/>
    </row>
    <row r="142" spans="2:45" x14ac:dyDescent="0.25">
      <c r="B142" s="624"/>
      <c r="C142" s="625"/>
      <c r="D142" s="625"/>
      <c r="E142" s="625"/>
      <c r="F142" s="625"/>
      <c r="G142" s="625"/>
      <c r="H142" s="625"/>
      <c r="I142" s="625"/>
      <c r="J142" s="625"/>
      <c r="K142" s="625"/>
      <c r="L142" s="625"/>
      <c r="M142" s="625"/>
      <c r="N142" s="625"/>
      <c r="O142" s="625"/>
      <c r="P142" s="625"/>
      <c r="Q142" s="625"/>
      <c r="R142" s="625"/>
      <c r="S142" s="625"/>
      <c r="T142" s="625"/>
      <c r="U142" s="625"/>
      <c r="V142" s="625"/>
      <c r="W142" s="626"/>
      <c r="Y142" s="672"/>
      <c r="Z142" s="673"/>
      <c r="AA142" s="673"/>
      <c r="AB142" s="673"/>
      <c r="AC142" s="673"/>
      <c r="AD142" s="673"/>
      <c r="AE142" s="673"/>
      <c r="AF142" s="673"/>
      <c r="AG142" s="673"/>
      <c r="AH142" s="673"/>
      <c r="AI142" s="673"/>
      <c r="AJ142" s="673"/>
      <c r="AK142" s="673"/>
      <c r="AL142" s="673"/>
      <c r="AM142" s="673"/>
      <c r="AN142" s="673"/>
      <c r="AO142" s="673"/>
      <c r="AP142" s="673"/>
      <c r="AQ142" s="673"/>
      <c r="AR142" s="673"/>
      <c r="AS142" s="674"/>
    </row>
  </sheetData>
  <mergeCells count="938">
    <mergeCell ref="BG3:BH3"/>
    <mergeCell ref="F26:F27"/>
    <mergeCell ref="L29:Z30"/>
    <mergeCell ref="M15:N15"/>
    <mergeCell ref="K13:L13"/>
    <mergeCell ref="AE128:AS128"/>
    <mergeCell ref="C118:G118"/>
    <mergeCell ref="H108:W108"/>
    <mergeCell ref="B132:W132"/>
    <mergeCell ref="AZ122:BQ122"/>
    <mergeCell ref="AA108:AC108"/>
    <mergeCell ref="H114:W114"/>
    <mergeCell ref="AE111:AS111"/>
    <mergeCell ref="BK3:BL3"/>
    <mergeCell ref="AY54:BP54"/>
    <mergeCell ref="BE3:BF3"/>
    <mergeCell ref="AV4:AV10"/>
    <mergeCell ref="AN107:AS107"/>
    <mergeCell ref="BO6:BP6"/>
    <mergeCell ref="AE92:AS92"/>
    <mergeCell ref="Z112:AD112"/>
    <mergeCell ref="H91:W91"/>
    <mergeCell ref="AA83:AC83"/>
    <mergeCell ref="Z110:AD110"/>
    <mergeCell ref="AV121:AY121"/>
    <mergeCell ref="BD65:BI65"/>
    <mergeCell ref="H123:W123"/>
    <mergeCell ref="AA53:AB53"/>
    <mergeCell ref="F42:G42"/>
    <mergeCell ref="AW97:BP111"/>
    <mergeCell ref="AV120:AY120"/>
    <mergeCell ref="H112:W112"/>
    <mergeCell ref="C96:G96"/>
    <mergeCell ref="Z107:AD107"/>
    <mergeCell ref="BL115:BM115"/>
    <mergeCell ref="BF52:BG52"/>
    <mergeCell ref="AY77:BP77"/>
    <mergeCell ref="J77:N77"/>
    <mergeCell ref="P53:T53"/>
    <mergeCell ref="AE85:AS85"/>
    <mergeCell ref="H113:W113"/>
    <mergeCell ref="BP118:BQ118"/>
    <mergeCell ref="J69:N69"/>
    <mergeCell ref="AH48:AJ48"/>
    <mergeCell ref="Z109:AD109"/>
    <mergeCell ref="AY57:AZ57"/>
    <mergeCell ref="BL63:BP63"/>
    <mergeCell ref="BK65:BL65"/>
    <mergeCell ref="BO4:BP4"/>
    <mergeCell ref="BE71:BF71"/>
    <mergeCell ref="H101:W101"/>
    <mergeCell ref="Z104:AD104"/>
    <mergeCell ref="AX72:AY72"/>
    <mergeCell ref="AO99:AS99"/>
    <mergeCell ref="BC72:BD72"/>
    <mergeCell ref="BC63:BD63"/>
    <mergeCell ref="AA57:AC57"/>
    <mergeCell ref="I29:I30"/>
    <mergeCell ref="T19:U19"/>
    <mergeCell ref="AE55:AJ55"/>
    <mergeCell ref="AE59:AF59"/>
    <mergeCell ref="H103:W103"/>
    <mergeCell ref="J80:N80"/>
    <mergeCell ref="Z95:AD95"/>
    <mergeCell ref="P38:R38"/>
    <mergeCell ref="V7:X7"/>
    <mergeCell ref="BG7:BH7"/>
    <mergeCell ref="BJ48:BK48"/>
    <mergeCell ref="BC4:BD4"/>
    <mergeCell ref="BM7:BN7"/>
    <mergeCell ref="BM4:BN4"/>
    <mergeCell ref="BG62:BH62"/>
    <mergeCell ref="BM65:BN65"/>
    <mergeCell ref="P41:R41"/>
    <mergeCell ref="D6:H6"/>
    <mergeCell ref="C17:E17"/>
    <mergeCell ref="C16:E16"/>
    <mergeCell ref="V4:X4"/>
    <mergeCell ref="Y10:Z10"/>
    <mergeCell ref="AR38:AS38"/>
    <mergeCell ref="D7:H7"/>
    <mergeCell ref="I28:L28"/>
    <mergeCell ref="B7:C7"/>
    <mergeCell ref="P28:Q28"/>
    <mergeCell ref="F29:F30"/>
    <mergeCell ref="BK4:BL4"/>
    <mergeCell ref="R18:S18"/>
    <mergeCell ref="I13:J13"/>
    <mergeCell ref="Y38:Z38"/>
    <mergeCell ref="AL39:AO39"/>
    <mergeCell ref="W14:X14"/>
    <mergeCell ref="AW9:AY9"/>
    <mergeCell ref="BC6:BD6"/>
    <mergeCell ref="L47:M47"/>
    <mergeCell ref="P47:T47"/>
    <mergeCell ref="B6:C6"/>
    <mergeCell ref="J70:N70"/>
    <mergeCell ref="W62:AB62"/>
    <mergeCell ref="AC62:AH62"/>
    <mergeCell ref="AC61:AH61"/>
    <mergeCell ref="AK69:AS69"/>
    <mergeCell ref="C51:E51"/>
    <mergeCell ref="AR60:AS60"/>
    <mergeCell ref="C48:E48"/>
    <mergeCell ref="I59:J59"/>
    <mergeCell ref="C55:E55"/>
    <mergeCell ref="AR52:AS52"/>
    <mergeCell ref="AE66:AF66"/>
    <mergeCell ref="AO54:AP54"/>
    <mergeCell ref="C64:G64"/>
    <mergeCell ref="F55:G55"/>
    <mergeCell ref="AO52:AP52"/>
    <mergeCell ref="C50:E50"/>
    <mergeCell ref="I53:J53"/>
    <mergeCell ref="AE58:AF58"/>
    <mergeCell ref="Q60:T60"/>
    <mergeCell ref="AA58:AC58"/>
    <mergeCell ref="C49:E49"/>
    <mergeCell ref="O57:Q57"/>
    <mergeCell ref="F58:G58"/>
    <mergeCell ref="BD118:BI118"/>
    <mergeCell ref="AV113:BQ113"/>
    <mergeCell ref="AZ115:BA115"/>
    <mergeCell ref="AE113:AS113"/>
    <mergeCell ref="Z115:AD115"/>
    <mergeCell ref="AZ114:BA114"/>
    <mergeCell ref="BI79:BP79"/>
    <mergeCell ref="BM64:BN64"/>
    <mergeCell ref="AZ68:BA68"/>
    <mergeCell ref="AH65:AI65"/>
    <mergeCell ref="AW80:AX80"/>
    <mergeCell ref="Z92:AD92"/>
    <mergeCell ref="Y83:Z83"/>
    <mergeCell ref="AX70:AY70"/>
    <mergeCell ref="AZ72:BA72"/>
    <mergeCell ref="AX73:AY73"/>
    <mergeCell ref="AW96:AX96"/>
    <mergeCell ref="AY76:BP76"/>
    <mergeCell ref="BO65:BP65"/>
    <mergeCell ref="AZ69:BA69"/>
    <mergeCell ref="AX69:AY69"/>
    <mergeCell ref="AE90:AS90"/>
    <mergeCell ref="AE88:AS88"/>
    <mergeCell ref="BE68:BF68"/>
    <mergeCell ref="Y120:Z120"/>
    <mergeCell ref="H104:W104"/>
    <mergeCell ref="B62:G62"/>
    <mergeCell ref="Z87:AD87"/>
    <mergeCell ref="H93:W93"/>
    <mergeCell ref="C72:G72"/>
    <mergeCell ref="Z86:AD86"/>
    <mergeCell ref="Q80:U80"/>
    <mergeCell ref="H90:W90"/>
    <mergeCell ref="C102:G102"/>
    <mergeCell ref="H111:W111"/>
    <mergeCell ref="C93:G93"/>
    <mergeCell ref="Q73:U73"/>
    <mergeCell ref="J75:N75"/>
    <mergeCell ref="J76:N76"/>
    <mergeCell ref="C68:G68"/>
    <mergeCell ref="J71:N71"/>
    <mergeCell ref="C76:G76"/>
    <mergeCell ref="H107:W107"/>
    <mergeCell ref="Q67:U67"/>
    <mergeCell ref="C116:G116"/>
    <mergeCell ref="H94:W94"/>
    <mergeCell ref="H83:W83"/>
    <mergeCell ref="C86:G86"/>
    <mergeCell ref="A1:N1"/>
    <mergeCell ref="U55:Z55"/>
    <mergeCell ref="AI61:AN61"/>
    <mergeCell ref="I48:J48"/>
    <mergeCell ref="C66:G66"/>
    <mergeCell ref="Y39:Z39"/>
    <mergeCell ref="U50:Z50"/>
    <mergeCell ref="F13:G13"/>
    <mergeCell ref="C40:E40"/>
    <mergeCell ref="T17:U17"/>
    <mergeCell ref="I14:J14"/>
    <mergeCell ref="I19:J19"/>
    <mergeCell ref="F41:G41"/>
    <mergeCell ref="AH45:AJ45"/>
    <mergeCell ref="M19:N19"/>
    <mergeCell ref="AB29:AC30"/>
    <mergeCell ref="AC43:AE43"/>
    <mergeCell ref="AG58:AK58"/>
    <mergeCell ref="AB39:AC39"/>
    <mergeCell ref="W66:AC66"/>
    <mergeCell ref="W61:AB61"/>
    <mergeCell ref="AH44:AJ44"/>
    <mergeCell ref="C59:E59"/>
    <mergeCell ref="C60:E60"/>
    <mergeCell ref="BC115:BD115"/>
    <mergeCell ref="BC114:BD114"/>
    <mergeCell ref="BB49:BC49"/>
    <mergeCell ref="T14:U14"/>
    <mergeCell ref="L59:O59"/>
    <mergeCell ref="S26:S27"/>
    <mergeCell ref="BB48:BC48"/>
    <mergeCell ref="I47:J47"/>
    <mergeCell ref="M16:N16"/>
    <mergeCell ref="U49:Z49"/>
    <mergeCell ref="AA38:AC38"/>
    <mergeCell ref="S34:V35"/>
    <mergeCell ref="L46:M46"/>
    <mergeCell ref="AL45:AM45"/>
    <mergeCell ref="AC45:AE45"/>
    <mergeCell ref="N34:P35"/>
    <mergeCell ref="AY79:BF79"/>
    <mergeCell ref="J67:N67"/>
    <mergeCell ref="W69:AB69"/>
    <mergeCell ref="S37:U37"/>
    <mergeCell ref="W16:X16"/>
    <mergeCell ref="L44:N44"/>
    <mergeCell ref="AR41:AS41"/>
    <mergeCell ref="J68:N68"/>
    <mergeCell ref="Y108:Z108"/>
    <mergeCell ref="BI52:BJ52"/>
    <mergeCell ref="BO114:BP114"/>
    <mergeCell ref="BF49:BG49"/>
    <mergeCell ref="AW63:AX63"/>
    <mergeCell ref="Q59:T59"/>
    <mergeCell ref="Q61:V61"/>
    <mergeCell ref="Y26:Z27"/>
    <mergeCell ref="AY4:AZ4"/>
    <mergeCell ref="V26:V27"/>
    <mergeCell ref="AB34:AC35"/>
    <mergeCell ref="AA49:AB49"/>
    <mergeCell ref="S42:X42"/>
    <mergeCell ref="V46:Y46"/>
    <mergeCell ref="Y45:Z45"/>
    <mergeCell ref="S45:X45"/>
    <mergeCell ref="AB28:AS28"/>
    <mergeCell ref="AY7:AZ7"/>
    <mergeCell ref="AW58:AX58"/>
    <mergeCell ref="AA50:AB50"/>
    <mergeCell ref="Y13:Z13"/>
    <mergeCell ref="AA60:AC60"/>
    <mergeCell ref="AD38:AF38"/>
    <mergeCell ref="Y16:Z16"/>
    <mergeCell ref="R6:U6"/>
    <mergeCell ref="J9:K9"/>
    <mergeCell ref="T13:U13"/>
    <mergeCell ref="M12:O12"/>
    <mergeCell ref="J26:K27"/>
    <mergeCell ref="J34:M35"/>
    <mergeCell ref="R13:S13"/>
    <mergeCell ref="K14:L14"/>
    <mergeCell ref="F34:H35"/>
    <mergeCell ref="D9:H9"/>
    <mergeCell ref="R7:U7"/>
    <mergeCell ref="R15:S15"/>
    <mergeCell ref="B9:C9"/>
    <mergeCell ref="C19:E19"/>
    <mergeCell ref="C15:E15"/>
    <mergeCell ref="F38:G38"/>
    <mergeCell ref="AE52:AG52"/>
    <mergeCell ref="AI52:AK52"/>
    <mergeCell ref="AR43:AS43"/>
    <mergeCell ref="AN41:AO41"/>
    <mergeCell ref="AL41:AM41"/>
    <mergeCell ref="AD49:AF49"/>
    <mergeCell ref="D10:H10"/>
    <mergeCell ref="C38:E38"/>
    <mergeCell ref="D23:E24"/>
    <mergeCell ref="D28:E28"/>
    <mergeCell ref="F16:G16"/>
    <mergeCell ref="F39:G39"/>
    <mergeCell ref="B10:C10"/>
    <mergeCell ref="A38:B38"/>
    <mergeCell ref="B37:J37"/>
    <mergeCell ref="R14:S14"/>
    <mergeCell ref="Y7:Z7"/>
    <mergeCell ref="AD29:AS30"/>
    <mergeCell ref="M18:N18"/>
    <mergeCell ref="L43:N43"/>
    <mergeCell ref="T15:U15"/>
    <mergeCell ref="K17:L17"/>
    <mergeCell ref="O13:P13"/>
    <mergeCell ref="O26:P27"/>
    <mergeCell ref="AO48:AP48"/>
    <mergeCell ref="L37:R37"/>
    <mergeCell ref="L7:N7"/>
    <mergeCell ref="AR45:AS45"/>
    <mergeCell ref="L39:N39"/>
    <mergeCell ref="P32:Q32"/>
    <mergeCell ref="W17:X17"/>
    <mergeCell ref="AB32:AC33"/>
    <mergeCell ref="Y15:Z15"/>
    <mergeCell ref="J32:K32"/>
    <mergeCell ref="V23:W24"/>
    <mergeCell ref="L40:M40"/>
    <mergeCell ref="BE72:BF72"/>
    <mergeCell ref="BE70:BF70"/>
    <mergeCell ref="Y19:Z19"/>
    <mergeCell ref="P23:P24"/>
    <mergeCell ref="L38:M38"/>
    <mergeCell ref="AV30:BQ30"/>
    <mergeCell ref="AG60:AK60"/>
    <mergeCell ref="U12:Y12"/>
    <mergeCell ref="V58:Y58"/>
    <mergeCell ref="Q46:R46"/>
    <mergeCell ref="S41:X41"/>
    <mergeCell ref="AR55:AS55"/>
    <mergeCell ref="AH41:AJ41"/>
    <mergeCell ref="AW47:BP47"/>
    <mergeCell ref="S44:X44"/>
    <mergeCell ref="BG67:BH67"/>
    <mergeCell ref="AK65:AS65"/>
    <mergeCell ref="AO53:AP53"/>
    <mergeCell ref="BJ50:BK50"/>
    <mergeCell ref="AG56:AK56"/>
    <mergeCell ref="BI67:BJ67"/>
    <mergeCell ref="AG57:AK57"/>
    <mergeCell ref="BB56:BC56"/>
    <mergeCell ref="AW51:AX51"/>
    <mergeCell ref="BK7:BL7"/>
    <mergeCell ref="BC7:BD7"/>
    <mergeCell ref="AH49:AJ49"/>
    <mergeCell ref="AW62:AX62"/>
    <mergeCell ref="AO62:AT62"/>
    <mergeCell ref="AL44:AM44"/>
    <mergeCell ref="O19:P19"/>
    <mergeCell ref="AR53:AS53"/>
    <mergeCell ref="AY6:AZ6"/>
    <mergeCell ref="AJ39:AK39"/>
    <mergeCell ref="Q26:R27"/>
    <mergeCell ref="BI7:BJ7"/>
    <mergeCell ref="BG6:BH6"/>
    <mergeCell ref="AO57:AP57"/>
    <mergeCell ref="AM54:AN54"/>
    <mergeCell ref="M23:O24"/>
    <mergeCell ref="AN44:AO44"/>
    <mergeCell ref="BH9:BP10"/>
    <mergeCell ref="BL52:BM52"/>
    <mergeCell ref="AY56:AZ56"/>
    <mergeCell ref="O56:P56"/>
    <mergeCell ref="AE54:AG54"/>
    <mergeCell ref="AR58:AS58"/>
    <mergeCell ref="AR54:AS54"/>
    <mergeCell ref="C77:G77"/>
    <mergeCell ref="AO82:AS82"/>
    <mergeCell ref="Z88:AD88"/>
    <mergeCell ref="W67:AS67"/>
    <mergeCell ref="BC71:BD71"/>
    <mergeCell ref="AK66:AS66"/>
    <mergeCell ref="Q68:U68"/>
    <mergeCell ref="B61:L61"/>
    <mergeCell ref="C84:G84"/>
    <mergeCell ref="Z85:AD85"/>
    <mergeCell ref="AZ74:BA74"/>
    <mergeCell ref="BC68:BD68"/>
    <mergeCell ref="AW67:AX67"/>
    <mergeCell ref="AY67:BA67"/>
    <mergeCell ref="AD70:AS70"/>
    <mergeCell ref="AI62:AN62"/>
    <mergeCell ref="AY65:AZ65"/>
    <mergeCell ref="BC74:BD74"/>
    <mergeCell ref="Q66:U66"/>
    <mergeCell ref="I64:N64"/>
    <mergeCell ref="X64:Y64"/>
    <mergeCell ref="C70:G70"/>
    <mergeCell ref="C69:G69"/>
    <mergeCell ref="J66:N66"/>
    <mergeCell ref="AY62:BF62"/>
    <mergeCell ref="H62:L62"/>
    <mergeCell ref="BJ63:BK63"/>
    <mergeCell ref="Y40:Z40"/>
    <mergeCell ref="BC3:BD3"/>
    <mergeCell ref="F17:G17"/>
    <mergeCell ref="R3:X3"/>
    <mergeCell ref="I55:J55"/>
    <mergeCell ref="BA4:BB4"/>
    <mergeCell ref="BG4:BH4"/>
    <mergeCell ref="BK6:BL6"/>
    <mergeCell ref="BE4:BF4"/>
    <mergeCell ref="BE7:BF7"/>
    <mergeCell ref="O14:P14"/>
    <mergeCell ref="V6:X6"/>
    <mergeCell ref="Y6:Z6"/>
    <mergeCell ref="AW6:AX6"/>
    <mergeCell ref="L10:Q10"/>
    <mergeCell ref="AW10:AY10"/>
    <mergeCell ref="K18:L18"/>
    <mergeCell ref="W18:X18"/>
    <mergeCell ref="J10:K10"/>
    <mergeCell ref="F51:G51"/>
    <mergeCell ref="I46:J46"/>
    <mergeCell ref="BC73:BD73"/>
    <mergeCell ref="AO50:AP50"/>
    <mergeCell ref="Q78:U78"/>
    <mergeCell ref="AW54:AX54"/>
    <mergeCell ref="AM55:AN55"/>
    <mergeCell ref="B23:C24"/>
    <mergeCell ref="AR42:AS42"/>
    <mergeCell ref="I60:J60"/>
    <mergeCell ref="Y3:Z3"/>
    <mergeCell ref="C18:E18"/>
    <mergeCell ref="F19:G19"/>
    <mergeCell ref="J7:K7"/>
    <mergeCell ref="W13:X13"/>
    <mergeCell ref="AX74:AY74"/>
    <mergeCell ref="P64:U64"/>
    <mergeCell ref="BB65:BC65"/>
    <mergeCell ref="Z57:Z58"/>
    <mergeCell ref="AL43:AM43"/>
    <mergeCell ref="BA7:BB7"/>
    <mergeCell ref="P42:R42"/>
    <mergeCell ref="BA6:BB6"/>
    <mergeCell ref="P3:Q3"/>
    <mergeCell ref="D3:N3"/>
    <mergeCell ref="AW7:AX7"/>
    <mergeCell ref="AZ123:BQ123"/>
    <mergeCell ref="Z125:AD125"/>
    <mergeCell ref="B134:W134"/>
    <mergeCell ref="B135:W135"/>
    <mergeCell ref="BE10:BG10"/>
    <mergeCell ref="Y18:Z18"/>
    <mergeCell ref="AV125:AY125"/>
    <mergeCell ref="H125:W125"/>
    <mergeCell ref="C101:G101"/>
    <mergeCell ref="W65:AC65"/>
    <mergeCell ref="C114:G114"/>
    <mergeCell ref="Z117:AD117"/>
    <mergeCell ref="Q79:U79"/>
    <mergeCell ref="K82:O82"/>
    <mergeCell ref="C124:G124"/>
    <mergeCell ref="AE104:AS104"/>
    <mergeCell ref="Z101:AD101"/>
    <mergeCell ref="AV124:AY124"/>
    <mergeCell ref="Z122:AD122"/>
    <mergeCell ref="H105:W105"/>
    <mergeCell ref="C67:G67"/>
    <mergeCell ref="S39:X39"/>
    <mergeCell ref="Q62:V62"/>
    <mergeCell ref="R58:T58"/>
    <mergeCell ref="AG99:AK99"/>
    <mergeCell ref="C88:G88"/>
    <mergeCell ref="G22:H22"/>
    <mergeCell ref="Y9:Z9"/>
    <mergeCell ref="R4:U4"/>
    <mergeCell ref="I15:J15"/>
    <mergeCell ref="X23:Y24"/>
    <mergeCell ref="Y14:Z14"/>
    <mergeCell ref="M13:N13"/>
    <mergeCell ref="O15:P15"/>
    <mergeCell ref="G26:H27"/>
    <mergeCell ref="T26:U27"/>
    <mergeCell ref="W71:AS71"/>
    <mergeCell ref="AM60:AN60"/>
    <mergeCell ref="F60:G60"/>
    <mergeCell ref="I43:J43"/>
    <mergeCell ref="F52:G52"/>
    <mergeCell ref="U9:W10"/>
    <mergeCell ref="F15:G15"/>
    <mergeCell ref="Q22:R22"/>
    <mergeCell ref="I16:J16"/>
    <mergeCell ref="J25:T25"/>
    <mergeCell ref="T16:U16"/>
    <mergeCell ref="I17:J17"/>
    <mergeCell ref="AV2:BQ2"/>
    <mergeCell ref="AR59:AS59"/>
    <mergeCell ref="U47:Z47"/>
    <mergeCell ref="Y44:Z44"/>
    <mergeCell ref="L60:O60"/>
    <mergeCell ref="P39:R39"/>
    <mergeCell ref="C46:E46"/>
    <mergeCell ref="AD57:AD58"/>
    <mergeCell ref="AM51:AT51"/>
    <mergeCell ref="AH40:AJ40"/>
    <mergeCell ref="BM3:BN3"/>
    <mergeCell ref="V60:Y60"/>
    <mergeCell ref="P48:T48"/>
    <mergeCell ref="AR50:AS50"/>
    <mergeCell ref="AK48:AM48"/>
    <mergeCell ref="AN42:AO42"/>
    <mergeCell ref="BA3:BB3"/>
    <mergeCell ref="AM47:AR47"/>
    <mergeCell ref="P45:R45"/>
    <mergeCell ref="AB3:AS27"/>
    <mergeCell ref="B3:C3"/>
    <mergeCell ref="BN48:BO48"/>
    <mergeCell ref="P49:T49"/>
    <mergeCell ref="AK47:AL47"/>
    <mergeCell ref="AY3:AZ3"/>
    <mergeCell ref="B4:C4"/>
    <mergeCell ref="F14:G14"/>
    <mergeCell ref="O18:P18"/>
    <mergeCell ref="AV123:AY123"/>
    <mergeCell ref="BC70:BD70"/>
    <mergeCell ref="J72:N72"/>
    <mergeCell ref="AZ125:BQ125"/>
    <mergeCell ref="AE105:AS105"/>
    <mergeCell ref="C122:G122"/>
    <mergeCell ref="AA55:AB55"/>
    <mergeCell ref="AW55:AX55"/>
    <mergeCell ref="AH66:AI66"/>
    <mergeCell ref="N61:P61"/>
    <mergeCell ref="AM58:AN58"/>
    <mergeCell ref="AO60:AP60"/>
    <mergeCell ref="C56:E56"/>
    <mergeCell ref="J65:N65"/>
    <mergeCell ref="AE63:AK63"/>
    <mergeCell ref="BN67:BP67"/>
    <mergeCell ref="BE69:BF69"/>
    <mergeCell ref="Q69:U69"/>
    <mergeCell ref="Q76:U76"/>
    <mergeCell ref="F59:G59"/>
    <mergeCell ref="Z127:AD127"/>
    <mergeCell ref="Z128:AD128"/>
    <mergeCell ref="AE125:AS125"/>
    <mergeCell ref="BI115:BJ115"/>
    <mergeCell ref="BI114:BJ114"/>
    <mergeCell ref="AZ121:BQ121"/>
    <mergeCell ref="AZ70:BA70"/>
    <mergeCell ref="AE109:AS109"/>
    <mergeCell ref="D83:F83"/>
    <mergeCell ref="Q72:U72"/>
    <mergeCell ref="AZ71:BA71"/>
    <mergeCell ref="C71:G71"/>
    <mergeCell ref="J78:N78"/>
    <mergeCell ref="AE126:AS126"/>
    <mergeCell ref="C106:G106"/>
    <mergeCell ref="Z93:AD93"/>
    <mergeCell ref="C128:G128"/>
    <mergeCell ref="Z126:AD126"/>
    <mergeCell ref="AZ120:BQ120"/>
    <mergeCell ref="H106:W106"/>
    <mergeCell ref="C111:G111"/>
    <mergeCell ref="Q70:U70"/>
    <mergeCell ref="C78:G78"/>
    <mergeCell ref="W70:AB70"/>
    <mergeCell ref="BI4:BJ4"/>
    <mergeCell ref="R57:T57"/>
    <mergeCell ref="Q74:U74"/>
    <mergeCell ref="N62:P62"/>
    <mergeCell ref="C57:E57"/>
    <mergeCell ref="AG1:AT1"/>
    <mergeCell ref="O1:AF1"/>
    <mergeCell ref="L32:N32"/>
    <mergeCell ref="AW76:AX76"/>
    <mergeCell ref="BG56:BH56"/>
    <mergeCell ref="AX50:AY50"/>
    <mergeCell ref="R17:S17"/>
    <mergeCell ref="G28:H28"/>
    <mergeCell ref="V57:Y57"/>
    <mergeCell ref="AW4:AX4"/>
    <mergeCell ref="AW53:AX53"/>
    <mergeCell ref="Q23:S24"/>
    <mergeCell ref="Y2:Z2"/>
    <mergeCell ref="AR39:AS39"/>
    <mergeCell ref="R32:Z32"/>
    <mergeCell ref="S9:T10"/>
    <mergeCell ref="Y4:Z4"/>
    <mergeCell ref="AD50:AF50"/>
    <mergeCell ref="AE51:AG51"/>
    <mergeCell ref="BM6:BN6"/>
    <mergeCell ref="M17:N17"/>
    <mergeCell ref="AD48:AG48"/>
    <mergeCell ref="I52:J52"/>
    <mergeCell ref="L54:M54"/>
    <mergeCell ref="W19:X19"/>
    <mergeCell ref="C54:E54"/>
    <mergeCell ref="F53:G53"/>
    <mergeCell ref="AA54:AB54"/>
    <mergeCell ref="U53:Z53"/>
    <mergeCell ref="AM53:AN53"/>
    <mergeCell ref="AE53:AG53"/>
    <mergeCell ref="P54:T54"/>
    <mergeCell ref="AY51:BP51"/>
    <mergeCell ref="AV46:BQ46"/>
    <mergeCell ref="AH50:AJ50"/>
    <mergeCell ref="P52:T52"/>
    <mergeCell ref="AF40:AG40"/>
    <mergeCell ref="W37:AB37"/>
    <mergeCell ref="AD37:AS37"/>
    <mergeCell ref="AI54:AK54"/>
    <mergeCell ref="AO49:AP49"/>
    <mergeCell ref="AY53:BP53"/>
    <mergeCell ref="C14:E14"/>
    <mergeCell ref="BE6:BF6"/>
    <mergeCell ref="BD12:BI12"/>
    <mergeCell ref="BI3:BJ3"/>
    <mergeCell ref="C43:E43"/>
    <mergeCell ref="AP38:AQ38"/>
    <mergeCell ref="AA52:AB52"/>
    <mergeCell ref="AD34:AS35"/>
    <mergeCell ref="P4:Q4"/>
    <mergeCell ref="G29:H30"/>
    <mergeCell ref="P6:Q7"/>
    <mergeCell ref="I41:J41"/>
    <mergeCell ref="F46:G46"/>
    <mergeCell ref="BI6:BJ6"/>
    <mergeCell ref="B34:E35"/>
    <mergeCell ref="BA10:BC10"/>
    <mergeCell ref="I18:J18"/>
    <mergeCell ref="P5:Z5"/>
    <mergeCell ref="F31:H32"/>
    <mergeCell ref="M14:N14"/>
    <mergeCell ref="O17:P17"/>
    <mergeCell ref="K16:L16"/>
    <mergeCell ref="J6:K6"/>
    <mergeCell ref="BE9:BG9"/>
    <mergeCell ref="D4:N4"/>
    <mergeCell ref="R82:V82"/>
    <mergeCell ref="BE73:BF73"/>
    <mergeCell ref="W34:Y35"/>
    <mergeCell ref="U38:V38"/>
    <mergeCell ref="BC69:BD69"/>
    <mergeCell ref="AA48:AB48"/>
    <mergeCell ref="V59:Y59"/>
    <mergeCell ref="AV60:BQ60"/>
    <mergeCell ref="BC52:BD52"/>
    <mergeCell ref="T40:W40"/>
    <mergeCell ref="BO52:BP52"/>
    <mergeCell ref="AR44:AS44"/>
    <mergeCell ref="AA47:AB47"/>
    <mergeCell ref="BK58:BL58"/>
    <mergeCell ref="AX48:AY48"/>
    <mergeCell ref="AX49:AY49"/>
    <mergeCell ref="AL49:AM49"/>
    <mergeCell ref="AR49:AS49"/>
    <mergeCell ref="AK40:AM40"/>
    <mergeCell ref="BB57:BC57"/>
    <mergeCell ref="BD56:BE56"/>
    <mergeCell ref="BG57:BH57"/>
    <mergeCell ref="BG58:BH58"/>
    <mergeCell ref="BJ49:BK49"/>
    <mergeCell ref="BO3:BP3"/>
    <mergeCell ref="AE108:AS108"/>
    <mergeCell ref="AW114:AX114"/>
    <mergeCell ref="C74:G74"/>
    <mergeCell ref="W15:X15"/>
    <mergeCell ref="C41:E41"/>
    <mergeCell ref="L48:M48"/>
    <mergeCell ref="L49:M49"/>
    <mergeCell ref="D26:E27"/>
    <mergeCell ref="C75:G75"/>
    <mergeCell ref="B82:G82"/>
    <mergeCell ref="C47:E47"/>
    <mergeCell ref="BJ56:BP56"/>
    <mergeCell ref="Q65:U65"/>
    <mergeCell ref="W72:AS80"/>
    <mergeCell ref="I51:J51"/>
    <mergeCell ref="AD39:AE39"/>
    <mergeCell ref="AI51:AK51"/>
    <mergeCell ref="AA51:AB51"/>
    <mergeCell ref="L56:N56"/>
    <mergeCell ref="Q77:U77"/>
    <mergeCell ref="H89:W89"/>
    <mergeCell ref="AW3:AX3"/>
    <mergeCell ref="T18:U18"/>
    <mergeCell ref="H127:W127"/>
    <mergeCell ref="C125:G125"/>
    <mergeCell ref="C126:G126"/>
    <mergeCell ref="C123:G123"/>
    <mergeCell ref="AO119:AS119"/>
    <mergeCell ref="Z96:AD96"/>
    <mergeCell ref="C121:G121"/>
    <mergeCell ref="AE127:AS127"/>
    <mergeCell ref="H98:W98"/>
    <mergeCell ref="C108:G108"/>
    <mergeCell ref="AE120:AS120"/>
    <mergeCell ref="Z103:AD103"/>
    <mergeCell ref="Z97:AD97"/>
    <mergeCell ref="C110:G110"/>
    <mergeCell ref="C98:G98"/>
    <mergeCell ref="AE124:AS124"/>
    <mergeCell ref="C113:G113"/>
    <mergeCell ref="H115:W115"/>
    <mergeCell ref="Z123:AD123"/>
    <mergeCell ref="AA120:AC120"/>
    <mergeCell ref="Z119:AD119"/>
    <mergeCell ref="C120:G120"/>
    <mergeCell ref="AE122:AS122"/>
    <mergeCell ref="C127:G127"/>
    <mergeCell ref="AZ124:BQ124"/>
    <mergeCell ref="BC116:BD116"/>
    <mergeCell ref="Y43:Z43"/>
    <mergeCell ref="C87:G87"/>
    <mergeCell ref="C44:E44"/>
    <mergeCell ref="AW79:AX79"/>
    <mergeCell ref="H100:W100"/>
    <mergeCell ref="H99:W99"/>
    <mergeCell ref="Z91:AD91"/>
    <mergeCell ref="AE64:AK64"/>
    <mergeCell ref="AW116:AX116"/>
    <mergeCell ref="AW115:AX115"/>
    <mergeCell ref="AA59:AC59"/>
    <mergeCell ref="AW81:BP95"/>
    <mergeCell ref="J74:N74"/>
    <mergeCell ref="BO64:BP64"/>
    <mergeCell ref="BL67:BM67"/>
    <mergeCell ref="AE83:AS83"/>
    <mergeCell ref="AM52:AN52"/>
    <mergeCell ref="AA46:AB46"/>
    <mergeCell ref="J73:N73"/>
    <mergeCell ref="L45:N45"/>
    <mergeCell ref="P55:T55"/>
    <mergeCell ref="AW65:AX65"/>
    <mergeCell ref="AY55:BP55"/>
    <mergeCell ref="AM59:AN59"/>
    <mergeCell ref="AY63:BB63"/>
    <mergeCell ref="J23:L24"/>
    <mergeCell ref="BD57:BE57"/>
    <mergeCell ref="AO55:AP55"/>
    <mergeCell ref="AN43:AO43"/>
    <mergeCell ref="F45:G45"/>
    <mergeCell ref="F43:G43"/>
    <mergeCell ref="Y42:Z42"/>
    <mergeCell ref="AQ48:AS48"/>
    <mergeCell ref="AW52:AX52"/>
    <mergeCell ref="U51:Z51"/>
    <mergeCell ref="AZ52:BA52"/>
    <mergeCell ref="AP39:AQ39"/>
    <mergeCell ref="Y41:Z41"/>
    <mergeCell ref="BB58:BC58"/>
    <mergeCell ref="AH42:AJ42"/>
    <mergeCell ref="AC42:AE42"/>
    <mergeCell ref="AC44:AE44"/>
    <mergeCell ref="AL42:AM42"/>
    <mergeCell ref="G23:H24"/>
    <mergeCell ref="AR56:AS56"/>
    <mergeCell ref="AE56:AF56"/>
    <mergeCell ref="C107:G107"/>
    <mergeCell ref="H97:W97"/>
    <mergeCell ref="C90:G90"/>
    <mergeCell ref="H84:W84"/>
    <mergeCell ref="H87:W87"/>
    <mergeCell ref="U54:Z54"/>
    <mergeCell ref="C52:E52"/>
    <mergeCell ref="AE57:AF57"/>
    <mergeCell ref="H86:W86"/>
    <mergeCell ref="C65:G65"/>
    <mergeCell ref="C73:G73"/>
    <mergeCell ref="C99:G99"/>
    <mergeCell ref="H96:W96"/>
    <mergeCell ref="H88:W88"/>
    <mergeCell ref="C103:G103"/>
    <mergeCell ref="C104:G104"/>
    <mergeCell ref="AE103:AS103"/>
    <mergeCell ref="C97:G97"/>
    <mergeCell ref="AA100:AC100"/>
    <mergeCell ref="AE94:AS94"/>
    <mergeCell ref="Z90:AD90"/>
    <mergeCell ref="C89:G89"/>
    <mergeCell ref="Z94:AD94"/>
    <mergeCell ref="Z105:AD105"/>
    <mergeCell ref="BO7:BP7"/>
    <mergeCell ref="B21:Z21"/>
    <mergeCell ref="BF48:BG48"/>
    <mergeCell ref="K15:L15"/>
    <mergeCell ref="N26:N27"/>
    <mergeCell ref="W26:X27"/>
    <mergeCell ref="F48:G48"/>
    <mergeCell ref="L6:N6"/>
    <mergeCell ref="O16:P16"/>
    <mergeCell ref="L9:Q9"/>
    <mergeCell ref="R16:S16"/>
    <mergeCell ref="P40:R40"/>
    <mergeCell ref="F18:G18"/>
    <mergeCell ref="S43:X43"/>
    <mergeCell ref="J29:K30"/>
    <mergeCell ref="BA9:BC9"/>
    <mergeCell ref="Y17:Z17"/>
    <mergeCell ref="B12:J12"/>
    <mergeCell ref="C39:E39"/>
    <mergeCell ref="B31:E32"/>
    <mergeCell ref="I38:J38"/>
    <mergeCell ref="B26:C27"/>
    <mergeCell ref="B29:C30"/>
    <mergeCell ref="D29:E30"/>
    <mergeCell ref="AE95:AS95"/>
    <mergeCell ref="BK57:BL57"/>
    <mergeCell ref="C80:G80"/>
    <mergeCell ref="AJ38:AK38"/>
    <mergeCell ref="AE123:AS123"/>
    <mergeCell ref="BH69:BP74"/>
    <mergeCell ref="Z84:AD84"/>
    <mergeCell ref="BC67:BE67"/>
    <mergeCell ref="AV122:AY122"/>
    <mergeCell ref="BN49:BO49"/>
    <mergeCell ref="BD58:BE58"/>
    <mergeCell ref="BB50:BC50"/>
    <mergeCell ref="Z113:AD113"/>
    <mergeCell ref="AE102:AS102"/>
    <mergeCell ref="AE97:AS97"/>
    <mergeCell ref="AE100:AS100"/>
    <mergeCell ref="AE101:AS101"/>
    <mergeCell ref="BI62:BP62"/>
    <mergeCell ref="AE110:AS110"/>
    <mergeCell ref="Z99:AD99"/>
    <mergeCell ref="C109:G109"/>
    <mergeCell ref="C91:G91"/>
    <mergeCell ref="C42:E42"/>
    <mergeCell ref="BO57:BP57"/>
    <mergeCell ref="C95:G95"/>
    <mergeCell ref="C115:G115"/>
    <mergeCell ref="AZ116:BA116"/>
    <mergeCell ref="AC41:AE41"/>
    <mergeCell ref="C92:G92"/>
    <mergeCell ref="AY58:AZ58"/>
    <mergeCell ref="C58:E58"/>
    <mergeCell ref="AE87:AS87"/>
    <mergeCell ref="Q71:U71"/>
    <mergeCell ref="C100:G100"/>
    <mergeCell ref="C94:G94"/>
    <mergeCell ref="C112:G112"/>
    <mergeCell ref="R56:W56"/>
    <mergeCell ref="U57:U58"/>
    <mergeCell ref="C79:G79"/>
    <mergeCell ref="H110:W110"/>
    <mergeCell ref="C53:E53"/>
    <mergeCell ref="B83:C83"/>
    <mergeCell ref="Z89:AD89"/>
    <mergeCell ref="C105:G105"/>
    <mergeCell ref="L42:N42"/>
    <mergeCell ref="L55:M55"/>
    <mergeCell ref="F57:G57"/>
    <mergeCell ref="AO61:AT61"/>
    <mergeCell ref="B136:W136"/>
    <mergeCell ref="Z114:AD114"/>
    <mergeCell ref="B138:W138"/>
    <mergeCell ref="B142:W142"/>
    <mergeCell ref="B140:W140"/>
    <mergeCell ref="B139:W139"/>
    <mergeCell ref="H118:W118"/>
    <mergeCell ref="H116:W116"/>
    <mergeCell ref="C117:G117"/>
    <mergeCell ref="Z121:AD121"/>
    <mergeCell ref="H128:W128"/>
    <mergeCell ref="B131:W131"/>
    <mergeCell ref="B130:W130"/>
    <mergeCell ref="B141:W141"/>
    <mergeCell ref="B137:W137"/>
    <mergeCell ref="Y131:AS142"/>
    <mergeCell ref="Z124:AD124"/>
    <mergeCell ref="H124:W124"/>
    <mergeCell ref="Y130:AS130"/>
    <mergeCell ref="B133:W133"/>
    <mergeCell ref="H119:W119"/>
    <mergeCell ref="H126:W126"/>
    <mergeCell ref="H117:W117"/>
    <mergeCell ref="H120:W120"/>
    <mergeCell ref="AG119:AK119"/>
    <mergeCell ref="H121:W121"/>
    <mergeCell ref="H122:W122"/>
    <mergeCell ref="AE121:AS121"/>
    <mergeCell ref="C119:G119"/>
    <mergeCell ref="Z116:AD116"/>
    <mergeCell ref="C45:E45"/>
    <mergeCell ref="C85:G85"/>
    <mergeCell ref="AH43:AJ43"/>
    <mergeCell ref="Z82:AD82"/>
    <mergeCell ref="AE116:AS116"/>
    <mergeCell ref="AE117:AS117"/>
    <mergeCell ref="AE114:AS114"/>
    <mergeCell ref="AE115:AS115"/>
    <mergeCell ref="Z102:AD102"/>
    <mergeCell ref="AR57:AS57"/>
    <mergeCell ref="U52:Z52"/>
    <mergeCell ref="F47:G47"/>
    <mergeCell ref="AM56:AN56"/>
    <mergeCell ref="H85:W85"/>
    <mergeCell ref="P44:R44"/>
    <mergeCell ref="P43:R43"/>
    <mergeCell ref="P51:T51"/>
    <mergeCell ref="I49:J49"/>
    <mergeCell ref="AG59:AK59"/>
    <mergeCell ref="AD69:AJ69"/>
    <mergeCell ref="K19:L19"/>
    <mergeCell ref="P50:T50"/>
    <mergeCell ref="L52:M52"/>
    <mergeCell ref="I54:J54"/>
    <mergeCell ref="L41:N41"/>
    <mergeCell ref="F54:G54"/>
    <mergeCell ref="AD32:AS33"/>
    <mergeCell ref="L57:N57"/>
    <mergeCell ref="L58:N58"/>
    <mergeCell ref="AM57:AN57"/>
    <mergeCell ref="U48:Z48"/>
    <mergeCell ref="I57:J57"/>
    <mergeCell ref="F23:F24"/>
    <mergeCell ref="L53:M53"/>
    <mergeCell ref="AE60:AF60"/>
    <mergeCell ref="AO59:AP59"/>
    <mergeCell ref="AE65:AF65"/>
    <mergeCell ref="I45:J45"/>
    <mergeCell ref="F49:G49"/>
    <mergeCell ref="W68:AS68"/>
    <mergeCell ref="BO115:BP115"/>
    <mergeCell ref="J79:N79"/>
    <mergeCell ref="AX71:AY71"/>
    <mergeCell ref="AZ73:BA73"/>
    <mergeCell ref="AY78:BP78"/>
    <mergeCell ref="H102:W102"/>
    <mergeCell ref="AW77:AX77"/>
    <mergeCell ref="BF115:BG115"/>
    <mergeCell ref="BL114:BM114"/>
    <mergeCell ref="AE89:AS89"/>
    <mergeCell ref="AE93:AS93"/>
    <mergeCell ref="AE86:AS86"/>
    <mergeCell ref="AE84:AS84"/>
    <mergeCell ref="Y100:Z100"/>
    <mergeCell ref="AG82:AK82"/>
    <mergeCell ref="H92:W92"/>
    <mergeCell ref="AG107:AK107"/>
    <mergeCell ref="AE96:AS96"/>
    <mergeCell ref="AE91:AS91"/>
    <mergeCell ref="H95:W95"/>
    <mergeCell ref="H109:W109"/>
    <mergeCell ref="AE112:AS112"/>
    <mergeCell ref="Z111:AD111"/>
    <mergeCell ref="BG79:BH79"/>
    <mergeCell ref="AW78:AX78"/>
    <mergeCell ref="N22:O22"/>
    <mergeCell ref="R19:S19"/>
    <mergeCell ref="BF114:BG114"/>
    <mergeCell ref="AO56:AP56"/>
    <mergeCell ref="I39:J39"/>
    <mergeCell ref="AO58:AP58"/>
    <mergeCell ref="L26:M27"/>
    <mergeCell ref="BE74:BF74"/>
    <mergeCell ref="AN40:AO40"/>
    <mergeCell ref="BF50:BG50"/>
    <mergeCell ref="AD51:AD54"/>
    <mergeCell ref="BE63:BI63"/>
    <mergeCell ref="AW57:AX57"/>
    <mergeCell ref="AI53:AK53"/>
    <mergeCell ref="O58:Q58"/>
    <mergeCell ref="AN45:AO45"/>
    <mergeCell ref="L51:M51"/>
    <mergeCell ref="AC40:AE40"/>
    <mergeCell ref="I42:J42"/>
    <mergeCell ref="L50:M50"/>
    <mergeCell ref="I58:J58"/>
    <mergeCell ref="Q75:U75"/>
    <mergeCell ref="AL50:AM50"/>
  </mergeCells>
  <phoneticPr fontId="83" type="noConversion"/>
  <conditionalFormatting sqref="C66:G80 J66:N80 Q66:U80">
    <cfRule type="duplicateValues" dxfId="49" priority="157"/>
  </conditionalFormatting>
  <conditionalFormatting sqref="J25">
    <cfRule type="dataBar" priority="32768">
      <dataBar>
        <cfvo type="num" val="0"/>
        <cfvo type="num" val="$Q$23"/>
        <color rgb="FF000000"/>
      </dataBar>
      <extLst>
        <ext xmlns:x14="http://schemas.microsoft.com/office/spreadsheetml/2009/9/main" uri="{B025F937-C7B1-47D3-B67F-A62EFF666E3E}">
          <x14:id>{00000000-000E-0000-0100-000000800000}</x14:id>
        </ext>
      </extLst>
    </cfRule>
    <cfRule type="dataBar" priority="174">
      <dataBar showValue="0">
        <cfvo type="num" val="0"/>
        <cfvo type="num" val="$Q$23"/>
        <color rgb="FF00E900"/>
      </dataBar>
    </cfRule>
  </conditionalFormatting>
  <conditionalFormatting sqref="N62:AT62">
    <cfRule type="expression" dxfId="44" priority="1">
      <formula>N$62=0</formula>
    </cfRule>
  </conditionalFormatting>
  <conditionalFormatting sqref="P5">
    <cfRule type="dataBar" priority="172">
      <dataBar showValue="0">
        <cfvo type="num" val="0"/>
        <cfvo type="num" val="1"/>
        <color rgb="FF00D800"/>
      </dataBar>
    </cfRule>
    <cfRule type="dataBar" priority="32767">
      <dataBar>
        <cfvo type="num" val="0"/>
        <cfvo type="num" val="1"/>
        <color rgb="FF000000"/>
      </dataBar>
      <extLst>
        <ext xmlns:x14="http://schemas.microsoft.com/office/spreadsheetml/2009/9/main" uri="{B025F937-C7B1-47D3-B67F-A62EFF666E3E}">
          <x14:id>{00000000-000E-0000-0100-0000FF7F0000}</x14:id>
        </ext>
      </extLst>
    </cfRule>
  </conditionalFormatting>
  <conditionalFormatting sqref="R32">
    <cfRule type="expression" dxfId="40" priority="383">
      <formula>AND($O$56=5,$V$58&gt;$Q$60)</formula>
    </cfRule>
    <cfRule type="expression" dxfId="39" priority="384">
      <formula>AND($O$56=5,$V$58&gt;$L$60)</formula>
    </cfRule>
  </conditionalFormatting>
  <conditionalFormatting sqref="R14:U16">
    <cfRule type="expression" dxfId="37" priority="390">
      <formula>AND($O$56=5,$V$58&gt;$Q$60)</formula>
    </cfRule>
  </conditionalFormatting>
  <conditionalFormatting sqref="V60">
    <cfRule type="expression" dxfId="36" priority="386">
      <formula>$V$58&lt;=$L$60</formula>
    </cfRule>
    <cfRule type="expression" dxfId="35" priority="387">
      <formula>$V$58&lt;=$Q$60</formula>
    </cfRule>
    <cfRule type="expression" dxfId="34" priority="388">
      <formula>$V$58&gt;$Q$60</formula>
    </cfRule>
  </conditionalFormatting>
  <conditionalFormatting sqref="W70:AB70">
    <cfRule type="expression" dxfId="33" priority="10">
      <formula>COUNTIF($W$70,"专注，*")</formula>
    </cfRule>
  </conditionalFormatting>
  <conditionalFormatting sqref="W68:AS68">
    <cfRule type="expression" dxfId="32" priority="11">
      <formula>COUNTIF($W$68,"*仪式）")</formula>
    </cfRule>
  </conditionalFormatting>
  <conditionalFormatting sqref="Y4 Y6:Z7">
    <cfRule type="expression" dxfId="31" priority="5">
      <formula>AND($R4&lt;&gt;"",$Y$3-$Y$4-$Y$6-$Y$7&gt;=1)</formula>
    </cfRule>
  </conditionalFormatting>
  <conditionalFormatting sqref="AO52:AP60 AR52:AS60">
    <cfRule type="expression" dxfId="30" priority="3">
      <formula>$AR52=0</formula>
    </cfRule>
  </conditionalFormatting>
  <conditionalFormatting sqref="AO52:AP60">
    <cfRule type="expression" dxfId="29" priority="2">
      <formula>$AO52&gt;$AR52</formula>
    </cfRule>
  </conditionalFormatting>
  <conditionalFormatting sqref="AV118:BQ125">
    <cfRule type="expression" dxfId="28" priority="4">
      <formula>$BP$118="隐藏"</formula>
    </cfRule>
  </conditionalFormatting>
  <printOptions horizontalCentered="1"/>
  <pageMargins left="0" right="0" top="0" bottom="0" header="0" footer="0"/>
  <pageSetup paperSize="9" scale="65"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9" id="{00000000-000E-0000-0100-000013000000}">
            <xm:f>综合数据!J1=TRUE</xm:f>
            <x14:dxf>
              <font>
                <b/>
                <color rgb="FF00B0F0"/>
              </font>
            </x14:dxf>
          </x14:cfRule>
          <xm:sqref>C14</xm:sqref>
        </x14:conditionalFormatting>
        <x14:conditionalFormatting xmlns:xm="http://schemas.microsoft.com/office/excel/2006/main">
          <x14:cfRule type="expression" priority="20" id="{00000000-000E-0000-0100-000014000000}">
            <xm:f>综合数据!K1=TRUE</xm:f>
            <x14:dxf>
              <font>
                <b/>
                <color rgb="FF00B0F0"/>
              </font>
            </x14:dxf>
          </x14:cfRule>
          <xm:sqref>C15</xm:sqref>
        </x14:conditionalFormatting>
        <x14:conditionalFormatting xmlns:xm="http://schemas.microsoft.com/office/excel/2006/main">
          <x14:cfRule type="expression" priority="21" id="{00000000-000E-0000-0100-000015000000}">
            <xm:f>综合数据!L1=TRUE</xm:f>
            <x14:dxf>
              <font>
                <b/>
                <color rgb="FF00B0F0"/>
              </font>
            </x14:dxf>
          </x14:cfRule>
          <xm:sqref>C16</xm:sqref>
        </x14:conditionalFormatting>
        <x14:conditionalFormatting xmlns:xm="http://schemas.microsoft.com/office/excel/2006/main">
          <x14:cfRule type="expression" priority="22" id="{00000000-000E-0000-0100-000016000000}">
            <xm:f>综合数据!M1=TRUE</xm:f>
            <x14:dxf>
              <font>
                <b/>
                <color rgb="FF00B0F0"/>
              </font>
            </x14:dxf>
          </x14:cfRule>
          <xm:sqref>C17</xm:sqref>
        </x14:conditionalFormatting>
        <x14:conditionalFormatting xmlns:xm="http://schemas.microsoft.com/office/excel/2006/main">
          <x14:cfRule type="expression" priority="23" id="{00000000-000E-0000-0100-000017000000}">
            <xm:f>综合数据!N1=TRUE</xm:f>
            <x14:dxf>
              <font>
                <b/>
                <color rgb="FF00B0F0"/>
              </font>
            </x14:dxf>
          </x14:cfRule>
          <xm:sqref>C18</xm:sqref>
        </x14:conditionalFormatting>
        <x14:conditionalFormatting xmlns:xm="http://schemas.microsoft.com/office/excel/2006/main">
          <x14:cfRule type="expression" priority="180" id="{00000000-000E-0000-0100-0000B4000000}">
            <xm:f>综合数据!O1=TRUE</xm:f>
            <x14:dxf>
              <font>
                <b/>
                <color rgb="FF00B0F0"/>
              </font>
            </x14:dxf>
          </x14:cfRule>
          <xm:sqref>C19</xm:sqref>
        </x14:conditionalFormatting>
        <x14:conditionalFormatting xmlns:xm="http://schemas.microsoft.com/office/excel/2006/main">
          <x14:cfRule type="expression" priority="24" id="{00000000-000E-0000-0100-000018000000}">
            <xm:f>综合数据!R2=TRUE</xm:f>
            <x14:dxf>
              <font>
                <b/>
                <color rgb="FF00B0F0"/>
              </font>
            </x14:dxf>
          </x14:cfRule>
          <xm:sqref>C39</xm:sqref>
        </x14:conditionalFormatting>
        <x14:conditionalFormatting xmlns:xm="http://schemas.microsoft.com/office/excel/2006/main">
          <x14:cfRule type="expression" priority="26" id="{00000000-000E-0000-0100-00001A000000}">
            <xm:f>综合数据!R3=TRUE</xm:f>
            <x14:dxf>
              <font>
                <b/>
                <color rgb="FF00B0F0"/>
              </font>
            </x14:dxf>
          </x14:cfRule>
          <xm:sqref>C41:C43</xm:sqref>
        </x14:conditionalFormatting>
        <x14:conditionalFormatting xmlns:xm="http://schemas.microsoft.com/office/excel/2006/main">
          <x14:cfRule type="expression" priority="32" id="{00000000-000E-0000-0100-000020000000}">
            <xm:f>综合数据!R6=TRUE</xm:f>
            <x14:dxf>
              <font>
                <b/>
                <color rgb="FF00B0F0"/>
              </font>
            </x14:dxf>
          </x14:cfRule>
          <xm:sqref>C45:C49</xm:sqref>
        </x14:conditionalFormatting>
        <x14:conditionalFormatting xmlns:xm="http://schemas.microsoft.com/office/excel/2006/main">
          <x14:cfRule type="expression" priority="37" id="{00000000-000E-0000-0100-000025000000}">
            <xm:f>综合数据!R11=TRUE</xm:f>
            <x14:dxf>
              <font>
                <b/>
                <color rgb="FF00B0F0"/>
              </font>
            </x14:dxf>
          </x14:cfRule>
          <xm:sqref>C51:C55</xm:sqref>
        </x14:conditionalFormatting>
        <x14:conditionalFormatting xmlns:xm="http://schemas.microsoft.com/office/excel/2006/main">
          <x14:cfRule type="expression" priority="191" id="{00000000-000E-0000-0100-0000BF000000}">
            <xm:f>综合数据!R16=TRUE</xm:f>
            <x14:dxf>
              <font>
                <b/>
                <color rgb="FF00B0F0"/>
              </font>
            </x14:dxf>
          </x14:cfRule>
          <xm:sqref>C57:C60</xm:sqref>
        </x14:conditionalFormatting>
        <x14:conditionalFormatting xmlns:xm="http://schemas.microsoft.com/office/excel/2006/main">
          <x14:cfRule type="expression" priority="143" id="{00000000-000E-0000-0100-00008F000000}">
            <xm:f>法术数据!AR2=1</xm:f>
            <x14:dxf>
              <fill>
                <gradientFill>
                  <stop position="0">
                    <color rgb="FFFFFFFF"/>
                  </stop>
                  <stop position="1">
                    <color rgb="FFDEEBF6"/>
                  </stop>
                </gradientFill>
              </fill>
            </x14:dxf>
          </x14:cfRule>
          <x14:cfRule type="expression" priority="136" id="{00000000-000E-0000-0100-000088000000}">
            <xm:f>法术数据!AQ2=1</xm:f>
            <x14:dxf>
              <fill>
                <gradientFill degree="180">
                  <stop position="0">
                    <color rgb="FFFFFFFF"/>
                  </stop>
                  <stop position="1">
                    <color rgb="FFFBE4D5"/>
                  </stop>
                </gradientFill>
              </fill>
            </x14:dxf>
          </x14:cfRule>
          <xm:sqref>C66:C80</xm:sqref>
        </x14:conditionalFormatting>
        <x14:conditionalFormatting xmlns:xm="http://schemas.microsoft.com/office/excel/2006/main">
          <x14:cfRule type="expression" priority="9" id="{00000000-000E-0000-0100-000009000000}">
            <xm:f>法术数据!$AQ2+法术数据!$AR2=2</xm:f>
            <x14:dxf>
              <fill>
                <gradientFill>
                  <stop position="0">
                    <color rgb="FFFBE4D5"/>
                  </stop>
                  <stop position="1">
                    <color rgb="FFDEEBF6"/>
                  </stop>
                </gradientFill>
              </fill>
            </x14:dxf>
          </x14:cfRule>
          <xm:sqref>C66:G80</xm:sqref>
        </x14:conditionalFormatting>
        <x14:conditionalFormatting xmlns:xm="http://schemas.microsoft.com/office/excel/2006/main">
          <x14:cfRule type="dataBar" id="{00000000-000E-0000-0100-000000800000}">
            <x14:dataBar minLength="0" maxLength="100" negativeBarColorSameAsPositive="1" axisPosition="none">
              <x14:cfvo type="num">
                <xm:f>0</xm:f>
              </x14:cfvo>
              <x14:cfvo type="num">
                <xm:f>$Q$23</xm:f>
              </x14:cfvo>
            </x14:dataBar>
          </x14:cfRule>
          <xm:sqref>J25</xm:sqref>
        </x14:conditionalFormatting>
        <x14:conditionalFormatting xmlns:xm="http://schemas.microsoft.com/office/excel/2006/main">
          <x14:cfRule type="expression" priority="102" id="{00000000-000E-0000-0100-000066000000}">
            <xm:f>法术数据!AR17=1</xm:f>
            <x14:dxf>
              <fill>
                <gradientFill>
                  <stop position="0">
                    <color rgb="FFFFFFFF"/>
                  </stop>
                  <stop position="1">
                    <color rgb="FFDEEBF6"/>
                  </stop>
                </gradientFill>
              </fill>
            </x14:dxf>
          </x14:cfRule>
          <x14:cfRule type="expression" priority="101" id="{00000000-000E-0000-0100-000065000000}">
            <xm:f>法术数据!AQ17=1</xm:f>
            <x14:dxf>
              <fill>
                <gradientFill degree="180">
                  <stop position="0">
                    <color rgb="FFFFFFFF"/>
                  </stop>
                  <stop position="1">
                    <color rgb="FFFBE4D5"/>
                  </stop>
                </gradientFill>
              </fill>
            </x14:dxf>
          </x14:cfRule>
          <xm:sqref>J66:J80</xm:sqref>
        </x14:conditionalFormatting>
        <x14:conditionalFormatting xmlns:xm="http://schemas.microsoft.com/office/excel/2006/main">
          <x14:cfRule type="expression" priority="8" id="{00000000-000E-0000-0100-000008000000}">
            <xm:f>法术数据!$AQ17+法术数据!$AR17=2</xm:f>
            <x14:dxf>
              <fill>
                <gradientFill degree="180">
                  <stop position="0">
                    <color rgb="FFDEEBF6"/>
                  </stop>
                  <stop position="1">
                    <color rgb="FFFBE4D5"/>
                  </stop>
                </gradientFill>
              </fill>
            </x14:dxf>
          </x14:cfRule>
          <xm:sqref>J66:N80</xm:sqref>
        </x14:conditionalFormatting>
        <x14:conditionalFormatting xmlns:xm="http://schemas.microsoft.com/office/excel/2006/main">
          <x14:cfRule type="dataBar" id="{00000000-000E-0000-0100-0000FF7F0000}">
            <x14:dataBar minLength="0" maxLength="100" negativeBarColorSameAsPositive="1" axisPosition="none">
              <x14:cfvo type="num">
                <xm:f>0</xm:f>
              </x14:cfvo>
              <x14:cfvo type="num">
                <xm:f>1</xm:f>
              </x14:cfvo>
            </x14:dataBar>
          </x14:cfRule>
          <xm:sqref>P5</xm:sqref>
        </x14:conditionalFormatting>
        <x14:conditionalFormatting xmlns:xm="http://schemas.microsoft.com/office/excel/2006/main">
          <x14:cfRule type="expression" priority="70" id="{00000000-000E-0000-0100-000046000000}">
            <xm:f>法术数据!AR32=1</xm:f>
            <x14:dxf>
              <fill>
                <gradientFill>
                  <stop position="0">
                    <color rgb="FFFFFFFF"/>
                  </stop>
                  <stop position="1">
                    <color rgb="FFDEEBF6"/>
                  </stop>
                </gradientFill>
              </fill>
            </x14:dxf>
          </x14:cfRule>
          <x14:cfRule type="expression" priority="69" id="{00000000-000E-0000-0100-000045000000}">
            <xm:f>法术数据!AQ32=1</xm:f>
            <x14:dxf>
              <fill>
                <gradientFill degree="180">
                  <stop position="0">
                    <color rgb="FFFFFFFF"/>
                  </stop>
                  <stop position="1">
                    <color rgb="FFFBE4D5"/>
                  </stop>
                </gradientFill>
              </fill>
            </x14:dxf>
          </x14:cfRule>
          <xm:sqref>Q66:Q80</xm:sqref>
        </x14:conditionalFormatting>
        <x14:conditionalFormatting xmlns:xm="http://schemas.microsoft.com/office/excel/2006/main">
          <x14:cfRule type="expression" priority="7" id="{00000000-000E-0000-0100-000007000000}">
            <xm:f>法术数据!$AQ32+法术数据!$AR32=2</xm:f>
            <x14:dxf>
              <fill>
                <gradientFill>
                  <stop position="0">
                    <color rgb="FFFBE4D5"/>
                  </stop>
                  <stop position="1">
                    <color rgb="FFDEEBF6"/>
                  </stop>
                </gradientFill>
              </fill>
            </x14:dxf>
          </x14:cfRule>
          <xm:sqref>Q66:U80</xm:sqref>
        </x14:conditionalFormatting>
        <x14:conditionalFormatting xmlns:xm="http://schemas.microsoft.com/office/excel/2006/main">
          <x14:cfRule type="expression" priority="538" id="{00000000-000E-0000-0100-00001A020000}">
            <xm:f>装备数据!$AN$2=1</xm:f>
            <x14:dxf>
              <fill>
                <patternFill patternType="solid">
                  <bgColor rgb="FFFBE4D5"/>
                </patternFill>
              </fill>
            </x14:dxf>
          </x14:cfRule>
          <xm:sqref>R32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O83"/>
  <sheetViews>
    <sheetView zoomScale="115" zoomScaleNormal="115" workbookViewId="0">
      <selection activeCell="S6" sqref="S6:T6"/>
    </sheetView>
  </sheetViews>
  <sheetFormatPr defaultColWidth="9" defaultRowHeight="16.5" x14ac:dyDescent="0.25"/>
  <cols>
    <col min="1" max="93" width="2.36328125" style="78" customWidth="1"/>
    <col min="94" max="16384" width="9" style="78"/>
  </cols>
  <sheetData>
    <row r="1" spans="1:93" ht="17" customHeight="1" x14ac:dyDescent="0.25">
      <c r="A1" s="627" t="s">
        <v>263</v>
      </c>
      <c r="B1" s="627"/>
      <c r="C1" s="627"/>
      <c r="D1" s="627"/>
      <c r="E1" s="627"/>
      <c r="F1" s="627"/>
      <c r="G1" s="627"/>
      <c r="H1" s="627"/>
      <c r="I1" s="627"/>
      <c r="J1" s="627"/>
      <c r="K1" s="627"/>
      <c r="L1" s="627"/>
      <c r="M1" s="627"/>
      <c r="N1" s="627"/>
      <c r="O1" s="627"/>
      <c r="P1" s="627"/>
      <c r="Q1" s="627"/>
      <c r="R1" s="627"/>
      <c r="S1" s="627"/>
      <c r="T1" s="627"/>
      <c r="U1" s="627"/>
      <c r="V1" s="627"/>
      <c r="W1" s="627"/>
      <c r="X1" s="627"/>
      <c r="Y1" s="627"/>
      <c r="Z1" s="627"/>
      <c r="AA1" s="627"/>
      <c r="AB1" s="627"/>
      <c r="AC1" s="627"/>
      <c r="AD1" s="627"/>
      <c r="AE1" s="627"/>
      <c r="AF1" s="627"/>
      <c r="AG1" s="627"/>
      <c r="AH1" s="627"/>
      <c r="AI1" s="627"/>
      <c r="AJ1" s="627"/>
      <c r="AK1" s="627"/>
      <c r="AL1" s="627"/>
      <c r="AM1" s="627"/>
      <c r="AN1" s="627"/>
      <c r="AO1" s="627"/>
      <c r="AP1" s="627"/>
      <c r="AQ1" s="627"/>
      <c r="AR1" s="627"/>
      <c r="AS1" s="627"/>
      <c r="AT1" s="5"/>
      <c r="AU1" s="5"/>
    </row>
    <row r="2" spans="1:93" ht="8" customHeight="1" x14ac:dyDescent="0.25">
      <c r="J2" s="948"/>
      <c r="K2" s="948"/>
      <c r="L2" s="948"/>
      <c r="M2" s="948"/>
      <c r="AH2" s="79"/>
      <c r="AI2" s="79"/>
    </row>
    <row r="3" spans="1:93" ht="17" customHeight="1" x14ac:dyDescent="0.25">
      <c r="B3" s="958" t="s">
        <v>264</v>
      </c>
      <c r="C3" s="958"/>
      <c r="D3" s="958"/>
      <c r="E3" s="958"/>
      <c r="F3" s="958"/>
      <c r="G3" s="958"/>
      <c r="H3" s="958"/>
      <c r="I3" s="80"/>
      <c r="J3" s="81"/>
      <c r="K3" s="81"/>
      <c r="L3" s="81"/>
      <c r="M3" s="81"/>
      <c r="N3" s="81"/>
      <c r="O3" s="81"/>
      <c r="P3" s="959" t="str">
        <f>IF(AND(COUNTA(B5:H14)+COUNTA(B16:H25)&gt;0,B3=""),"请选择容器",IF(V3-装备数据!Z11&gt;装备数据!Y11,"容量超上限",""))</f>
        <v/>
      </c>
      <c r="Q3" s="959"/>
      <c r="R3" s="959"/>
      <c r="S3" s="959"/>
      <c r="T3" s="959"/>
      <c r="U3" s="82"/>
      <c r="V3" s="965">
        <f>装备数据!Z11+SUMPRODUCT(S5:T25,V5:W25)</f>
        <v>5</v>
      </c>
      <c r="W3" s="966"/>
      <c r="Y3" s="964" t="s">
        <v>265</v>
      </c>
      <c r="Z3" s="964"/>
      <c r="AA3" s="964"/>
      <c r="AB3" s="964"/>
      <c r="AC3" s="964"/>
      <c r="AD3" s="964"/>
      <c r="AE3" s="964"/>
      <c r="AF3" s="80"/>
      <c r="AG3" s="81"/>
      <c r="AH3" s="81"/>
      <c r="AI3" s="81"/>
      <c r="AJ3" s="81"/>
      <c r="AK3" s="81"/>
      <c r="AL3" s="81"/>
      <c r="AM3" s="959" t="str">
        <f>IF(AND(COUNTA(Y5:AE14)+COUNTA(Y16:AE25)&gt;0,Y3=""),"请选择容器",IF(AS3-装备数据!Z32&gt;装备数据!Y32,"容量超上限",""))</f>
        <v/>
      </c>
      <c r="AN3" s="959"/>
      <c r="AO3" s="959"/>
      <c r="AP3" s="959"/>
      <c r="AQ3" s="959"/>
      <c r="AR3" s="82"/>
      <c r="AS3" s="962">
        <f>装备数据!Z32+SUMPRODUCT(AP5:AQ25,AS5:AT25)</f>
        <v>1</v>
      </c>
      <c r="AT3" s="963"/>
      <c r="AW3" s="955" t="s">
        <v>266</v>
      </c>
      <c r="AX3" s="955"/>
      <c r="AY3" s="955"/>
      <c r="AZ3" s="955"/>
      <c r="BA3" s="955"/>
      <c r="BB3" s="955"/>
      <c r="BC3" s="955"/>
      <c r="BD3" s="955"/>
      <c r="BE3" s="955"/>
      <c r="BF3" s="955"/>
      <c r="BG3" s="955"/>
      <c r="BH3" s="955"/>
      <c r="BI3" s="955"/>
      <c r="BJ3" s="955"/>
      <c r="BK3" s="955"/>
      <c r="BL3" s="955"/>
      <c r="BM3" s="955"/>
      <c r="BN3" s="955"/>
      <c r="BO3" s="955"/>
      <c r="BP3" s="955"/>
      <c r="BQ3" s="955"/>
      <c r="BR3" s="955"/>
      <c r="BT3" s="955" t="s">
        <v>267</v>
      </c>
      <c r="BU3" s="955"/>
      <c r="BV3" s="955"/>
      <c r="BW3" s="955"/>
      <c r="BX3" s="955"/>
      <c r="BY3" s="955"/>
      <c r="BZ3" s="955"/>
      <c r="CA3" s="955"/>
      <c r="CB3" s="955"/>
      <c r="CC3" s="955"/>
      <c r="CD3" s="955"/>
      <c r="CE3" s="955"/>
      <c r="CF3" s="955"/>
      <c r="CG3" s="955"/>
      <c r="CH3" s="955"/>
      <c r="CI3" s="955"/>
      <c r="CJ3" s="955"/>
      <c r="CK3" s="955"/>
      <c r="CL3" s="955"/>
      <c r="CM3" s="955"/>
      <c r="CN3" s="955"/>
      <c r="CO3" s="955"/>
    </row>
    <row r="4" spans="1:93" ht="17" customHeight="1" x14ac:dyDescent="0.3">
      <c r="B4" s="688" t="s">
        <v>109</v>
      </c>
      <c r="C4" s="688"/>
      <c r="D4" s="688"/>
      <c r="E4" s="688"/>
      <c r="F4" s="688"/>
      <c r="G4" s="688"/>
      <c r="H4" s="688"/>
      <c r="I4" s="688" t="s">
        <v>169</v>
      </c>
      <c r="J4" s="688"/>
      <c r="K4" s="688"/>
      <c r="L4" s="688"/>
      <c r="M4" s="688"/>
      <c r="N4" s="688"/>
      <c r="O4" s="688"/>
      <c r="P4" s="688"/>
      <c r="Q4" s="688"/>
      <c r="R4" s="688"/>
      <c r="S4" s="688" t="s">
        <v>111</v>
      </c>
      <c r="T4" s="688"/>
      <c r="U4" s="83"/>
      <c r="V4" s="688" t="s">
        <v>166</v>
      </c>
      <c r="W4" s="688"/>
      <c r="X4" s="83"/>
      <c r="Y4" s="688" t="s">
        <v>109</v>
      </c>
      <c r="Z4" s="688"/>
      <c r="AA4" s="688"/>
      <c r="AB4" s="688"/>
      <c r="AC4" s="688"/>
      <c r="AD4" s="688"/>
      <c r="AE4" s="688"/>
      <c r="AF4" s="582" t="s">
        <v>169</v>
      </c>
      <c r="AG4" s="582"/>
      <c r="AH4" s="582"/>
      <c r="AI4" s="582"/>
      <c r="AJ4" s="582"/>
      <c r="AK4" s="582"/>
      <c r="AL4" s="582"/>
      <c r="AM4" s="582"/>
      <c r="AN4" s="582"/>
      <c r="AO4" s="582"/>
      <c r="AP4" s="688" t="s">
        <v>111</v>
      </c>
      <c r="AQ4" s="688"/>
      <c r="AR4" s="83"/>
      <c r="AS4" s="688" t="s">
        <v>166</v>
      </c>
      <c r="AT4" s="688"/>
    </row>
    <row r="5" spans="1:93" ht="17" customHeight="1" x14ac:dyDescent="0.25">
      <c r="B5" s="956"/>
      <c r="C5" s="956"/>
      <c r="D5" s="956"/>
      <c r="E5" s="956"/>
      <c r="F5" s="956"/>
      <c r="G5" s="956"/>
      <c r="H5" s="956"/>
      <c r="I5" s="940"/>
      <c r="J5" s="940"/>
      <c r="K5" s="940"/>
      <c r="L5" s="940"/>
      <c r="M5" s="940"/>
      <c r="N5" s="940"/>
      <c r="O5" s="940"/>
      <c r="P5" s="940"/>
      <c r="Q5" s="940"/>
      <c r="R5" s="940"/>
      <c r="S5" s="941"/>
      <c r="T5" s="941"/>
      <c r="U5" s="83" t="s">
        <v>268</v>
      </c>
      <c r="V5" s="805"/>
      <c r="W5" s="805"/>
      <c r="X5" s="84"/>
      <c r="Y5" s="698"/>
      <c r="Z5" s="698"/>
      <c r="AA5" s="698"/>
      <c r="AB5" s="698"/>
      <c r="AC5" s="698"/>
      <c r="AD5" s="698"/>
      <c r="AE5" s="698"/>
      <c r="AF5" s="940"/>
      <c r="AG5" s="940"/>
      <c r="AH5" s="940"/>
      <c r="AI5" s="940"/>
      <c r="AJ5" s="940"/>
      <c r="AK5" s="940"/>
      <c r="AL5" s="940"/>
      <c r="AM5" s="940"/>
      <c r="AN5" s="940"/>
      <c r="AO5" s="940"/>
      <c r="AP5" s="941" t="s">
        <v>117</v>
      </c>
      <c r="AQ5" s="941"/>
      <c r="AR5" s="83" t="s">
        <v>268</v>
      </c>
      <c r="AS5" s="805"/>
      <c r="AT5" s="805"/>
      <c r="AU5" s="84"/>
      <c r="AW5" s="618"/>
      <c r="AX5" s="619"/>
      <c r="AY5" s="619"/>
      <c r="AZ5" s="619"/>
      <c r="BA5" s="619"/>
      <c r="BB5" s="619"/>
      <c r="BC5" s="619"/>
      <c r="BD5" s="619"/>
      <c r="BE5" s="619"/>
      <c r="BF5" s="619"/>
      <c r="BG5" s="619"/>
      <c r="BH5" s="619"/>
      <c r="BI5" s="619"/>
      <c r="BJ5" s="619"/>
      <c r="BK5" s="619"/>
      <c r="BL5" s="619"/>
      <c r="BM5" s="619"/>
      <c r="BN5" s="619"/>
      <c r="BO5" s="619"/>
      <c r="BP5" s="619"/>
      <c r="BQ5" s="619"/>
      <c r="BR5" s="620"/>
      <c r="BT5" s="940"/>
      <c r="BU5" s="940"/>
      <c r="BV5" s="940"/>
      <c r="BW5" s="940"/>
      <c r="BX5" s="940"/>
      <c r="BY5" s="940"/>
      <c r="BZ5" s="940"/>
      <c r="CA5" s="940"/>
      <c r="CB5" s="940"/>
      <c r="CC5" s="940"/>
      <c r="CD5" s="940"/>
      <c r="CE5" s="940"/>
      <c r="CF5" s="940"/>
      <c r="CG5" s="940"/>
      <c r="CH5" s="940"/>
      <c r="CI5" s="940"/>
      <c r="CJ5" s="940"/>
      <c r="CK5" s="940"/>
      <c r="CL5" s="940"/>
      <c r="CM5" s="940"/>
      <c r="CN5" s="940"/>
      <c r="CO5" s="940"/>
    </row>
    <row r="6" spans="1:93" ht="17" customHeight="1" x14ac:dyDescent="0.25">
      <c r="B6" s="949"/>
      <c r="C6" s="949"/>
      <c r="D6" s="949"/>
      <c r="E6" s="949"/>
      <c r="F6" s="949"/>
      <c r="G6" s="949"/>
      <c r="H6" s="949"/>
      <c r="I6" s="942" t="s">
        <v>117</v>
      </c>
      <c r="J6" s="942"/>
      <c r="K6" s="942"/>
      <c r="L6" s="942"/>
      <c r="M6" s="942"/>
      <c r="N6" s="942"/>
      <c r="O6" s="942"/>
      <c r="P6" s="942"/>
      <c r="Q6" s="942"/>
      <c r="R6" s="942"/>
      <c r="S6" s="947"/>
      <c r="T6" s="947"/>
      <c r="U6" s="83" t="s">
        <v>268</v>
      </c>
      <c r="V6" s="732"/>
      <c r="W6" s="732"/>
      <c r="X6" s="84"/>
      <c r="Y6" s="943"/>
      <c r="Z6" s="943"/>
      <c r="AA6" s="943"/>
      <c r="AB6" s="943"/>
      <c r="AC6" s="943"/>
      <c r="AD6" s="943"/>
      <c r="AE6" s="943"/>
      <c r="AF6" s="942"/>
      <c r="AG6" s="942"/>
      <c r="AH6" s="942"/>
      <c r="AI6" s="942"/>
      <c r="AJ6" s="942"/>
      <c r="AK6" s="942"/>
      <c r="AL6" s="942"/>
      <c r="AM6" s="942"/>
      <c r="AN6" s="942"/>
      <c r="AO6" s="942"/>
      <c r="AP6" s="947"/>
      <c r="AQ6" s="947"/>
      <c r="AR6" s="83" t="s">
        <v>268</v>
      </c>
      <c r="AS6" s="732"/>
      <c r="AT6" s="732"/>
      <c r="AU6" s="84"/>
      <c r="AW6" s="952"/>
      <c r="AX6" s="953"/>
      <c r="AY6" s="953"/>
      <c r="AZ6" s="953"/>
      <c r="BA6" s="953"/>
      <c r="BB6" s="953"/>
      <c r="BC6" s="953"/>
      <c r="BD6" s="953"/>
      <c r="BE6" s="953"/>
      <c r="BF6" s="953"/>
      <c r="BG6" s="953"/>
      <c r="BH6" s="953"/>
      <c r="BI6" s="953"/>
      <c r="BJ6" s="953"/>
      <c r="BK6" s="953"/>
      <c r="BL6" s="953"/>
      <c r="BM6" s="953"/>
      <c r="BN6" s="953"/>
      <c r="BO6" s="953"/>
      <c r="BP6" s="953"/>
      <c r="BQ6" s="953"/>
      <c r="BR6" s="954"/>
      <c r="BT6" s="942"/>
      <c r="BU6" s="942"/>
      <c r="BV6" s="942"/>
      <c r="BW6" s="942"/>
      <c r="BX6" s="942"/>
      <c r="BY6" s="942"/>
      <c r="BZ6" s="942"/>
      <c r="CA6" s="942"/>
      <c r="CB6" s="942"/>
      <c r="CC6" s="942"/>
      <c r="CD6" s="942"/>
      <c r="CE6" s="942"/>
      <c r="CF6" s="942"/>
      <c r="CG6" s="942"/>
      <c r="CH6" s="942"/>
      <c r="CI6" s="942"/>
      <c r="CJ6" s="942"/>
      <c r="CK6" s="942"/>
      <c r="CL6" s="942"/>
      <c r="CM6" s="942"/>
      <c r="CN6" s="942"/>
      <c r="CO6" s="942"/>
    </row>
    <row r="7" spans="1:93" ht="17" customHeight="1" x14ac:dyDescent="0.25">
      <c r="B7" s="956"/>
      <c r="C7" s="956"/>
      <c r="D7" s="956"/>
      <c r="E7" s="956"/>
      <c r="F7" s="956"/>
      <c r="G7" s="956"/>
      <c r="H7" s="956"/>
      <c r="I7" s="940" t="s">
        <v>117</v>
      </c>
      <c r="J7" s="940"/>
      <c r="K7" s="940"/>
      <c r="L7" s="940"/>
      <c r="M7" s="940"/>
      <c r="N7" s="940"/>
      <c r="O7" s="940"/>
      <c r="P7" s="940"/>
      <c r="Q7" s="940"/>
      <c r="R7" s="940"/>
      <c r="S7" s="941" t="s">
        <v>117</v>
      </c>
      <c r="T7" s="941"/>
      <c r="U7" s="83" t="s">
        <v>268</v>
      </c>
      <c r="V7" s="805"/>
      <c r="W7" s="805"/>
      <c r="X7" s="84"/>
      <c r="Y7" s="698"/>
      <c r="Z7" s="698"/>
      <c r="AA7" s="698"/>
      <c r="AB7" s="698"/>
      <c r="AC7" s="698"/>
      <c r="AD7" s="698"/>
      <c r="AE7" s="698"/>
      <c r="AF7" s="940"/>
      <c r="AG7" s="940"/>
      <c r="AH7" s="940"/>
      <c r="AI7" s="940"/>
      <c r="AJ7" s="940"/>
      <c r="AK7" s="940"/>
      <c r="AL7" s="940"/>
      <c r="AM7" s="940"/>
      <c r="AN7" s="940"/>
      <c r="AO7" s="940"/>
      <c r="AP7" s="941"/>
      <c r="AQ7" s="941"/>
      <c r="AR7" s="83" t="s">
        <v>268</v>
      </c>
      <c r="AS7" s="805"/>
      <c r="AT7" s="805"/>
      <c r="AU7" s="84"/>
      <c r="AW7" s="618"/>
      <c r="AX7" s="619"/>
      <c r="AY7" s="619"/>
      <c r="AZ7" s="619"/>
      <c r="BA7" s="619"/>
      <c r="BB7" s="619"/>
      <c r="BC7" s="619"/>
      <c r="BD7" s="619"/>
      <c r="BE7" s="619"/>
      <c r="BF7" s="619"/>
      <c r="BG7" s="619"/>
      <c r="BH7" s="619"/>
      <c r="BI7" s="619"/>
      <c r="BJ7" s="619"/>
      <c r="BK7" s="619"/>
      <c r="BL7" s="619"/>
      <c r="BM7" s="619"/>
      <c r="BN7" s="619"/>
      <c r="BO7" s="619"/>
      <c r="BP7" s="619"/>
      <c r="BQ7" s="619"/>
      <c r="BR7" s="620"/>
      <c r="BT7" s="940"/>
      <c r="BU7" s="940"/>
      <c r="BV7" s="940"/>
      <c r="BW7" s="940"/>
      <c r="BX7" s="940"/>
      <c r="BY7" s="940"/>
      <c r="BZ7" s="940"/>
      <c r="CA7" s="940"/>
      <c r="CB7" s="940"/>
      <c r="CC7" s="940"/>
      <c r="CD7" s="940"/>
      <c r="CE7" s="940"/>
      <c r="CF7" s="940"/>
      <c r="CG7" s="940"/>
      <c r="CH7" s="940"/>
      <c r="CI7" s="940"/>
      <c r="CJ7" s="940"/>
      <c r="CK7" s="940"/>
      <c r="CL7" s="940"/>
      <c r="CM7" s="940"/>
      <c r="CN7" s="940"/>
      <c r="CO7" s="940"/>
    </row>
    <row r="8" spans="1:93" ht="17" customHeight="1" x14ac:dyDescent="0.25">
      <c r="B8" s="949"/>
      <c r="C8" s="949"/>
      <c r="D8" s="949"/>
      <c r="E8" s="949"/>
      <c r="F8" s="949"/>
      <c r="G8" s="949"/>
      <c r="H8" s="949"/>
      <c r="I8" s="942" t="s">
        <v>117</v>
      </c>
      <c r="J8" s="942"/>
      <c r="K8" s="942"/>
      <c r="L8" s="942"/>
      <c r="M8" s="942"/>
      <c r="N8" s="942"/>
      <c r="O8" s="942"/>
      <c r="P8" s="942"/>
      <c r="Q8" s="942"/>
      <c r="R8" s="942"/>
      <c r="S8" s="947" t="s">
        <v>117</v>
      </c>
      <c r="T8" s="947"/>
      <c r="U8" s="83" t="s">
        <v>268</v>
      </c>
      <c r="V8" s="732"/>
      <c r="W8" s="732"/>
      <c r="X8" s="84"/>
      <c r="Y8" s="943"/>
      <c r="Z8" s="943"/>
      <c r="AA8" s="943"/>
      <c r="AB8" s="943"/>
      <c r="AC8" s="943"/>
      <c r="AD8" s="943"/>
      <c r="AE8" s="943"/>
      <c r="AF8" s="942"/>
      <c r="AG8" s="942"/>
      <c r="AH8" s="942"/>
      <c r="AI8" s="942"/>
      <c r="AJ8" s="942"/>
      <c r="AK8" s="942"/>
      <c r="AL8" s="942"/>
      <c r="AM8" s="942"/>
      <c r="AN8" s="942"/>
      <c r="AO8" s="942"/>
      <c r="AP8" s="947"/>
      <c r="AQ8" s="947"/>
      <c r="AR8" s="83" t="s">
        <v>268</v>
      </c>
      <c r="AS8" s="732"/>
      <c r="AT8" s="732"/>
      <c r="AU8" s="84"/>
      <c r="AW8" s="952"/>
      <c r="AX8" s="953"/>
      <c r="AY8" s="953"/>
      <c r="AZ8" s="953"/>
      <c r="BA8" s="953"/>
      <c r="BB8" s="953"/>
      <c r="BC8" s="953"/>
      <c r="BD8" s="953"/>
      <c r="BE8" s="953"/>
      <c r="BF8" s="953"/>
      <c r="BG8" s="953"/>
      <c r="BH8" s="953"/>
      <c r="BI8" s="953"/>
      <c r="BJ8" s="953"/>
      <c r="BK8" s="953"/>
      <c r="BL8" s="953"/>
      <c r="BM8" s="953"/>
      <c r="BN8" s="953"/>
      <c r="BO8" s="953"/>
      <c r="BP8" s="953"/>
      <c r="BQ8" s="953"/>
      <c r="BR8" s="954"/>
      <c r="BT8" s="942"/>
      <c r="BU8" s="942"/>
      <c r="BV8" s="942"/>
      <c r="BW8" s="942"/>
      <c r="BX8" s="942"/>
      <c r="BY8" s="942"/>
      <c r="BZ8" s="942"/>
      <c r="CA8" s="942"/>
      <c r="CB8" s="942"/>
      <c r="CC8" s="942"/>
      <c r="CD8" s="942"/>
      <c r="CE8" s="942"/>
      <c r="CF8" s="942"/>
      <c r="CG8" s="942"/>
      <c r="CH8" s="942"/>
      <c r="CI8" s="942"/>
      <c r="CJ8" s="942"/>
      <c r="CK8" s="942"/>
      <c r="CL8" s="942"/>
      <c r="CM8" s="942"/>
      <c r="CN8" s="942"/>
      <c r="CO8" s="942"/>
    </row>
    <row r="9" spans="1:93" ht="17" customHeight="1" x14ac:dyDescent="0.25">
      <c r="B9" s="956"/>
      <c r="C9" s="956"/>
      <c r="D9" s="956"/>
      <c r="E9" s="956"/>
      <c r="F9" s="956"/>
      <c r="G9" s="956"/>
      <c r="H9" s="956"/>
      <c r="I9" s="940" t="s">
        <v>117</v>
      </c>
      <c r="J9" s="940"/>
      <c r="K9" s="940"/>
      <c r="L9" s="940"/>
      <c r="M9" s="940"/>
      <c r="N9" s="940"/>
      <c r="O9" s="940"/>
      <c r="P9" s="940"/>
      <c r="Q9" s="940"/>
      <c r="R9" s="940"/>
      <c r="S9" s="941" t="s">
        <v>117</v>
      </c>
      <c r="T9" s="941"/>
      <c r="U9" s="83" t="s">
        <v>268</v>
      </c>
      <c r="V9" s="805"/>
      <c r="W9" s="805"/>
      <c r="X9" s="84"/>
      <c r="Y9" s="698"/>
      <c r="Z9" s="698"/>
      <c r="AA9" s="698"/>
      <c r="AB9" s="698"/>
      <c r="AC9" s="698"/>
      <c r="AD9" s="698"/>
      <c r="AE9" s="698"/>
      <c r="AF9" s="940"/>
      <c r="AG9" s="940"/>
      <c r="AH9" s="940"/>
      <c r="AI9" s="940"/>
      <c r="AJ9" s="940"/>
      <c r="AK9" s="940"/>
      <c r="AL9" s="940"/>
      <c r="AM9" s="940"/>
      <c r="AN9" s="940"/>
      <c r="AO9" s="940"/>
      <c r="AP9" s="941"/>
      <c r="AQ9" s="941"/>
      <c r="AR9" s="83" t="s">
        <v>268</v>
      </c>
      <c r="AS9" s="805"/>
      <c r="AT9" s="805"/>
      <c r="AU9" s="84"/>
      <c r="AW9" s="618"/>
      <c r="AX9" s="619"/>
      <c r="AY9" s="619"/>
      <c r="AZ9" s="619"/>
      <c r="BA9" s="619"/>
      <c r="BB9" s="619"/>
      <c r="BC9" s="619"/>
      <c r="BD9" s="619"/>
      <c r="BE9" s="619"/>
      <c r="BF9" s="619"/>
      <c r="BG9" s="619"/>
      <c r="BH9" s="619"/>
      <c r="BI9" s="619"/>
      <c r="BJ9" s="619"/>
      <c r="BK9" s="619"/>
      <c r="BL9" s="619"/>
      <c r="BM9" s="619"/>
      <c r="BN9" s="619"/>
      <c r="BO9" s="619"/>
      <c r="BP9" s="619"/>
      <c r="BQ9" s="619"/>
      <c r="BR9" s="620"/>
      <c r="BT9" s="940"/>
      <c r="BU9" s="940"/>
      <c r="BV9" s="940"/>
      <c r="BW9" s="940"/>
      <c r="BX9" s="940"/>
      <c r="BY9" s="940"/>
      <c r="BZ9" s="940"/>
      <c r="CA9" s="940"/>
      <c r="CB9" s="940"/>
      <c r="CC9" s="940"/>
      <c r="CD9" s="940"/>
      <c r="CE9" s="940"/>
      <c r="CF9" s="940"/>
      <c r="CG9" s="940"/>
      <c r="CH9" s="940"/>
      <c r="CI9" s="940"/>
      <c r="CJ9" s="940"/>
      <c r="CK9" s="940"/>
      <c r="CL9" s="940"/>
      <c r="CM9" s="940"/>
      <c r="CN9" s="940"/>
      <c r="CO9" s="940"/>
    </row>
    <row r="10" spans="1:93" ht="17" customHeight="1" x14ac:dyDescent="0.25">
      <c r="B10" s="957"/>
      <c r="C10" s="944"/>
      <c r="D10" s="944"/>
      <c r="E10" s="944"/>
      <c r="F10" s="944"/>
      <c r="G10" s="944"/>
      <c r="H10" s="944"/>
      <c r="I10" s="946" t="s">
        <v>117</v>
      </c>
      <c r="J10" s="946"/>
      <c r="K10" s="946"/>
      <c r="L10" s="946"/>
      <c r="M10" s="946"/>
      <c r="N10" s="946"/>
      <c r="O10" s="946"/>
      <c r="P10" s="946"/>
      <c r="Q10" s="946"/>
      <c r="R10" s="946"/>
      <c r="S10" s="947" t="s">
        <v>117</v>
      </c>
      <c r="T10" s="947"/>
      <c r="U10" s="83" t="s">
        <v>268</v>
      </c>
      <c r="V10" s="950"/>
      <c r="W10" s="950"/>
      <c r="X10" s="84"/>
      <c r="Y10" s="945"/>
      <c r="Z10" s="945"/>
      <c r="AA10" s="945"/>
      <c r="AB10" s="945"/>
      <c r="AC10" s="945"/>
      <c r="AD10" s="945"/>
      <c r="AE10" s="945"/>
      <c r="AF10" s="946"/>
      <c r="AG10" s="946"/>
      <c r="AH10" s="946"/>
      <c r="AI10" s="946"/>
      <c r="AJ10" s="946"/>
      <c r="AK10" s="946"/>
      <c r="AL10" s="946"/>
      <c r="AM10" s="946"/>
      <c r="AN10" s="946"/>
      <c r="AO10" s="946"/>
      <c r="AP10" s="947"/>
      <c r="AQ10" s="947"/>
      <c r="AR10" s="83" t="s">
        <v>268</v>
      </c>
      <c r="AS10" s="950"/>
      <c r="AT10" s="950"/>
      <c r="AU10" s="84"/>
      <c r="AW10" s="952"/>
      <c r="AX10" s="953"/>
      <c r="AY10" s="953"/>
      <c r="AZ10" s="953"/>
      <c r="BA10" s="953"/>
      <c r="BB10" s="953"/>
      <c r="BC10" s="953"/>
      <c r="BD10" s="953"/>
      <c r="BE10" s="953"/>
      <c r="BF10" s="953"/>
      <c r="BG10" s="953"/>
      <c r="BH10" s="953"/>
      <c r="BI10" s="953"/>
      <c r="BJ10" s="953"/>
      <c r="BK10" s="953"/>
      <c r="BL10" s="953"/>
      <c r="BM10" s="953"/>
      <c r="BN10" s="953"/>
      <c r="BO10" s="953"/>
      <c r="BP10" s="953"/>
      <c r="BQ10" s="953"/>
      <c r="BR10" s="954"/>
      <c r="BT10" s="942"/>
      <c r="BU10" s="942"/>
      <c r="BV10" s="942"/>
      <c r="BW10" s="942"/>
      <c r="BX10" s="942"/>
      <c r="BY10" s="942"/>
      <c r="BZ10" s="942"/>
      <c r="CA10" s="942"/>
      <c r="CB10" s="942"/>
      <c r="CC10" s="942"/>
      <c r="CD10" s="942"/>
      <c r="CE10" s="942"/>
      <c r="CF10" s="942"/>
      <c r="CG10" s="942"/>
      <c r="CH10" s="942"/>
      <c r="CI10" s="942"/>
      <c r="CJ10" s="942"/>
      <c r="CK10" s="942"/>
      <c r="CL10" s="942"/>
      <c r="CM10" s="942"/>
      <c r="CN10" s="942"/>
      <c r="CO10" s="942"/>
    </row>
    <row r="11" spans="1:93" ht="17" customHeight="1" x14ac:dyDescent="0.25">
      <c r="B11" s="956"/>
      <c r="C11" s="956"/>
      <c r="D11" s="956"/>
      <c r="E11" s="956"/>
      <c r="F11" s="956"/>
      <c r="G11" s="956"/>
      <c r="H11" s="956"/>
      <c r="I11" s="940" t="s">
        <v>117</v>
      </c>
      <c r="J11" s="940"/>
      <c r="K11" s="940"/>
      <c r="L11" s="940"/>
      <c r="M11" s="940"/>
      <c r="N11" s="940"/>
      <c r="O11" s="940"/>
      <c r="P11" s="940"/>
      <c r="Q11" s="940"/>
      <c r="R11" s="940"/>
      <c r="S11" s="941" t="s">
        <v>117</v>
      </c>
      <c r="T11" s="941"/>
      <c r="U11" s="83" t="s">
        <v>268</v>
      </c>
      <c r="V11" s="805"/>
      <c r="W11" s="805"/>
      <c r="X11" s="84"/>
      <c r="Y11" s="698"/>
      <c r="Z11" s="698"/>
      <c r="AA11" s="698"/>
      <c r="AB11" s="698"/>
      <c r="AC11" s="698"/>
      <c r="AD11" s="698"/>
      <c r="AE11" s="698"/>
      <c r="AF11" s="951"/>
      <c r="AG11" s="951"/>
      <c r="AH11" s="951"/>
      <c r="AI11" s="951"/>
      <c r="AJ11" s="951"/>
      <c r="AK11" s="951"/>
      <c r="AL11" s="951"/>
      <c r="AM11" s="951"/>
      <c r="AN11" s="951"/>
      <c r="AO11" s="951"/>
      <c r="AP11" s="941"/>
      <c r="AQ11" s="941"/>
      <c r="AR11" s="83" t="s">
        <v>268</v>
      </c>
      <c r="AS11" s="805"/>
      <c r="AT11" s="805"/>
      <c r="AU11" s="84"/>
      <c r="AW11" s="618"/>
      <c r="AX11" s="619"/>
      <c r="AY11" s="619"/>
      <c r="AZ11" s="619"/>
      <c r="BA11" s="619"/>
      <c r="BB11" s="619"/>
      <c r="BC11" s="619"/>
      <c r="BD11" s="619"/>
      <c r="BE11" s="619"/>
      <c r="BF11" s="619"/>
      <c r="BG11" s="619"/>
      <c r="BH11" s="619"/>
      <c r="BI11" s="619"/>
      <c r="BJ11" s="619"/>
      <c r="BK11" s="619"/>
      <c r="BL11" s="619"/>
      <c r="BM11" s="619"/>
      <c r="BN11" s="619"/>
      <c r="BO11" s="619"/>
      <c r="BP11" s="619"/>
      <c r="BQ11" s="619"/>
      <c r="BR11" s="620"/>
      <c r="BT11" s="940"/>
      <c r="BU11" s="940"/>
      <c r="BV11" s="940"/>
      <c r="BW11" s="940"/>
      <c r="BX11" s="940"/>
      <c r="BY11" s="940"/>
      <c r="BZ11" s="940"/>
      <c r="CA11" s="940"/>
      <c r="CB11" s="940"/>
      <c r="CC11" s="940"/>
      <c r="CD11" s="940"/>
      <c r="CE11" s="940"/>
      <c r="CF11" s="940"/>
      <c r="CG11" s="940"/>
      <c r="CH11" s="940"/>
      <c r="CI11" s="940"/>
      <c r="CJ11" s="940"/>
      <c r="CK11" s="940"/>
      <c r="CL11" s="940"/>
      <c r="CM11" s="940"/>
      <c r="CN11" s="940"/>
      <c r="CO11" s="940"/>
    </row>
    <row r="12" spans="1:93" ht="17" customHeight="1" x14ac:dyDescent="0.25">
      <c r="B12" s="949"/>
      <c r="C12" s="949"/>
      <c r="D12" s="949"/>
      <c r="E12" s="949"/>
      <c r="F12" s="949"/>
      <c r="G12" s="949"/>
      <c r="H12" s="949"/>
      <c r="I12" s="942" t="s">
        <v>117</v>
      </c>
      <c r="J12" s="942"/>
      <c r="K12" s="942"/>
      <c r="L12" s="942"/>
      <c r="M12" s="942"/>
      <c r="N12" s="942"/>
      <c r="O12" s="942"/>
      <c r="P12" s="942"/>
      <c r="Q12" s="942"/>
      <c r="R12" s="942"/>
      <c r="S12" s="947" t="s">
        <v>117</v>
      </c>
      <c r="T12" s="947"/>
      <c r="U12" s="83" t="s">
        <v>268</v>
      </c>
      <c r="V12" s="732"/>
      <c r="W12" s="732"/>
      <c r="X12" s="84"/>
      <c r="Y12" s="943"/>
      <c r="Z12" s="943"/>
      <c r="AA12" s="943"/>
      <c r="AB12" s="943"/>
      <c r="AC12" s="943"/>
      <c r="AD12" s="943"/>
      <c r="AE12" s="943"/>
      <c r="AF12" s="942"/>
      <c r="AG12" s="942"/>
      <c r="AH12" s="942"/>
      <c r="AI12" s="942"/>
      <c r="AJ12" s="942"/>
      <c r="AK12" s="942"/>
      <c r="AL12" s="942"/>
      <c r="AM12" s="942"/>
      <c r="AN12" s="942"/>
      <c r="AO12" s="942"/>
      <c r="AP12" s="947"/>
      <c r="AQ12" s="947"/>
      <c r="AR12" s="83" t="s">
        <v>268</v>
      </c>
      <c r="AS12" s="732"/>
      <c r="AT12" s="732"/>
      <c r="AU12" s="84"/>
      <c r="AW12" s="952"/>
      <c r="AX12" s="953"/>
      <c r="AY12" s="953"/>
      <c r="AZ12" s="953"/>
      <c r="BA12" s="953"/>
      <c r="BB12" s="953"/>
      <c r="BC12" s="953"/>
      <c r="BD12" s="953"/>
      <c r="BE12" s="953"/>
      <c r="BF12" s="953"/>
      <c r="BG12" s="953"/>
      <c r="BH12" s="953"/>
      <c r="BI12" s="953"/>
      <c r="BJ12" s="953"/>
      <c r="BK12" s="953"/>
      <c r="BL12" s="953"/>
      <c r="BM12" s="953"/>
      <c r="BN12" s="953"/>
      <c r="BO12" s="953"/>
      <c r="BP12" s="953"/>
      <c r="BQ12" s="953"/>
      <c r="BR12" s="954"/>
      <c r="BT12" s="942"/>
      <c r="BU12" s="942"/>
      <c r="BV12" s="942"/>
      <c r="BW12" s="942"/>
      <c r="BX12" s="942"/>
      <c r="BY12" s="942"/>
      <c r="BZ12" s="942"/>
      <c r="CA12" s="942"/>
      <c r="CB12" s="942"/>
      <c r="CC12" s="942"/>
      <c r="CD12" s="942"/>
      <c r="CE12" s="942"/>
      <c r="CF12" s="942"/>
      <c r="CG12" s="942"/>
      <c r="CH12" s="942"/>
      <c r="CI12" s="942"/>
      <c r="CJ12" s="942"/>
      <c r="CK12" s="942"/>
      <c r="CL12" s="942"/>
      <c r="CM12" s="942"/>
      <c r="CN12" s="942"/>
      <c r="CO12" s="942"/>
    </row>
    <row r="13" spans="1:93" ht="17" customHeight="1" x14ac:dyDescent="0.25">
      <c r="B13" s="956"/>
      <c r="C13" s="956"/>
      <c r="D13" s="956"/>
      <c r="E13" s="956"/>
      <c r="F13" s="956"/>
      <c r="G13" s="956"/>
      <c r="H13" s="956"/>
      <c r="I13" s="940" t="s">
        <v>117</v>
      </c>
      <c r="J13" s="940"/>
      <c r="K13" s="940"/>
      <c r="L13" s="940"/>
      <c r="M13" s="940"/>
      <c r="N13" s="940"/>
      <c r="O13" s="940"/>
      <c r="P13" s="940"/>
      <c r="Q13" s="940"/>
      <c r="R13" s="940"/>
      <c r="S13" s="941" t="s">
        <v>117</v>
      </c>
      <c r="T13" s="941"/>
      <c r="U13" s="83" t="s">
        <v>268</v>
      </c>
      <c r="V13" s="805"/>
      <c r="W13" s="805"/>
      <c r="X13" s="84"/>
      <c r="Y13" s="698"/>
      <c r="Z13" s="698"/>
      <c r="AA13" s="698"/>
      <c r="AB13" s="698"/>
      <c r="AC13" s="698"/>
      <c r="AD13" s="698"/>
      <c r="AE13" s="698"/>
      <c r="AF13" s="940"/>
      <c r="AG13" s="940"/>
      <c r="AH13" s="940"/>
      <c r="AI13" s="940"/>
      <c r="AJ13" s="940"/>
      <c r="AK13" s="940"/>
      <c r="AL13" s="940"/>
      <c r="AM13" s="940"/>
      <c r="AN13" s="940"/>
      <c r="AO13" s="940"/>
      <c r="AP13" s="941"/>
      <c r="AQ13" s="941"/>
      <c r="AR13" s="83" t="s">
        <v>268</v>
      </c>
      <c r="AS13" s="805"/>
      <c r="AT13" s="805"/>
      <c r="AU13" s="84"/>
      <c r="AW13" s="618"/>
      <c r="AX13" s="619"/>
      <c r="AY13" s="619"/>
      <c r="AZ13" s="619"/>
      <c r="BA13" s="619"/>
      <c r="BB13" s="619"/>
      <c r="BC13" s="619"/>
      <c r="BD13" s="619"/>
      <c r="BE13" s="619"/>
      <c r="BF13" s="619"/>
      <c r="BG13" s="619"/>
      <c r="BH13" s="619"/>
      <c r="BI13" s="619"/>
      <c r="BJ13" s="619"/>
      <c r="BK13" s="619"/>
      <c r="BL13" s="619"/>
      <c r="BM13" s="619"/>
      <c r="BN13" s="619"/>
      <c r="BO13" s="619"/>
      <c r="BP13" s="619"/>
      <c r="BQ13" s="619"/>
      <c r="BR13" s="620"/>
      <c r="BT13" s="940"/>
      <c r="BU13" s="940"/>
      <c r="BV13" s="940"/>
      <c r="BW13" s="940"/>
      <c r="BX13" s="940"/>
      <c r="BY13" s="940"/>
      <c r="BZ13" s="940"/>
      <c r="CA13" s="940"/>
      <c r="CB13" s="940"/>
      <c r="CC13" s="940"/>
      <c r="CD13" s="940"/>
      <c r="CE13" s="940"/>
      <c r="CF13" s="940"/>
      <c r="CG13" s="940"/>
      <c r="CH13" s="940"/>
      <c r="CI13" s="940"/>
      <c r="CJ13" s="940"/>
      <c r="CK13" s="940"/>
      <c r="CL13" s="940"/>
      <c r="CM13" s="940"/>
      <c r="CN13" s="940"/>
      <c r="CO13" s="940"/>
    </row>
    <row r="14" spans="1:93" ht="17" customHeight="1" x14ac:dyDescent="0.25">
      <c r="B14" s="949"/>
      <c r="C14" s="949"/>
      <c r="D14" s="949"/>
      <c r="E14" s="949"/>
      <c r="F14" s="949"/>
      <c r="G14" s="949"/>
      <c r="H14" s="949"/>
      <c r="I14" s="942"/>
      <c r="J14" s="942"/>
      <c r="K14" s="942"/>
      <c r="L14" s="942"/>
      <c r="M14" s="942"/>
      <c r="N14" s="942"/>
      <c r="O14" s="942"/>
      <c r="P14" s="942"/>
      <c r="Q14" s="942"/>
      <c r="R14" s="942"/>
      <c r="S14" s="947"/>
      <c r="T14" s="947"/>
      <c r="U14" s="83" t="s">
        <v>268</v>
      </c>
      <c r="V14" s="732"/>
      <c r="W14" s="732"/>
      <c r="X14" s="84"/>
      <c r="Y14" s="943"/>
      <c r="Z14" s="943"/>
      <c r="AA14" s="943"/>
      <c r="AB14" s="943"/>
      <c r="AC14" s="943"/>
      <c r="AD14" s="943"/>
      <c r="AE14" s="943"/>
      <c r="AF14" s="942"/>
      <c r="AG14" s="942"/>
      <c r="AH14" s="942"/>
      <c r="AI14" s="942"/>
      <c r="AJ14" s="942"/>
      <c r="AK14" s="942"/>
      <c r="AL14" s="942"/>
      <c r="AM14" s="942"/>
      <c r="AN14" s="942"/>
      <c r="AO14" s="942"/>
      <c r="AP14" s="947"/>
      <c r="AQ14" s="947"/>
      <c r="AR14" s="83" t="s">
        <v>268</v>
      </c>
      <c r="AS14" s="732"/>
      <c r="AT14" s="732"/>
      <c r="AU14" s="84"/>
      <c r="AW14" s="952"/>
      <c r="AX14" s="953"/>
      <c r="AY14" s="953"/>
      <c r="AZ14" s="953"/>
      <c r="BA14" s="953"/>
      <c r="BB14" s="953"/>
      <c r="BC14" s="953"/>
      <c r="BD14" s="953"/>
      <c r="BE14" s="953"/>
      <c r="BF14" s="953"/>
      <c r="BG14" s="953"/>
      <c r="BH14" s="953"/>
      <c r="BI14" s="953"/>
      <c r="BJ14" s="953"/>
      <c r="BK14" s="953"/>
      <c r="BL14" s="953"/>
      <c r="BM14" s="953"/>
      <c r="BN14" s="953"/>
      <c r="BO14" s="953"/>
      <c r="BP14" s="953"/>
      <c r="BQ14" s="953"/>
      <c r="BR14" s="954"/>
      <c r="BT14" s="942"/>
      <c r="BU14" s="942"/>
      <c r="BV14" s="942"/>
      <c r="BW14" s="942"/>
      <c r="BX14" s="942"/>
      <c r="BY14" s="942"/>
      <c r="BZ14" s="942"/>
      <c r="CA14" s="942"/>
      <c r="CB14" s="942"/>
      <c r="CC14" s="942"/>
      <c r="CD14" s="942"/>
      <c r="CE14" s="942"/>
      <c r="CF14" s="942"/>
      <c r="CG14" s="942"/>
      <c r="CH14" s="942"/>
      <c r="CI14" s="942"/>
      <c r="CJ14" s="942"/>
      <c r="CK14" s="942"/>
      <c r="CL14" s="942"/>
      <c r="CM14" s="942"/>
      <c r="CN14" s="942"/>
      <c r="CO14" s="942"/>
    </row>
    <row r="15" spans="1:93" ht="8" customHeight="1" x14ac:dyDescent="0.25">
      <c r="B15" s="1"/>
      <c r="C15" s="1"/>
      <c r="D15" s="1"/>
      <c r="E15" s="1"/>
      <c r="F15" s="1"/>
      <c r="G15" s="1"/>
      <c r="H15" s="1"/>
      <c r="I15" s="3"/>
      <c r="J15" s="3"/>
      <c r="K15" s="3"/>
      <c r="L15" s="3"/>
      <c r="M15" s="3"/>
      <c r="N15" s="3"/>
      <c r="O15" s="3"/>
      <c r="P15" s="3"/>
      <c r="Q15" s="3"/>
      <c r="R15" s="3"/>
      <c r="S15" s="69"/>
      <c r="T15" s="69"/>
      <c r="V15" s="69"/>
      <c r="W15" s="69"/>
      <c r="Y15" s="3"/>
      <c r="Z15" s="3"/>
      <c r="AA15" s="3"/>
      <c r="AB15" s="3"/>
      <c r="AC15" s="3"/>
      <c r="AD15" s="3"/>
      <c r="AE15" s="3"/>
      <c r="AF15" s="3"/>
      <c r="AG15" s="3"/>
      <c r="AH15" s="3"/>
      <c r="AI15" s="3"/>
      <c r="AJ15" s="3"/>
      <c r="AK15" s="3"/>
      <c r="AL15" s="3"/>
      <c r="AM15" s="3"/>
      <c r="AN15" s="3"/>
      <c r="AO15" s="3"/>
      <c r="AP15" s="69"/>
      <c r="AQ15" s="69"/>
      <c r="AS15" s="69"/>
      <c r="AT15" s="69"/>
    </row>
    <row r="16" spans="1:93" ht="17" customHeight="1" x14ac:dyDescent="0.25">
      <c r="B16" s="956"/>
      <c r="C16" s="956"/>
      <c r="D16" s="956"/>
      <c r="E16" s="956"/>
      <c r="F16" s="956"/>
      <c r="G16" s="956"/>
      <c r="H16" s="956"/>
      <c r="I16" s="940"/>
      <c r="J16" s="940"/>
      <c r="K16" s="940"/>
      <c r="L16" s="940"/>
      <c r="M16" s="940"/>
      <c r="N16" s="940"/>
      <c r="O16" s="940"/>
      <c r="P16" s="940"/>
      <c r="Q16" s="940"/>
      <c r="R16" s="940"/>
      <c r="S16" s="941"/>
      <c r="T16" s="941"/>
      <c r="U16" s="83" t="s">
        <v>268</v>
      </c>
      <c r="V16" s="805"/>
      <c r="W16" s="805"/>
      <c r="X16" s="84"/>
      <c r="Y16" s="698"/>
      <c r="Z16" s="698"/>
      <c r="AA16" s="698"/>
      <c r="AB16" s="698"/>
      <c r="AC16" s="698"/>
      <c r="AD16" s="698"/>
      <c r="AE16" s="698"/>
      <c r="AF16" s="940"/>
      <c r="AG16" s="940"/>
      <c r="AH16" s="940"/>
      <c r="AI16" s="940"/>
      <c r="AJ16" s="940"/>
      <c r="AK16" s="940"/>
      <c r="AL16" s="940"/>
      <c r="AM16" s="940"/>
      <c r="AN16" s="940"/>
      <c r="AO16" s="940"/>
      <c r="AP16" s="941"/>
      <c r="AQ16" s="941"/>
      <c r="AR16" s="83" t="s">
        <v>268</v>
      </c>
      <c r="AS16" s="805"/>
      <c r="AT16" s="805"/>
      <c r="AU16" s="84"/>
      <c r="AW16" s="618"/>
      <c r="AX16" s="619"/>
      <c r="AY16" s="619"/>
      <c r="AZ16" s="619"/>
      <c r="BA16" s="619"/>
      <c r="BB16" s="619"/>
      <c r="BC16" s="619"/>
      <c r="BD16" s="619"/>
      <c r="BE16" s="619"/>
      <c r="BF16" s="619"/>
      <c r="BG16" s="619"/>
      <c r="BH16" s="619"/>
      <c r="BI16" s="619"/>
      <c r="BJ16" s="619"/>
      <c r="BK16" s="619"/>
      <c r="BL16" s="619"/>
      <c r="BM16" s="619"/>
      <c r="BN16" s="619"/>
      <c r="BO16" s="619"/>
      <c r="BP16" s="619"/>
      <c r="BQ16" s="619"/>
      <c r="BR16" s="620"/>
      <c r="BT16" s="940"/>
      <c r="BU16" s="940"/>
      <c r="BV16" s="940"/>
      <c r="BW16" s="940"/>
      <c r="BX16" s="940"/>
      <c r="BY16" s="940"/>
      <c r="BZ16" s="940"/>
      <c r="CA16" s="940"/>
      <c r="CB16" s="940"/>
      <c r="CC16" s="940"/>
      <c r="CD16" s="940"/>
      <c r="CE16" s="940"/>
      <c r="CF16" s="940"/>
      <c r="CG16" s="940"/>
      <c r="CH16" s="940"/>
      <c r="CI16" s="940"/>
      <c r="CJ16" s="940"/>
      <c r="CK16" s="940"/>
      <c r="CL16" s="940"/>
      <c r="CM16" s="940"/>
      <c r="CN16" s="940"/>
      <c r="CO16" s="940"/>
    </row>
    <row r="17" spans="2:93" ht="17" customHeight="1" x14ac:dyDescent="0.25">
      <c r="B17" s="949"/>
      <c r="C17" s="949"/>
      <c r="D17" s="949"/>
      <c r="E17" s="949"/>
      <c r="F17" s="949"/>
      <c r="G17" s="949"/>
      <c r="H17" s="949"/>
      <c r="I17" s="942"/>
      <c r="J17" s="942"/>
      <c r="K17" s="942"/>
      <c r="L17" s="942"/>
      <c r="M17" s="942"/>
      <c r="N17" s="942"/>
      <c r="O17" s="942"/>
      <c r="P17" s="942"/>
      <c r="Q17" s="942"/>
      <c r="R17" s="942"/>
      <c r="S17" s="947"/>
      <c r="T17" s="947"/>
      <c r="U17" s="83" t="s">
        <v>268</v>
      </c>
      <c r="V17" s="732"/>
      <c r="W17" s="732"/>
      <c r="X17" s="84"/>
      <c r="Y17" s="943"/>
      <c r="Z17" s="943"/>
      <c r="AA17" s="943"/>
      <c r="AB17" s="943"/>
      <c r="AC17" s="943"/>
      <c r="AD17" s="943"/>
      <c r="AE17" s="943"/>
      <c r="AF17" s="942"/>
      <c r="AG17" s="942"/>
      <c r="AH17" s="942"/>
      <c r="AI17" s="942"/>
      <c r="AJ17" s="942"/>
      <c r="AK17" s="942"/>
      <c r="AL17" s="942"/>
      <c r="AM17" s="942"/>
      <c r="AN17" s="942"/>
      <c r="AO17" s="942"/>
      <c r="AP17" s="947"/>
      <c r="AQ17" s="947"/>
      <c r="AR17" s="83" t="s">
        <v>268</v>
      </c>
      <c r="AS17" s="732"/>
      <c r="AT17" s="732"/>
      <c r="AU17" s="84"/>
      <c r="AW17" s="952"/>
      <c r="AX17" s="953"/>
      <c r="AY17" s="953"/>
      <c r="AZ17" s="953"/>
      <c r="BA17" s="953"/>
      <c r="BB17" s="953"/>
      <c r="BC17" s="953"/>
      <c r="BD17" s="953"/>
      <c r="BE17" s="953"/>
      <c r="BF17" s="953"/>
      <c r="BG17" s="953"/>
      <c r="BH17" s="953"/>
      <c r="BI17" s="953"/>
      <c r="BJ17" s="953"/>
      <c r="BK17" s="953"/>
      <c r="BL17" s="953"/>
      <c r="BM17" s="953"/>
      <c r="BN17" s="953"/>
      <c r="BO17" s="953"/>
      <c r="BP17" s="953"/>
      <c r="BQ17" s="953"/>
      <c r="BR17" s="954"/>
      <c r="BT17" s="942"/>
      <c r="BU17" s="942"/>
      <c r="BV17" s="942"/>
      <c r="BW17" s="942"/>
      <c r="BX17" s="942"/>
      <c r="BY17" s="942"/>
      <c r="BZ17" s="942"/>
      <c r="CA17" s="942"/>
      <c r="CB17" s="942"/>
      <c r="CC17" s="942"/>
      <c r="CD17" s="942"/>
      <c r="CE17" s="942"/>
      <c r="CF17" s="942"/>
      <c r="CG17" s="942"/>
      <c r="CH17" s="942"/>
      <c r="CI17" s="942"/>
      <c r="CJ17" s="942"/>
      <c r="CK17" s="942"/>
      <c r="CL17" s="942"/>
      <c r="CM17" s="942"/>
      <c r="CN17" s="942"/>
      <c r="CO17" s="942"/>
    </row>
    <row r="18" spans="2:93" ht="17" customHeight="1" x14ac:dyDescent="0.25">
      <c r="B18" s="956"/>
      <c r="C18" s="956"/>
      <c r="D18" s="956"/>
      <c r="E18" s="956"/>
      <c r="F18" s="956"/>
      <c r="G18" s="956"/>
      <c r="H18" s="956"/>
      <c r="I18" s="940"/>
      <c r="J18" s="940"/>
      <c r="K18" s="940"/>
      <c r="L18" s="940"/>
      <c r="M18" s="940"/>
      <c r="N18" s="940"/>
      <c r="O18" s="940"/>
      <c r="P18" s="940"/>
      <c r="Q18" s="940"/>
      <c r="R18" s="940"/>
      <c r="S18" s="941"/>
      <c r="T18" s="941"/>
      <c r="U18" s="83" t="s">
        <v>268</v>
      </c>
      <c r="V18" s="805"/>
      <c r="W18" s="805"/>
      <c r="X18" s="84"/>
      <c r="Y18" s="698"/>
      <c r="Z18" s="698"/>
      <c r="AA18" s="698"/>
      <c r="AB18" s="698"/>
      <c r="AC18" s="698"/>
      <c r="AD18" s="698"/>
      <c r="AE18" s="698"/>
      <c r="AF18" s="940"/>
      <c r="AG18" s="940"/>
      <c r="AH18" s="940"/>
      <c r="AI18" s="940"/>
      <c r="AJ18" s="940"/>
      <c r="AK18" s="940"/>
      <c r="AL18" s="940"/>
      <c r="AM18" s="940"/>
      <c r="AN18" s="940"/>
      <c r="AO18" s="940"/>
      <c r="AP18" s="941"/>
      <c r="AQ18" s="941"/>
      <c r="AR18" s="83" t="s">
        <v>268</v>
      </c>
      <c r="AS18" s="805"/>
      <c r="AT18" s="805"/>
      <c r="AU18" s="84"/>
      <c r="AW18" s="618"/>
      <c r="AX18" s="619"/>
      <c r="AY18" s="619"/>
      <c r="AZ18" s="619"/>
      <c r="BA18" s="619"/>
      <c r="BB18" s="619"/>
      <c r="BC18" s="619"/>
      <c r="BD18" s="619"/>
      <c r="BE18" s="619"/>
      <c r="BF18" s="619"/>
      <c r="BG18" s="619"/>
      <c r="BH18" s="619"/>
      <c r="BI18" s="619"/>
      <c r="BJ18" s="619"/>
      <c r="BK18" s="619"/>
      <c r="BL18" s="619"/>
      <c r="BM18" s="619"/>
      <c r="BN18" s="619"/>
      <c r="BO18" s="619"/>
      <c r="BP18" s="619"/>
      <c r="BQ18" s="619"/>
      <c r="BR18" s="620"/>
      <c r="BT18" s="940"/>
      <c r="BU18" s="940"/>
      <c r="BV18" s="940"/>
      <c r="BW18" s="940"/>
      <c r="BX18" s="940"/>
      <c r="BY18" s="940"/>
      <c r="BZ18" s="940"/>
      <c r="CA18" s="940"/>
      <c r="CB18" s="940"/>
      <c r="CC18" s="940"/>
      <c r="CD18" s="940"/>
      <c r="CE18" s="940"/>
      <c r="CF18" s="940"/>
      <c r="CG18" s="940"/>
      <c r="CH18" s="940"/>
      <c r="CI18" s="940"/>
      <c r="CJ18" s="940"/>
      <c r="CK18" s="940"/>
      <c r="CL18" s="940"/>
      <c r="CM18" s="940"/>
      <c r="CN18" s="940"/>
      <c r="CO18" s="940"/>
    </row>
    <row r="19" spans="2:93" ht="17" customHeight="1" x14ac:dyDescent="0.25">
      <c r="B19" s="949"/>
      <c r="C19" s="949"/>
      <c r="D19" s="949"/>
      <c r="E19" s="949"/>
      <c r="F19" s="949"/>
      <c r="G19" s="949"/>
      <c r="H19" s="949"/>
      <c r="I19" s="942"/>
      <c r="J19" s="942"/>
      <c r="K19" s="942"/>
      <c r="L19" s="942"/>
      <c r="M19" s="942"/>
      <c r="N19" s="942"/>
      <c r="O19" s="942"/>
      <c r="P19" s="942"/>
      <c r="Q19" s="942"/>
      <c r="R19" s="942"/>
      <c r="S19" s="947"/>
      <c r="T19" s="947"/>
      <c r="U19" s="83" t="s">
        <v>268</v>
      </c>
      <c r="V19" s="732"/>
      <c r="W19" s="732"/>
      <c r="X19" s="84"/>
      <c r="Y19" s="943"/>
      <c r="Z19" s="943"/>
      <c r="AA19" s="943"/>
      <c r="AB19" s="943"/>
      <c r="AC19" s="943"/>
      <c r="AD19" s="943"/>
      <c r="AE19" s="943"/>
      <c r="AF19" s="942"/>
      <c r="AG19" s="942"/>
      <c r="AH19" s="942"/>
      <c r="AI19" s="942"/>
      <c r="AJ19" s="942"/>
      <c r="AK19" s="942"/>
      <c r="AL19" s="942"/>
      <c r="AM19" s="942"/>
      <c r="AN19" s="942"/>
      <c r="AO19" s="942"/>
      <c r="AP19" s="947"/>
      <c r="AQ19" s="947"/>
      <c r="AR19" s="83" t="s">
        <v>268</v>
      </c>
      <c r="AS19" s="732"/>
      <c r="AT19" s="732"/>
      <c r="AU19" s="84"/>
      <c r="AW19" s="952"/>
      <c r="AX19" s="953"/>
      <c r="AY19" s="953"/>
      <c r="AZ19" s="953"/>
      <c r="BA19" s="953"/>
      <c r="BB19" s="953"/>
      <c r="BC19" s="953"/>
      <c r="BD19" s="953"/>
      <c r="BE19" s="953"/>
      <c r="BF19" s="953"/>
      <c r="BG19" s="953"/>
      <c r="BH19" s="953"/>
      <c r="BI19" s="953"/>
      <c r="BJ19" s="953"/>
      <c r="BK19" s="953"/>
      <c r="BL19" s="953"/>
      <c r="BM19" s="953"/>
      <c r="BN19" s="953"/>
      <c r="BO19" s="953"/>
      <c r="BP19" s="953"/>
      <c r="BQ19" s="953"/>
      <c r="BR19" s="954"/>
      <c r="BT19" s="942"/>
      <c r="BU19" s="942"/>
      <c r="BV19" s="942"/>
      <c r="BW19" s="942"/>
      <c r="BX19" s="942"/>
      <c r="BY19" s="942"/>
      <c r="BZ19" s="942"/>
      <c r="CA19" s="942"/>
      <c r="CB19" s="942"/>
      <c r="CC19" s="942"/>
      <c r="CD19" s="942"/>
      <c r="CE19" s="942"/>
      <c r="CF19" s="942"/>
      <c r="CG19" s="942"/>
      <c r="CH19" s="942"/>
      <c r="CI19" s="942"/>
      <c r="CJ19" s="942"/>
      <c r="CK19" s="942"/>
      <c r="CL19" s="942"/>
      <c r="CM19" s="942"/>
      <c r="CN19" s="942"/>
      <c r="CO19" s="942"/>
    </row>
    <row r="20" spans="2:93" ht="17" customHeight="1" x14ac:dyDescent="0.25">
      <c r="B20" s="956"/>
      <c r="C20" s="956"/>
      <c r="D20" s="956"/>
      <c r="E20" s="956"/>
      <c r="F20" s="956"/>
      <c r="G20" s="956"/>
      <c r="H20" s="956"/>
      <c r="I20" s="940"/>
      <c r="J20" s="940"/>
      <c r="K20" s="940"/>
      <c r="L20" s="940"/>
      <c r="M20" s="940"/>
      <c r="N20" s="940"/>
      <c r="O20" s="940"/>
      <c r="P20" s="940"/>
      <c r="Q20" s="940"/>
      <c r="R20" s="940"/>
      <c r="S20" s="941"/>
      <c r="T20" s="941"/>
      <c r="U20" s="83" t="s">
        <v>268</v>
      </c>
      <c r="V20" s="805"/>
      <c r="W20" s="805"/>
      <c r="X20" s="84"/>
      <c r="Y20" s="698"/>
      <c r="Z20" s="698"/>
      <c r="AA20" s="698"/>
      <c r="AB20" s="698"/>
      <c r="AC20" s="698"/>
      <c r="AD20" s="698"/>
      <c r="AE20" s="698"/>
      <c r="AF20" s="940"/>
      <c r="AG20" s="940"/>
      <c r="AH20" s="940"/>
      <c r="AI20" s="940"/>
      <c r="AJ20" s="940"/>
      <c r="AK20" s="940"/>
      <c r="AL20" s="940"/>
      <c r="AM20" s="940"/>
      <c r="AN20" s="940"/>
      <c r="AO20" s="940"/>
      <c r="AP20" s="941"/>
      <c r="AQ20" s="941"/>
      <c r="AR20" s="83" t="s">
        <v>268</v>
      </c>
      <c r="AS20" s="805"/>
      <c r="AT20" s="805"/>
      <c r="AU20" s="84"/>
      <c r="AW20" s="618"/>
      <c r="AX20" s="619"/>
      <c r="AY20" s="619"/>
      <c r="AZ20" s="619"/>
      <c r="BA20" s="619"/>
      <c r="BB20" s="619"/>
      <c r="BC20" s="619"/>
      <c r="BD20" s="619"/>
      <c r="BE20" s="619"/>
      <c r="BF20" s="619"/>
      <c r="BG20" s="619"/>
      <c r="BH20" s="619"/>
      <c r="BI20" s="619"/>
      <c r="BJ20" s="619"/>
      <c r="BK20" s="619"/>
      <c r="BL20" s="619"/>
      <c r="BM20" s="619"/>
      <c r="BN20" s="619"/>
      <c r="BO20" s="619"/>
      <c r="BP20" s="619"/>
      <c r="BQ20" s="619"/>
      <c r="BR20" s="620"/>
      <c r="BT20" s="940"/>
      <c r="BU20" s="940"/>
      <c r="BV20" s="940"/>
      <c r="BW20" s="940"/>
      <c r="BX20" s="940"/>
      <c r="BY20" s="940"/>
      <c r="BZ20" s="940"/>
      <c r="CA20" s="940"/>
      <c r="CB20" s="940"/>
      <c r="CC20" s="940"/>
      <c r="CD20" s="940"/>
      <c r="CE20" s="940"/>
      <c r="CF20" s="940"/>
      <c r="CG20" s="940"/>
      <c r="CH20" s="940"/>
      <c r="CI20" s="940"/>
      <c r="CJ20" s="940"/>
      <c r="CK20" s="940"/>
      <c r="CL20" s="940"/>
      <c r="CM20" s="940"/>
      <c r="CN20" s="940"/>
      <c r="CO20" s="940"/>
    </row>
    <row r="21" spans="2:93" ht="17" customHeight="1" x14ac:dyDescent="0.25">
      <c r="B21" s="944"/>
      <c r="C21" s="944"/>
      <c r="D21" s="944"/>
      <c r="E21" s="944"/>
      <c r="F21" s="944"/>
      <c r="G21" s="944"/>
      <c r="H21" s="944"/>
      <c r="I21" s="946"/>
      <c r="J21" s="946"/>
      <c r="K21" s="946"/>
      <c r="L21" s="946"/>
      <c r="M21" s="946"/>
      <c r="N21" s="946"/>
      <c r="O21" s="946"/>
      <c r="P21" s="946"/>
      <c r="Q21" s="946"/>
      <c r="R21" s="946"/>
      <c r="S21" s="947"/>
      <c r="T21" s="947"/>
      <c r="U21" s="83" t="s">
        <v>268</v>
      </c>
      <c r="V21" s="950"/>
      <c r="W21" s="950"/>
      <c r="X21" s="84"/>
      <c r="Y21" s="945"/>
      <c r="Z21" s="945"/>
      <c r="AA21" s="945"/>
      <c r="AB21" s="945"/>
      <c r="AC21" s="945"/>
      <c r="AD21" s="945"/>
      <c r="AE21" s="945"/>
      <c r="AF21" s="946"/>
      <c r="AG21" s="946"/>
      <c r="AH21" s="946"/>
      <c r="AI21" s="946"/>
      <c r="AJ21" s="946"/>
      <c r="AK21" s="946"/>
      <c r="AL21" s="946"/>
      <c r="AM21" s="946"/>
      <c r="AN21" s="946"/>
      <c r="AO21" s="946"/>
      <c r="AP21" s="947"/>
      <c r="AQ21" s="947"/>
      <c r="AR21" s="83" t="s">
        <v>268</v>
      </c>
      <c r="AS21" s="950"/>
      <c r="AT21" s="950"/>
      <c r="AU21" s="84"/>
      <c r="AW21" s="952"/>
      <c r="AX21" s="953"/>
      <c r="AY21" s="953"/>
      <c r="AZ21" s="953"/>
      <c r="BA21" s="953"/>
      <c r="BB21" s="953"/>
      <c r="BC21" s="953"/>
      <c r="BD21" s="953"/>
      <c r="BE21" s="953"/>
      <c r="BF21" s="953"/>
      <c r="BG21" s="953"/>
      <c r="BH21" s="953"/>
      <c r="BI21" s="953"/>
      <c r="BJ21" s="953"/>
      <c r="BK21" s="953"/>
      <c r="BL21" s="953"/>
      <c r="BM21" s="953"/>
      <c r="BN21" s="953"/>
      <c r="BO21" s="953"/>
      <c r="BP21" s="953"/>
      <c r="BQ21" s="953"/>
      <c r="BR21" s="954"/>
      <c r="BT21" s="942"/>
      <c r="BU21" s="942"/>
      <c r="BV21" s="942"/>
      <c r="BW21" s="942"/>
      <c r="BX21" s="942"/>
      <c r="BY21" s="942"/>
      <c r="BZ21" s="942"/>
      <c r="CA21" s="942"/>
      <c r="CB21" s="942"/>
      <c r="CC21" s="942"/>
      <c r="CD21" s="942"/>
      <c r="CE21" s="942"/>
      <c r="CF21" s="942"/>
      <c r="CG21" s="942"/>
      <c r="CH21" s="942"/>
      <c r="CI21" s="942"/>
      <c r="CJ21" s="942"/>
      <c r="CK21" s="942"/>
      <c r="CL21" s="942"/>
      <c r="CM21" s="942"/>
      <c r="CN21" s="942"/>
      <c r="CO21" s="942"/>
    </row>
    <row r="22" spans="2:93" ht="17" customHeight="1" x14ac:dyDescent="0.25">
      <c r="B22" s="956"/>
      <c r="C22" s="956"/>
      <c r="D22" s="956"/>
      <c r="E22" s="956"/>
      <c r="F22" s="956"/>
      <c r="G22" s="956"/>
      <c r="H22" s="956"/>
      <c r="I22" s="940"/>
      <c r="J22" s="940"/>
      <c r="K22" s="940"/>
      <c r="L22" s="940"/>
      <c r="M22" s="940"/>
      <c r="N22" s="940"/>
      <c r="O22" s="940"/>
      <c r="P22" s="940"/>
      <c r="Q22" s="940"/>
      <c r="R22" s="940"/>
      <c r="S22" s="941"/>
      <c r="T22" s="941"/>
      <c r="U22" s="83" t="s">
        <v>268</v>
      </c>
      <c r="V22" s="805"/>
      <c r="W22" s="805"/>
      <c r="X22" s="84"/>
      <c r="Y22" s="698"/>
      <c r="Z22" s="698"/>
      <c r="AA22" s="698"/>
      <c r="AB22" s="698"/>
      <c r="AC22" s="698"/>
      <c r="AD22" s="698"/>
      <c r="AE22" s="698"/>
      <c r="AF22" s="940"/>
      <c r="AG22" s="940"/>
      <c r="AH22" s="940"/>
      <c r="AI22" s="940"/>
      <c r="AJ22" s="940"/>
      <c r="AK22" s="940"/>
      <c r="AL22" s="940"/>
      <c r="AM22" s="940"/>
      <c r="AN22" s="940"/>
      <c r="AO22" s="940"/>
      <c r="AP22" s="941"/>
      <c r="AQ22" s="941"/>
      <c r="AR22" s="83" t="s">
        <v>268</v>
      </c>
      <c r="AS22" s="805"/>
      <c r="AT22" s="805"/>
      <c r="AU22" s="84"/>
      <c r="AW22" s="618"/>
      <c r="AX22" s="619"/>
      <c r="AY22" s="619"/>
      <c r="AZ22" s="619"/>
      <c r="BA22" s="619"/>
      <c r="BB22" s="619"/>
      <c r="BC22" s="619"/>
      <c r="BD22" s="619"/>
      <c r="BE22" s="619"/>
      <c r="BF22" s="619"/>
      <c r="BG22" s="619"/>
      <c r="BH22" s="619"/>
      <c r="BI22" s="619"/>
      <c r="BJ22" s="619"/>
      <c r="BK22" s="619"/>
      <c r="BL22" s="619"/>
      <c r="BM22" s="619"/>
      <c r="BN22" s="619"/>
      <c r="BO22" s="619"/>
      <c r="BP22" s="619"/>
      <c r="BQ22" s="619"/>
      <c r="BR22" s="620"/>
      <c r="BT22" s="940"/>
      <c r="BU22" s="940"/>
      <c r="BV22" s="940"/>
      <c r="BW22" s="940"/>
      <c r="BX22" s="940"/>
      <c r="BY22" s="940"/>
      <c r="BZ22" s="940"/>
      <c r="CA22" s="940"/>
      <c r="CB22" s="940"/>
      <c r="CC22" s="940"/>
      <c r="CD22" s="940"/>
      <c r="CE22" s="940"/>
      <c r="CF22" s="940"/>
      <c r="CG22" s="940"/>
      <c r="CH22" s="940"/>
      <c r="CI22" s="940"/>
      <c r="CJ22" s="940"/>
      <c r="CK22" s="940"/>
      <c r="CL22" s="940"/>
      <c r="CM22" s="940"/>
      <c r="CN22" s="940"/>
      <c r="CO22" s="940"/>
    </row>
    <row r="23" spans="2:93" ht="17" customHeight="1" x14ac:dyDescent="0.25">
      <c r="B23" s="949"/>
      <c r="C23" s="949"/>
      <c r="D23" s="949"/>
      <c r="E23" s="949"/>
      <c r="F23" s="949"/>
      <c r="G23" s="949"/>
      <c r="H23" s="949"/>
      <c r="I23" s="942"/>
      <c r="J23" s="942"/>
      <c r="K23" s="942"/>
      <c r="L23" s="942"/>
      <c r="M23" s="942"/>
      <c r="N23" s="942"/>
      <c r="O23" s="942"/>
      <c r="P23" s="942"/>
      <c r="Q23" s="942"/>
      <c r="R23" s="942"/>
      <c r="S23" s="947"/>
      <c r="T23" s="947"/>
      <c r="U23" s="83" t="s">
        <v>268</v>
      </c>
      <c r="V23" s="732"/>
      <c r="W23" s="732"/>
      <c r="X23" s="84"/>
      <c r="Y23" s="943"/>
      <c r="Z23" s="943"/>
      <c r="AA23" s="943"/>
      <c r="AB23" s="943"/>
      <c r="AC23" s="943"/>
      <c r="AD23" s="943"/>
      <c r="AE23" s="943"/>
      <c r="AF23" s="942"/>
      <c r="AG23" s="942"/>
      <c r="AH23" s="942"/>
      <c r="AI23" s="942"/>
      <c r="AJ23" s="942"/>
      <c r="AK23" s="942"/>
      <c r="AL23" s="942"/>
      <c r="AM23" s="942"/>
      <c r="AN23" s="942"/>
      <c r="AO23" s="942"/>
      <c r="AP23" s="947"/>
      <c r="AQ23" s="947"/>
      <c r="AR23" s="83" t="s">
        <v>268</v>
      </c>
      <c r="AS23" s="732"/>
      <c r="AT23" s="732"/>
      <c r="AU23" s="84"/>
      <c r="AW23" s="952"/>
      <c r="AX23" s="953"/>
      <c r="AY23" s="953"/>
      <c r="AZ23" s="953"/>
      <c r="BA23" s="953"/>
      <c r="BB23" s="953"/>
      <c r="BC23" s="953"/>
      <c r="BD23" s="953"/>
      <c r="BE23" s="953"/>
      <c r="BF23" s="953"/>
      <c r="BG23" s="953"/>
      <c r="BH23" s="953"/>
      <c r="BI23" s="953"/>
      <c r="BJ23" s="953"/>
      <c r="BK23" s="953"/>
      <c r="BL23" s="953"/>
      <c r="BM23" s="953"/>
      <c r="BN23" s="953"/>
      <c r="BO23" s="953"/>
      <c r="BP23" s="953"/>
      <c r="BQ23" s="953"/>
      <c r="BR23" s="954"/>
      <c r="BT23" s="942"/>
      <c r="BU23" s="942"/>
      <c r="BV23" s="942"/>
      <c r="BW23" s="942"/>
      <c r="BX23" s="942"/>
      <c r="BY23" s="942"/>
      <c r="BZ23" s="942"/>
      <c r="CA23" s="942"/>
      <c r="CB23" s="942"/>
      <c r="CC23" s="942"/>
      <c r="CD23" s="942"/>
      <c r="CE23" s="942"/>
      <c r="CF23" s="942"/>
      <c r="CG23" s="942"/>
      <c r="CH23" s="942"/>
      <c r="CI23" s="942"/>
      <c r="CJ23" s="942"/>
      <c r="CK23" s="942"/>
      <c r="CL23" s="942"/>
      <c r="CM23" s="942"/>
      <c r="CN23" s="942"/>
      <c r="CO23" s="942"/>
    </row>
    <row r="24" spans="2:93" ht="17" customHeight="1" x14ac:dyDescent="0.25">
      <c r="B24" s="956"/>
      <c r="C24" s="956"/>
      <c r="D24" s="956"/>
      <c r="E24" s="956"/>
      <c r="F24" s="956"/>
      <c r="G24" s="956"/>
      <c r="H24" s="956"/>
      <c r="I24" s="940"/>
      <c r="J24" s="940"/>
      <c r="K24" s="940"/>
      <c r="L24" s="940"/>
      <c r="M24" s="940"/>
      <c r="N24" s="940"/>
      <c r="O24" s="940"/>
      <c r="P24" s="940"/>
      <c r="Q24" s="940"/>
      <c r="R24" s="940"/>
      <c r="S24" s="941"/>
      <c r="T24" s="941"/>
      <c r="U24" s="83" t="s">
        <v>268</v>
      </c>
      <c r="V24" s="805"/>
      <c r="W24" s="805"/>
      <c r="X24" s="84"/>
      <c r="Y24" s="698"/>
      <c r="Z24" s="698"/>
      <c r="AA24" s="698"/>
      <c r="AB24" s="698"/>
      <c r="AC24" s="698"/>
      <c r="AD24" s="698"/>
      <c r="AE24" s="698"/>
      <c r="AF24" s="940"/>
      <c r="AG24" s="940"/>
      <c r="AH24" s="940"/>
      <c r="AI24" s="940"/>
      <c r="AJ24" s="940"/>
      <c r="AK24" s="940"/>
      <c r="AL24" s="940"/>
      <c r="AM24" s="940"/>
      <c r="AN24" s="940"/>
      <c r="AO24" s="940"/>
      <c r="AP24" s="941"/>
      <c r="AQ24" s="941"/>
      <c r="AR24" s="83" t="s">
        <v>268</v>
      </c>
      <c r="AS24" s="805"/>
      <c r="AT24" s="805"/>
      <c r="AU24" s="84"/>
      <c r="AW24" s="618"/>
      <c r="AX24" s="619"/>
      <c r="AY24" s="619"/>
      <c r="AZ24" s="619"/>
      <c r="BA24" s="619"/>
      <c r="BB24" s="619"/>
      <c r="BC24" s="619"/>
      <c r="BD24" s="619"/>
      <c r="BE24" s="619"/>
      <c r="BF24" s="619"/>
      <c r="BG24" s="619"/>
      <c r="BH24" s="619"/>
      <c r="BI24" s="619"/>
      <c r="BJ24" s="619"/>
      <c r="BK24" s="619"/>
      <c r="BL24" s="619"/>
      <c r="BM24" s="619"/>
      <c r="BN24" s="619"/>
      <c r="BO24" s="619"/>
      <c r="BP24" s="619"/>
      <c r="BQ24" s="619"/>
      <c r="BR24" s="620"/>
      <c r="BT24" s="940"/>
      <c r="BU24" s="940"/>
      <c r="BV24" s="940"/>
      <c r="BW24" s="940"/>
      <c r="BX24" s="940"/>
      <c r="BY24" s="940"/>
      <c r="BZ24" s="940"/>
      <c r="CA24" s="940"/>
      <c r="CB24" s="940"/>
      <c r="CC24" s="940"/>
      <c r="CD24" s="940"/>
      <c r="CE24" s="940"/>
      <c r="CF24" s="940"/>
      <c r="CG24" s="940"/>
      <c r="CH24" s="940"/>
      <c r="CI24" s="940"/>
      <c r="CJ24" s="940"/>
      <c r="CK24" s="940"/>
      <c r="CL24" s="940"/>
      <c r="CM24" s="940"/>
      <c r="CN24" s="940"/>
      <c r="CO24" s="940"/>
    </row>
    <row r="25" spans="2:93" ht="17" customHeight="1" x14ac:dyDescent="0.25">
      <c r="B25" s="949"/>
      <c r="C25" s="949"/>
      <c r="D25" s="949"/>
      <c r="E25" s="949"/>
      <c r="F25" s="949"/>
      <c r="G25" s="949"/>
      <c r="H25" s="949"/>
      <c r="I25" s="942"/>
      <c r="J25" s="942"/>
      <c r="K25" s="942"/>
      <c r="L25" s="942"/>
      <c r="M25" s="942"/>
      <c r="N25" s="942"/>
      <c r="O25" s="942"/>
      <c r="P25" s="942"/>
      <c r="Q25" s="942"/>
      <c r="R25" s="942"/>
      <c r="S25" s="947"/>
      <c r="T25" s="947"/>
      <c r="U25" s="83" t="s">
        <v>268</v>
      </c>
      <c r="V25" s="732"/>
      <c r="W25" s="732"/>
      <c r="X25" s="84"/>
      <c r="Y25" s="943"/>
      <c r="Z25" s="943"/>
      <c r="AA25" s="943"/>
      <c r="AB25" s="943"/>
      <c r="AC25" s="943"/>
      <c r="AD25" s="943"/>
      <c r="AE25" s="943"/>
      <c r="AF25" s="942"/>
      <c r="AG25" s="942"/>
      <c r="AH25" s="942"/>
      <c r="AI25" s="942"/>
      <c r="AJ25" s="942"/>
      <c r="AK25" s="942"/>
      <c r="AL25" s="942"/>
      <c r="AM25" s="942"/>
      <c r="AN25" s="942"/>
      <c r="AO25" s="942"/>
      <c r="AP25" s="947"/>
      <c r="AQ25" s="947"/>
      <c r="AR25" s="83" t="s">
        <v>268</v>
      </c>
      <c r="AS25" s="732"/>
      <c r="AT25" s="732"/>
      <c r="AU25" s="84"/>
      <c r="AW25" s="952"/>
      <c r="AX25" s="953"/>
      <c r="AY25" s="953"/>
      <c r="AZ25" s="953"/>
      <c r="BA25" s="953"/>
      <c r="BB25" s="953"/>
      <c r="BC25" s="953"/>
      <c r="BD25" s="953"/>
      <c r="BE25" s="953"/>
      <c r="BF25" s="953"/>
      <c r="BG25" s="953"/>
      <c r="BH25" s="953"/>
      <c r="BI25" s="953"/>
      <c r="BJ25" s="953"/>
      <c r="BK25" s="953"/>
      <c r="BL25" s="953"/>
      <c r="BM25" s="953"/>
      <c r="BN25" s="953"/>
      <c r="BO25" s="953"/>
      <c r="BP25" s="953"/>
      <c r="BQ25" s="953"/>
      <c r="BR25" s="954"/>
      <c r="BT25" s="942"/>
      <c r="BU25" s="942"/>
      <c r="BV25" s="942"/>
      <c r="BW25" s="942"/>
      <c r="BX25" s="942"/>
      <c r="BY25" s="942"/>
      <c r="BZ25" s="942"/>
      <c r="CA25" s="942"/>
      <c r="CB25" s="942"/>
      <c r="CC25" s="942"/>
      <c r="CD25" s="942"/>
      <c r="CE25" s="942"/>
      <c r="CF25" s="942"/>
      <c r="CG25" s="942"/>
      <c r="CH25" s="942"/>
      <c r="CI25" s="942"/>
      <c r="CJ25" s="942"/>
      <c r="CK25" s="942"/>
      <c r="CL25" s="942"/>
      <c r="CM25" s="942"/>
      <c r="CN25" s="942"/>
      <c r="CO25" s="942"/>
    </row>
    <row r="26" spans="2:93" ht="8" customHeight="1" x14ac:dyDescent="0.25">
      <c r="AS26" s="85"/>
      <c r="AT26" s="85"/>
    </row>
    <row r="27" spans="2:93" ht="17" customHeight="1" x14ac:dyDescent="0.25">
      <c r="B27" s="967" t="s">
        <v>269</v>
      </c>
      <c r="C27" s="968"/>
      <c r="D27" s="80"/>
      <c r="E27" s="81"/>
      <c r="F27" s="81"/>
      <c r="G27" s="81"/>
      <c r="H27" s="521" t="s">
        <v>199</v>
      </c>
      <c r="I27" s="521"/>
      <c r="J27" s="521"/>
      <c r="K27" s="521"/>
      <c r="L27" s="521"/>
      <c r="M27" s="521"/>
      <c r="N27" s="521"/>
      <c r="O27" s="521"/>
      <c r="P27" s="959" t="str">
        <f>IF(U27&gt;500,"超载","")</f>
        <v/>
      </c>
      <c r="Q27" s="959"/>
      <c r="R27" s="959"/>
      <c r="S27" s="959"/>
      <c r="T27" s="959"/>
      <c r="U27" s="960">
        <f>SUMPRODUCT(S29:T82,V29:W82)</f>
        <v>0</v>
      </c>
      <c r="V27" s="960"/>
      <c r="W27" s="961"/>
      <c r="Y27" s="967" t="s">
        <v>269</v>
      </c>
      <c r="Z27" s="968"/>
      <c r="AA27" s="80"/>
      <c r="AB27" s="81"/>
      <c r="AC27" s="81"/>
      <c r="AD27" s="81"/>
      <c r="AE27" s="521" t="s">
        <v>270</v>
      </c>
      <c r="AF27" s="521"/>
      <c r="AG27" s="521"/>
      <c r="AH27" s="521"/>
      <c r="AI27" s="521"/>
      <c r="AJ27" s="521"/>
      <c r="AK27" s="521"/>
      <c r="AL27" s="521"/>
      <c r="AM27" s="959" t="str">
        <f>IF(AR27&gt;120,"超载","")</f>
        <v/>
      </c>
      <c r="AN27" s="959"/>
      <c r="AO27" s="959"/>
      <c r="AP27" s="959"/>
      <c r="AQ27" s="959"/>
      <c r="AR27" s="960">
        <f>SUMPRODUCT(AP29:AQ82,AS29:AT82)</f>
        <v>0</v>
      </c>
      <c r="AS27" s="960"/>
      <c r="AT27" s="961"/>
    </row>
    <row r="28" spans="2:93" ht="17" customHeight="1" x14ac:dyDescent="0.3">
      <c r="B28" s="688" t="s">
        <v>109</v>
      </c>
      <c r="C28" s="688"/>
      <c r="D28" s="688"/>
      <c r="E28" s="688"/>
      <c r="F28" s="688"/>
      <c r="G28" s="688"/>
      <c r="H28" s="688"/>
      <c r="I28" s="688" t="s">
        <v>169</v>
      </c>
      <c r="J28" s="688"/>
      <c r="K28" s="688"/>
      <c r="L28" s="688"/>
      <c r="M28" s="688"/>
      <c r="N28" s="688"/>
      <c r="O28" s="688"/>
      <c r="P28" s="688"/>
      <c r="Q28" s="688"/>
      <c r="R28" s="688"/>
      <c r="S28" s="688" t="s">
        <v>111</v>
      </c>
      <c r="T28" s="688"/>
      <c r="U28" s="83"/>
      <c r="V28" s="688" t="s">
        <v>166</v>
      </c>
      <c r="W28" s="688"/>
      <c r="X28" s="83"/>
      <c r="Y28" s="688" t="s">
        <v>109</v>
      </c>
      <c r="Z28" s="688"/>
      <c r="AA28" s="688"/>
      <c r="AB28" s="688"/>
      <c r="AC28" s="688"/>
      <c r="AD28" s="688"/>
      <c r="AE28" s="688"/>
      <c r="AF28" s="688" t="s">
        <v>169</v>
      </c>
      <c r="AG28" s="688"/>
      <c r="AH28" s="688"/>
      <c r="AI28" s="688"/>
      <c r="AJ28" s="688"/>
      <c r="AK28" s="688"/>
      <c r="AL28" s="688"/>
      <c r="AM28" s="688"/>
      <c r="AN28" s="688"/>
      <c r="AO28" s="688"/>
      <c r="AP28" s="688" t="s">
        <v>111</v>
      </c>
      <c r="AQ28" s="688"/>
      <c r="AR28" s="83"/>
      <c r="AS28" s="688" t="s">
        <v>166</v>
      </c>
      <c r="AT28" s="688"/>
    </row>
    <row r="29" spans="2:93" ht="17" customHeight="1" x14ac:dyDescent="0.25">
      <c r="B29" s="698"/>
      <c r="C29" s="698"/>
      <c r="D29" s="698"/>
      <c r="E29" s="698"/>
      <c r="F29" s="698"/>
      <c r="G29" s="698"/>
      <c r="H29" s="698"/>
      <c r="I29" s="940"/>
      <c r="J29" s="940"/>
      <c r="K29" s="940"/>
      <c r="L29" s="940"/>
      <c r="M29" s="940"/>
      <c r="N29" s="940"/>
      <c r="O29" s="940"/>
      <c r="P29" s="940"/>
      <c r="Q29" s="940"/>
      <c r="R29" s="940"/>
      <c r="S29" s="941"/>
      <c r="T29" s="941"/>
      <c r="U29" s="83" t="s">
        <v>268</v>
      </c>
      <c r="V29" s="805"/>
      <c r="W29" s="805"/>
      <c r="Y29" s="698"/>
      <c r="Z29" s="698"/>
      <c r="AA29" s="698"/>
      <c r="AB29" s="698"/>
      <c r="AC29" s="698"/>
      <c r="AD29" s="698"/>
      <c r="AE29" s="698"/>
      <c r="AF29" s="940"/>
      <c r="AG29" s="940"/>
      <c r="AH29" s="940"/>
      <c r="AI29" s="940"/>
      <c r="AJ29" s="940"/>
      <c r="AK29" s="940"/>
      <c r="AL29" s="940"/>
      <c r="AM29" s="940"/>
      <c r="AN29" s="940"/>
      <c r="AO29" s="940"/>
      <c r="AP29" s="941"/>
      <c r="AQ29" s="941"/>
      <c r="AR29" s="83" t="s">
        <v>268</v>
      </c>
      <c r="AS29" s="805"/>
      <c r="AT29" s="805"/>
    </row>
    <row r="30" spans="2:93" ht="17" customHeight="1" x14ac:dyDescent="0.25">
      <c r="B30" s="943"/>
      <c r="C30" s="943"/>
      <c r="D30" s="943"/>
      <c r="E30" s="943"/>
      <c r="F30" s="943"/>
      <c r="G30" s="943"/>
      <c r="H30" s="943"/>
      <c r="I30" s="942"/>
      <c r="J30" s="942"/>
      <c r="K30" s="942"/>
      <c r="L30" s="942"/>
      <c r="M30" s="942"/>
      <c r="N30" s="942"/>
      <c r="O30" s="942"/>
      <c r="P30" s="942"/>
      <c r="Q30" s="942"/>
      <c r="R30" s="942"/>
      <c r="S30" s="947"/>
      <c r="T30" s="947"/>
      <c r="U30" s="83" t="s">
        <v>268</v>
      </c>
      <c r="V30" s="732"/>
      <c r="W30" s="732"/>
      <c r="Y30" s="943"/>
      <c r="Z30" s="943"/>
      <c r="AA30" s="943"/>
      <c r="AB30" s="943"/>
      <c r="AC30" s="943"/>
      <c r="AD30" s="943"/>
      <c r="AE30" s="943"/>
      <c r="AF30" s="942"/>
      <c r="AG30" s="942"/>
      <c r="AH30" s="942"/>
      <c r="AI30" s="942"/>
      <c r="AJ30" s="942"/>
      <c r="AK30" s="942"/>
      <c r="AL30" s="942"/>
      <c r="AM30" s="942"/>
      <c r="AN30" s="942"/>
      <c r="AO30" s="942"/>
      <c r="AP30" s="947"/>
      <c r="AQ30" s="947"/>
      <c r="AR30" s="83" t="s">
        <v>268</v>
      </c>
      <c r="AS30" s="732"/>
      <c r="AT30" s="732"/>
    </row>
    <row r="31" spans="2:93" ht="17" customHeight="1" x14ac:dyDescent="0.25">
      <c r="B31" s="698"/>
      <c r="C31" s="698"/>
      <c r="D31" s="698"/>
      <c r="E31" s="698"/>
      <c r="F31" s="698"/>
      <c r="G31" s="698"/>
      <c r="H31" s="698"/>
      <c r="I31" s="940"/>
      <c r="J31" s="940"/>
      <c r="K31" s="940"/>
      <c r="L31" s="940"/>
      <c r="M31" s="940"/>
      <c r="N31" s="940"/>
      <c r="O31" s="940"/>
      <c r="P31" s="940"/>
      <c r="Q31" s="940"/>
      <c r="R31" s="940"/>
      <c r="S31" s="941"/>
      <c r="T31" s="941"/>
      <c r="U31" s="83" t="s">
        <v>268</v>
      </c>
      <c r="V31" s="805"/>
      <c r="W31" s="805"/>
      <c r="Y31" s="698"/>
      <c r="Z31" s="698"/>
      <c r="AA31" s="698"/>
      <c r="AB31" s="698"/>
      <c r="AC31" s="698"/>
      <c r="AD31" s="698"/>
      <c r="AE31" s="698"/>
      <c r="AF31" s="940"/>
      <c r="AG31" s="940"/>
      <c r="AH31" s="940"/>
      <c r="AI31" s="940"/>
      <c r="AJ31" s="940"/>
      <c r="AK31" s="940"/>
      <c r="AL31" s="940"/>
      <c r="AM31" s="940"/>
      <c r="AN31" s="940"/>
      <c r="AO31" s="940"/>
      <c r="AP31" s="941"/>
      <c r="AQ31" s="941"/>
      <c r="AR31" s="83" t="s">
        <v>268</v>
      </c>
      <c r="AS31" s="805"/>
      <c r="AT31" s="805"/>
    </row>
    <row r="32" spans="2:93" ht="17" customHeight="1" x14ac:dyDescent="0.25">
      <c r="B32" s="943"/>
      <c r="C32" s="943"/>
      <c r="D32" s="943"/>
      <c r="E32" s="943"/>
      <c r="F32" s="943"/>
      <c r="G32" s="943"/>
      <c r="H32" s="943"/>
      <c r="I32" s="942"/>
      <c r="J32" s="942"/>
      <c r="K32" s="942"/>
      <c r="L32" s="942"/>
      <c r="M32" s="942"/>
      <c r="N32" s="942"/>
      <c r="O32" s="942"/>
      <c r="P32" s="942"/>
      <c r="Q32" s="942"/>
      <c r="R32" s="942"/>
      <c r="S32" s="947"/>
      <c r="T32" s="947"/>
      <c r="U32" s="83" t="s">
        <v>268</v>
      </c>
      <c r="V32" s="732"/>
      <c r="W32" s="732"/>
      <c r="Y32" s="943"/>
      <c r="Z32" s="943"/>
      <c r="AA32" s="943"/>
      <c r="AB32" s="943"/>
      <c r="AC32" s="943"/>
      <c r="AD32" s="943"/>
      <c r="AE32" s="943"/>
      <c r="AF32" s="942"/>
      <c r="AG32" s="942"/>
      <c r="AH32" s="942"/>
      <c r="AI32" s="942"/>
      <c r="AJ32" s="942"/>
      <c r="AK32" s="942"/>
      <c r="AL32" s="942"/>
      <c r="AM32" s="942"/>
      <c r="AN32" s="942"/>
      <c r="AO32" s="942"/>
      <c r="AP32" s="947"/>
      <c r="AQ32" s="947"/>
      <c r="AR32" s="83" t="s">
        <v>268</v>
      </c>
      <c r="AS32" s="732"/>
      <c r="AT32" s="732"/>
    </row>
    <row r="33" spans="2:46" ht="17" customHeight="1" x14ac:dyDescent="0.25">
      <c r="B33" s="698"/>
      <c r="C33" s="698"/>
      <c r="D33" s="698"/>
      <c r="E33" s="698"/>
      <c r="F33" s="698"/>
      <c r="G33" s="698"/>
      <c r="H33" s="698"/>
      <c r="I33" s="940"/>
      <c r="J33" s="940"/>
      <c r="K33" s="940"/>
      <c r="L33" s="940"/>
      <c r="M33" s="940"/>
      <c r="N33" s="940"/>
      <c r="O33" s="940"/>
      <c r="P33" s="940"/>
      <c r="Q33" s="940"/>
      <c r="R33" s="940"/>
      <c r="S33" s="941"/>
      <c r="T33" s="941"/>
      <c r="U33" s="83" t="s">
        <v>268</v>
      </c>
      <c r="V33" s="805"/>
      <c r="W33" s="805"/>
      <c r="Y33" s="698"/>
      <c r="Z33" s="698"/>
      <c r="AA33" s="698"/>
      <c r="AB33" s="698"/>
      <c r="AC33" s="698"/>
      <c r="AD33" s="698"/>
      <c r="AE33" s="698"/>
      <c r="AF33" s="940"/>
      <c r="AG33" s="940"/>
      <c r="AH33" s="940"/>
      <c r="AI33" s="940"/>
      <c r="AJ33" s="940"/>
      <c r="AK33" s="940"/>
      <c r="AL33" s="940"/>
      <c r="AM33" s="940"/>
      <c r="AN33" s="940"/>
      <c r="AO33" s="940"/>
      <c r="AP33" s="941"/>
      <c r="AQ33" s="941"/>
      <c r="AR33" s="83" t="s">
        <v>268</v>
      </c>
      <c r="AS33" s="805"/>
      <c r="AT33" s="805"/>
    </row>
    <row r="34" spans="2:46" ht="17" customHeight="1" x14ac:dyDescent="0.25">
      <c r="B34" s="945"/>
      <c r="C34" s="945"/>
      <c r="D34" s="945"/>
      <c r="E34" s="945"/>
      <c r="F34" s="945"/>
      <c r="G34" s="945"/>
      <c r="H34" s="945"/>
      <c r="I34" s="946"/>
      <c r="J34" s="946"/>
      <c r="K34" s="946"/>
      <c r="L34" s="946"/>
      <c r="M34" s="946"/>
      <c r="N34" s="946"/>
      <c r="O34" s="946"/>
      <c r="P34" s="946"/>
      <c r="Q34" s="946"/>
      <c r="R34" s="946"/>
      <c r="S34" s="947"/>
      <c r="T34" s="947"/>
      <c r="U34" s="83" t="s">
        <v>268</v>
      </c>
      <c r="V34" s="950"/>
      <c r="W34" s="950"/>
      <c r="Y34" s="945"/>
      <c r="Z34" s="945"/>
      <c r="AA34" s="945"/>
      <c r="AB34" s="945"/>
      <c r="AC34" s="945"/>
      <c r="AD34" s="945"/>
      <c r="AE34" s="945"/>
      <c r="AF34" s="946"/>
      <c r="AG34" s="946"/>
      <c r="AH34" s="946"/>
      <c r="AI34" s="946"/>
      <c r="AJ34" s="946"/>
      <c r="AK34" s="946"/>
      <c r="AL34" s="946"/>
      <c r="AM34" s="946"/>
      <c r="AN34" s="946"/>
      <c r="AO34" s="946"/>
      <c r="AP34" s="947"/>
      <c r="AQ34" s="947"/>
      <c r="AR34" s="83" t="s">
        <v>268</v>
      </c>
      <c r="AS34" s="950"/>
      <c r="AT34" s="950"/>
    </row>
    <row r="35" spans="2:46" ht="17" customHeight="1" x14ac:dyDescent="0.25">
      <c r="B35" s="698"/>
      <c r="C35" s="698"/>
      <c r="D35" s="698"/>
      <c r="E35" s="698"/>
      <c r="F35" s="698"/>
      <c r="G35" s="698"/>
      <c r="H35" s="698"/>
      <c r="I35" s="940"/>
      <c r="J35" s="940"/>
      <c r="K35" s="940"/>
      <c r="L35" s="940"/>
      <c r="M35" s="940"/>
      <c r="N35" s="940"/>
      <c r="O35" s="940"/>
      <c r="P35" s="940"/>
      <c r="Q35" s="940"/>
      <c r="R35" s="940"/>
      <c r="S35" s="941"/>
      <c r="T35" s="941"/>
      <c r="U35" s="83" t="s">
        <v>268</v>
      </c>
      <c r="V35" s="805"/>
      <c r="W35" s="805"/>
      <c r="Y35" s="698"/>
      <c r="Z35" s="698"/>
      <c r="AA35" s="698"/>
      <c r="AB35" s="698"/>
      <c r="AC35" s="698"/>
      <c r="AD35" s="698"/>
      <c r="AE35" s="698"/>
      <c r="AF35" s="940"/>
      <c r="AG35" s="940"/>
      <c r="AH35" s="940"/>
      <c r="AI35" s="940"/>
      <c r="AJ35" s="940"/>
      <c r="AK35" s="940"/>
      <c r="AL35" s="940"/>
      <c r="AM35" s="940"/>
      <c r="AN35" s="940"/>
      <c r="AO35" s="940"/>
      <c r="AP35" s="941"/>
      <c r="AQ35" s="941"/>
      <c r="AR35" s="83" t="s">
        <v>268</v>
      </c>
      <c r="AS35" s="805"/>
      <c r="AT35" s="805"/>
    </row>
    <row r="36" spans="2:46" ht="17" customHeight="1" x14ac:dyDescent="0.25">
      <c r="B36" s="943"/>
      <c r="C36" s="943"/>
      <c r="D36" s="943"/>
      <c r="E36" s="943"/>
      <c r="F36" s="943"/>
      <c r="G36" s="943"/>
      <c r="H36" s="943"/>
      <c r="I36" s="942"/>
      <c r="J36" s="942"/>
      <c r="K36" s="942"/>
      <c r="L36" s="942"/>
      <c r="M36" s="942"/>
      <c r="N36" s="942"/>
      <c r="O36" s="942"/>
      <c r="P36" s="942"/>
      <c r="Q36" s="942"/>
      <c r="R36" s="942"/>
      <c r="S36" s="947"/>
      <c r="T36" s="947"/>
      <c r="U36" s="83" t="s">
        <v>268</v>
      </c>
      <c r="V36" s="732"/>
      <c r="W36" s="732"/>
      <c r="Y36" s="943"/>
      <c r="Z36" s="943"/>
      <c r="AA36" s="943"/>
      <c r="AB36" s="943"/>
      <c r="AC36" s="943"/>
      <c r="AD36" s="943"/>
      <c r="AE36" s="943"/>
      <c r="AF36" s="942"/>
      <c r="AG36" s="942"/>
      <c r="AH36" s="942"/>
      <c r="AI36" s="942"/>
      <c r="AJ36" s="942"/>
      <c r="AK36" s="942"/>
      <c r="AL36" s="942"/>
      <c r="AM36" s="942"/>
      <c r="AN36" s="942"/>
      <c r="AO36" s="942"/>
      <c r="AP36" s="947"/>
      <c r="AQ36" s="947"/>
      <c r="AR36" s="83" t="s">
        <v>268</v>
      </c>
      <c r="AS36" s="732"/>
      <c r="AT36" s="732"/>
    </row>
    <row r="37" spans="2:46" ht="17" customHeight="1" x14ac:dyDescent="0.25">
      <c r="B37" s="698"/>
      <c r="C37" s="698"/>
      <c r="D37" s="698"/>
      <c r="E37" s="698"/>
      <c r="F37" s="698"/>
      <c r="G37" s="698"/>
      <c r="H37" s="698"/>
      <c r="I37" s="940"/>
      <c r="J37" s="940"/>
      <c r="K37" s="940"/>
      <c r="L37" s="940"/>
      <c r="M37" s="940"/>
      <c r="N37" s="940"/>
      <c r="O37" s="940"/>
      <c r="P37" s="940"/>
      <c r="Q37" s="940"/>
      <c r="R37" s="940"/>
      <c r="S37" s="941"/>
      <c r="T37" s="941"/>
      <c r="U37" s="83" t="s">
        <v>268</v>
      </c>
      <c r="V37" s="805"/>
      <c r="W37" s="805"/>
      <c r="Y37" s="698"/>
      <c r="Z37" s="698"/>
      <c r="AA37" s="698"/>
      <c r="AB37" s="698"/>
      <c r="AC37" s="698"/>
      <c r="AD37" s="698"/>
      <c r="AE37" s="698"/>
      <c r="AF37" s="940"/>
      <c r="AG37" s="940"/>
      <c r="AH37" s="940"/>
      <c r="AI37" s="940"/>
      <c r="AJ37" s="940"/>
      <c r="AK37" s="940"/>
      <c r="AL37" s="940"/>
      <c r="AM37" s="940"/>
      <c r="AN37" s="940"/>
      <c r="AO37" s="940"/>
      <c r="AP37" s="941"/>
      <c r="AQ37" s="941"/>
      <c r="AR37" s="83" t="s">
        <v>268</v>
      </c>
      <c r="AS37" s="805"/>
      <c r="AT37" s="805"/>
    </row>
    <row r="38" spans="2:46" ht="17" customHeight="1" x14ac:dyDescent="0.25">
      <c r="B38" s="943"/>
      <c r="C38" s="943"/>
      <c r="D38" s="943"/>
      <c r="E38" s="943"/>
      <c r="F38" s="943"/>
      <c r="G38" s="943"/>
      <c r="H38" s="943"/>
      <c r="I38" s="942"/>
      <c r="J38" s="942"/>
      <c r="K38" s="942"/>
      <c r="L38" s="942"/>
      <c r="M38" s="942"/>
      <c r="N38" s="942"/>
      <c r="O38" s="942"/>
      <c r="P38" s="942"/>
      <c r="Q38" s="942"/>
      <c r="R38" s="942"/>
      <c r="S38" s="947"/>
      <c r="T38" s="947"/>
      <c r="U38" s="83" t="s">
        <v>268</v>
      </c>
      <c r="V38" s="732"/>
      <c r="W38" s="732"/>
      <c r="Y38" s="943"/>
      <c r="Z38" s="943"/>
      <c r="AA38" s="943"/>
      <c r="AB38" s="943"/>
      <c r="AC38" s="943"/>
      <c r="AD38" s="943"/>
      <c r="AE38" s="943"/>
      <c r="AF38" s="942"/>
      <c r="AG38" s="942"/>
      <c r="AH38" s="942"/>
      <c r="AI38" s="942"/>
      <c r="AJ38" s="942"/>
      <c r="AK38" s="942"/>
      <c r="AL38" s="942"/>
      <c r="AM38" s="942"/>
      <c r="AN38" s="942"/>
      <c r="AO38" s="942"/>
      <c r="AP38" s="947"/>
      <c r="AQ38" s="947"/>
      <c r="AR38" s="83" t="s">
        <v>268</v>
      </c>
      <c r="AS38" s="732"/>
      <c r="AT38" s="732"/>
    </row>
    <row r="39" spans="2:46" ht="8" customHeight="1" x14ac:dyDescent="0.25">
      <c r="B39" s="3"/>
      <c r="C39" s="3"/>
      <c r="D39" s="3"/>
      <c r="E39" s="3"/>
      <c r="F39" s="3"/>
      <c r="G39" s="3"/>
      <c r="H39" s="3"/>
      <c r="I39" s="3"/>
      <c r="J39" s="3"/>
      <c r="K39" s="3"/>
      <c r="L39" s="3"/>
      <c r="M39" s="3"/>
      <c r="N39" s="3"/>
      <c r="O39" s="3"/>
      <c r="P39" s="3"/>
      <c r="Q39" s="3"/>
      <c r="R39" s="3"/>
      <c r="S39" s="69"/>
      <c r="T39" s="69"/>
      <c r="V39" s="69"/>
      <c r="W39" s="69"/>
      <c r="Y39" s="3"/>
      <c r="Z39" s="3"/>
      <c r="AA39" s="3"/>
      <c r="AB39" s="3"/>
      <c r="AC39" s="3"/>
      <c r="AD39" s="3"/>
      <c r="AE39" s="3"/>
      <c r="AF39" s="3"/>
      <c r="AG39" s="3"/>
      <c r="AH39" s="3"/>
      <c r="AI39" s="3"/>
      <c r="AJ39" s="3"/>
      <c r="AK39" s="3"/>
      <c r="AL39" s="3"/>
      <c r="AM39" s="3"/>
      <c r="AN39" s="3"/>
      <c r="AO39" s="3"/>
      <c r="AP39" s="69"/>
      <c r="AQ39" s="69"/>
      <c r="AS39" s="69"/>
      <c r="AT39" s="69"/>
    </row>
    <row r="40" spans="2:46" ht="17" customHeight="1" x14ac:dyDescent="0.25">
      <c r="B40" s="698"/>
      <c r="C40" s="698"/>
      <c r="D40" s="698"/>
      <c r="E40" s="698"/>
      <c r="F40" s="698"/>
      <c r="G40" s="698"/>
      <c r="H40" s="698"/>
      <c r="I40" s="940"/>
      <c r="J40" s="940"/>
      <c r="K40" s="940"/>
      <c r="L40" s="940"/>
      <c r="M40" s="940"/>
      <c r="N40" s="940"/>
      <c r="O40" s="940"/>
      <c r="P40" s="940"/>
      <c r="Q40" s="940"/>
      <c r="R40" s="940"/>
      <c r="S40" s="941"/>
      <c r="T40" s="941"/>
      <c r="U40" s="83" t="s">
        <v>268</v>
      </c>
      <c r="V40" s="805"/>
      <c r="W40" s="805"/>
      <c r="Y40" s="698"/>
      <c r="Z40" s="698"/>
      <c r="AA40" s="698"/>
      <c r="AB40" s="698"/>
      <c r="AC40" s="698"/>
      <c r="AD40" s="698"/>
      <c r="AE40" s="698"/>
      <c r="AF40" s="940"/>
      <c r="AG40" s="940"/>
      <c r="AH40" s="940"/>
      <c r="AI40" s="940"/>
      <c r="AJ40" s="940"/>
      <c r="AK40" s="940"/>
      <c r="AL40" s="940"/>
      <c r="AM40" s="940"/>
      <c r="AN40" s="940"/>
      <c r="AO40" s="940"/>
      <c r="AP40" s="941"/>
      <c r="AQ40" s="941"/>
      <c r="AR40" s="83" t="s">
        <v>268</v>
      </c>
      <c r="AS40" s="805"/>
      <c r="AT40" s="805"/>
    </row>
    <row r="41" spans="2:46" ht="17" customHeight="1" x14ac:dyDescent="0.25">
      <c r="B41" s="943"/>
      <c r="C41" s="943"/>
      <c r="D41" s="943"/>
      <c r="E41" s="943"/>
      <c r="F41" s="943"/>
      <c r="G41" s="943"/>
      <c r="H41" s="943"/>
      <c r="I41" s="942"/>
      <c r="J41" s="942"/>
      <c r="K41" s="942"/>
      <c r="L41" s="942"/>
      <c r="M41" s="942"/>
      <c r="N41" s="942"/>
      <c r="O41" s="942"/>
      <c r="P41" s="942"/>
      <c r="Q41" s="942"/>
      <c r="R41" s="942"/>
      <c r="S41" s="947"/>
      <c r="T41" s="947"/>
      <c r="U41" s="83" t="s">
        <v>268</v>
      </c>
      <c r="V41" s="732"/>
      <c r="W41" s="732"/>
      <c r="Y41" s="943"/>
      <c r="Z41" s="943"/>
      <c r="AA41" s="943"/>
      <c r="AB41" s="943"/>
      <c r="AC41" s="943"/>
      <c r="AD41" s="943"/>
      <c r="AE41" s="943"/>
      <c r="AF41" s="942"/>
      <c r="AG41" s="942"/>
      <c r="AH41" s="942"/>
      <c r="AI41" s="942"/>
      <c r="AJ41" s="942"/>
      <c r="AK41" s="942"/>
      <c r="AL41" s="942"/>
      <c r="AM41" s="942"/>
      <c r="AN41" s="942"/>
      <c r="AO41" s="942"/>
      <c r="AP41" s="947"/>
      <c r="AQ41" s="947"/>
      <c r="AR41" s="83" t="s">
        <v>268</v>
      </c>
      <c r="AS41" s="732"/>
      <c r="AT41" s="732"/>
    </row>
    <row r="42" spans="2:46" ht="17" customHeight="1" x14ac:dyDescent="0.25">
      <c r="B42" s="698"/>
      <c r="C42" s="698"/>
      <c r="D42" s="698"/>
      <c r="E42" s="698"/>
      <c r="F42" s="698"/>
      <c r="G42" s="698"/>
      <c r="H42" s="698"/>
      <c r="I42" s="940"/>
      <c r="J42" s="940"/>
      <c r="K42" s="940"/>
      <c r="L42" s="940"/>
      <c r="M42" s="940"/>
      <c r="N42" s="940"/>
      <c r="O42" s="940"/>
      <c r="P42" s="940"/>
      <c r="Q42" s="940"/>
      <c r="R42" s="940"/>
      <c r="S42" s="941"/>
      <c r="T42" s="941"/>
      <c r="U42" s="83" t="s">
        <v>268</v>
      </c>
      <c r="V42" s="805"/>
      <c r="W42" s="805"/>
      <c r="Y42" s="698"/>
      <c r="Z42" s="698"/>
      <c r="AA42" s="698"/>
      <c r="AB42" s="698"/>
      <c r="AC42" s="698"/>
      <c r="AD42" s="698"/>
      <c r="AE42" s="698"/>
      <c r="AF42" s="940"/>
      <c r="AG42" s="940"/>
      <c r="AH42" s="940"/>
      <c r="AI42" s="940"/>
      <c r="AJ42" s="940"/>
      <c r="AK42" s="940"/>
      <c r="AL42" s="940"/>
      <c r="AM42" s="940"/>
      <c r="AN42" s="940"/>
      <c r="AO42" s="940"/>
      <c r="AP42" s="941"/>
      <c r="AQ42" s="941"/>
      <c r="AR42" s="83" t="s">
        <v>268</v>
      </c>
      <c r="AS42" s="805"/>
      <c r="AT42" s="805"/>
    </row>
    <row r="43" spans="2:46" ht="17" customHeight="1" x14ac:dyDescent="0.25">
      <c r="B43" s="943"/>
      <c r="C43" s="943"/>
      <c r="D43" s="943"/>
      <c r="E43" s="943"/>
      <c r="F43" s="943"/>
      <c r="G43" s="943"/>
      <c r="H43" s="943"/>
      <c r="I43" s="942"/>
      <c r="J43" s="942"/>
      <c r="K43" s="942"/>
      <c r="L43" s="942"/>
      <c r="M43" s="942"/>
      <c r="N43" s="942"/>
      <c r="O43" s="942"/>
      <c r="P43" s="942"/>
      <c r="Q43" s="942"/>
      <c r="R43" s="942"/>
      <c r="S43" s="947"/>
      <c r="T43" s="947"/>
      <c r="U43" s="83" t="s">
        <v>268</v>
      </c>
      <c r="V43" s="732"/>
      <c r="W43" s="732"/>
      <c r="Y43" s="943"/>
      <c r="Z43" s="943"/>
      <c r="AA43" s="943"/>
      <c r="AB43" s="943"/>
      <c r="AC43" s="943"/>
      <c r="AD43" s="943"/>
      <c r="AE43" s="943"/>
      <c r="AF43" s="942"/>
      <c r="AG43" s="942"/>
      <c r="AH43" s="942"/>
      <c r="AI43" s="942"/>
      <c r="AJ43" s="942"/>
      <c r="AK43" s="942"/>
      <c r="AL43" s="942"/>
      <c r="AM43" s="942"/>
      <c r="AN43" s="942"/>
      <c r="AO43" s="942"/>
      <c r="AP43" s="947"/>
      <c r="AQ43" s="947"/>
      <c r="AR43" s="83" t="s">
        <v>268</v>
      </c>
      <c r="AS43" s="732"/>
      <c r="AT43" s="732"/>
    </row>
    <row r="44" spans="2:46" ht="17" customHeight="1" x14ac:dyDescent="0.25">
      <c r="B44" s="698"/>
      <c r="C44" s="698"/>
      <c r="D44" s="698"/>
      <c r="E44" s="698"/>
      <c r="F44" s="698"/>
      <c r="G44" s="698"/>
      <c r="H44" s="698"/>
      <c r="I44" s="940"/>
      <c r="J44" s="940"/>
      <c r="K44" s="940"/>
      <c r="L44" s="940"/>
      <c r="M44" s="940"/>
      <c r="N44" s="940"/>
      <c r="O44" s="940"/>
      <c r="P44" s="940"/>
      <c r="Q44" s="940"/>
      <c r="R44" s="940"/>
      <c r="S44" s="941"/>
      <c r="T44" s="941"/>
      <c r="U44" s="83" t="s">
        <v>268</v>
      </c>
      <c r="V44" s="805"/>
      <c r="W44" s="805"/>
      <c r="Y44" s="698"/>
      <c r="Z44" s="698"/>
      <c r="AA44" s="698"/>
      <c r="AB44" s="698"/>
      <c r="AC44" s="698"/>
      <c r="AD44" s="698"/>
      <c r="AE44" s="698"/>
      <c r="AF44" s="940"/>
      <c r="AG44" s="940"/>
      <c r="AH44" s="940"/>
      <c r="AI44" s="940"/>
      <c r="AJ44" s="940"/>
      <c r="AK44" s="940"/>
      <c r="AL44" s="940"/>
      <c r="AM44" s="940"/>
      <c r="AN44" s="940"/>
      <c r="AO44" s="940"/>
      <c r="AP44" s="941"/>
      <c r="AQ44" s="941"/>
      <c r="AR44" s="83" t="s">
        <v>268</v>
      </c>
      <c r="AS44" s="805"/>
      <c r="AT44" s="805"/>
    </row>
    <row r="45" spans="2:46" ht="17" customHeight="1" x14ac:dyDescent="0.25">
      <c r="B45" s="945"/>
      <c r="C45" s="945"/>
      <c r="D45" s="945"/>
      <c r="E45" s="945"/>
      <c r="F45" s="945"/>
      <c r="G45" s="945"/>
      <c r="H45" s="945"/>
      <c r="I45" s="946"/>
      <c r="J45" s="946"/>
      <c r="K45" s="946"/>
      <c r="L45" s="946"/>
      <c r="M45" s="946"/>
      <c r="N45" s="946"/>
      <c r="O45" s="946"/>
      <c r="P45" s="946"/>
      <c r="Q45" s="946"/>
      <c r="R45" s="946"/>
      <c r="S45" s="947"/>
      <c r="T45" s="947"/>
      <c r="U45" s="83" t="s">
        <v>268</v>
      </c>
      <c r="V45" s="950"/>
      <c r="W45" s="950"/>
      <c r="Y45" s="945"/>
      <c r="Z45" s="945"/>
      <c r="AA45" s="945"/>
      <c r="AB45" s="945"/>
      <c r="AC45" s="945"/>
      <c r="AD45" s="945"/>
      <c r="AE45" s="945"/>
      <c r="AF45" s="946"/>
      <c r="AG45" s="946"/>
      <c r="AH45" s="946"/>
      <c r="AI45" s="946"/>
      <c r="AJ45" s="946"/>
      <c r="AK45" s="946"/>
      <c r="AL45" s="946"/>
      <c r="AM45" s="946"/>
      <c r="AN45" s="946"/>
      <c r="AO45" s="946"/>
      <c r="AP45" s="947"/>
      <c r="AQ45" s="947"/>
      <c r="AR45" s="83" t="s">
        <v>268</v>
      </c>
      <c r="AS45" s="950"/>
      <c r="AT45" s="950"/>
    </row>
    <row r="46" spans="2:46" ht="17" customHeight="1" x14ac:dyDescent="0.25">
      <c r="B46" s="698"/>
      <c r="C46" s="698"/>
      <c r="D46" s="698"/>
      <c r="E46" s="698"/>
      <c r="F46" s="698"/>
      <c r="G46" s="698"/>
      <c r="H46" s="698"/>
      <c r="I46" s="940"/>
      <c r="J46" s="940"/>
      <c r="K46" s="940"/>
      <c r="L46" s="940"/>
      <c r="M46" s="940"/>
      <c r="N46" s="940"/>
      <c r="O46" s="940"/>
      <c r="P46" s="940"/>
      <c r="Q46" s="940"/>
      <c r="R46" s="940"/>
      <c r="S46" s="941"/>
      <c r="T46" s="941"/>
      <c r="U46" s="83" t="s">
        <v>268</v>
      </c>
      <c r="V46" s="805"/>
      <c r="W46" s="805"/>
      <c r="Y46" s="698"/>
      <c r="Z46" s="698"/>
      <c r="AA46" s="698"/>
      <c r="AB46" s="698"/>
      <c r="AC46" s="698"/>
      <c r="AD46" s="698"/>
      <c r="AE46" s="698"/>
      <c r="AF46" s="940"/>
      <c r="AG46" s="940"/>
      <c r="AH46" s="940"/>
      <c r="AI46" s="940"/>
      <c r="AJ46" s="940"/>
      <c r="AK46" s="940"/>
      <c r="AL46" s="940"/>
      <c r="AM46" s="940"/>
      <c r="AN46" s="940"/>
      <c r="AO46" s="940"/>
      <c r="AP46" s="941"/>
      <c r="AQ46" s="941"/>
      <c r="AR46" s="83" t="s">
        <v>268</v>
      </c>
      <c r="AS46" s="805"/>
      <c r="AT46" s="805"/>
    </row>
    <row r="47" spans="2:46" ht="17" customHeight="1" x14ac:dyDescent="0.25">
      <c r="B47" s="943"/>
      <c r="C47" s="943"/>
      <c r="D47" s="943"/>
      <c r="E47" s="943"/>
      <c r="F47" s="943"/>
      <c r="G47" s="943"/>
      <c r="H47" s="943"/>
      <c r="I47" s="942"/>
      <c r="J47" s="942"/>
      <c r="K47" s="942"/>
      <c r="L47" s="942"/>
      <c r="M47" s="942"/>
      <c r="N47" s="942"/>
      <c r="O47" s="942"/>
      <c r="P47" s="942"/>
      <c r="Q47" s="942"/>
      <c r="R47" s="942"/>
      <c r="S47" s="947"/>
      <c r="T47" s="947"/>
      <c r="U47" s="83" t="s">
        <v>268</v>
      </c>
      <c r="V47" s="732"/>
      <c r="W47" s="732"/>
      <c r="Y47" s="943"/>
      <c r="Z47" s="943"/>
      <c r="AA47" s="943"/>
      <c r="AB47" s="943"/>
      <c r="AC47" s="943"/>
      <c r="AD47" s="943"/>
      <c r="AE47" s="943"/>
      <c r="AF47" s="942"/>
      <c r="AG47" s="942"/>
      <c r="AH47" s="942"/>
      <c r="AI47" s="942"/>
      <c r="AJ47" s="942"/>
      <c r="AK47" s="942"/>
      <c r="AL47" s="942"/>
      <c r="AM47" s="942"/>
      <c r="AN47" s="942"/>
      <c r="AO47" s="942"/>
      <c r="AP47" s="947"/>
      <c r="AQ47" s="947"/>
      <c r="AR47" s="83" t="s">
        <v>268</v>
      </c>
      <c r="AS47" s="732"/>
      <c r="AT47" s="732"/>
    </row>
    <row r="48" spans="2:46" ht="17" customHeight="1" x14ac:dyDescent="0.25">
      <c r="B48" s="698"/>
      <c r="C48" s="698"/>
      <c r="D48" s="698"/>
      <c r="E48" s="698"/>
      <c r="F48" s="698"/>
      <c r="G48" s="698"/>
      <c r="H48" s="698"/>
      <c r="I48" s="940"/>
      <c r="J48" s="940"/>
      <c r="K48" s="940"/>
      <c r="L48" s="940"/>
      <c r="M48" s="940"/>
      <c r="N48" s="940"/>
      <c r="O48" s="940"/>
      <c r="P48" s="940"/>
      <c r="Q48" s="940"/>
      <c r="R48" s="940"/>
      <c r="S48" s="941"/>
      <c r="T48" s="941"/>
      <c r="U48" s="83" t="s">
        <v>268</v>
      </c>
      <c r="V48" s="805"/>
      <c r="W48" s="805"/>
      <c r="Y48" s="698"/>
      <c r="Z48" s="698"/>
      <c r="AA48" s="698"/>
      <c r="AB48" s="698"/>
      <c r="AC48" s="698"/>
      <c r="AD48" s="698"/>
      <c r="AE48" s="698"/>
      <c r="AF48" s="940"/>
      <c r="AG48" s="940"/>
      <c r="AH48" s="940"/>
      <c r="AI48" s="940"/>
      <c r="AJ48" s="940"/>
      <c r="AK48" s="940"/>
      <c r="AL48" s="940"/>
      <c r="AM48" s="940"/>
      <c r="AN48" s="940"/>
      <c r="AO48" s="940"/>
      <c r="AP48" s="941"/>
      <c r="AQ48" s="941"/>
      <c r="AR48" s="83" t="s">
        <v>268</v>
      </c>
      <c r="AS48" s="805"/>
      <c r="AT48" s="805"/>
    </row>
    <row r="49" spans="2:46" ht="17" customHeight="1" x14ac:dyDescent="0.25">
      <c r="B49" s="943"/>
      <c r="C49" s="943"/>
      <c r="D49" s="943"/>
      <c r="E49" s="943"/>
      <c r="F49" s="943"/>
      <c r="G49" s="943"/>
      <c r="H49" s="943"/>
      <c r="I49" s="942"/>
      <c r="J49" s="942"/>
      <c r="K49" s="942"/>
      <c r="L49" s="942"/>
      <c r="M49" s="942"/>
      <c r="N49" s="942"/>
      <c r="O49" s="942"/>
      <c r="P49" s="942"/>
      <c r="Q49" s="942"/>
      <c r="R49" s="942"/>
      <c r="S49" s="947"/>
      <c r="T49" s="947"/>
      <c r="U49" s="83" t="s">
        <v>268</v>
      </c>
      <c r="V49" s="732"/>
      <c r="W49" s="732"/>
      <c r="Y49" s="943"/>
      <c r="Z49" s="943"/>
      <c r="AA49" s="943"/>
      <c r="AB49" s="943"/>
      <c r="AC49" s="943"/>
      <c r="AD49" s="943"/>
      <c r="AE49" s="943"/>
      <c r="AF49" s="942"/>
      <c r="AG49" s="942"/>
      <c r="AH49" s="942"/>
      <c r="AI49" s="942"/>
      <c r="AJ49" s="942"/>
      <c r="AK49" s="942"/>
      <c r="AL49" s="942"/>
      <c r="AM49" s="942"/>
      <c r="AN49" s="942"/>
      <c r="AO49" s="942"/>
      <c r="AP49" s="947"/>
      <c r="AQ49" s="947"/>
      <c r="AR49" s="83" t="s">
        <v>268</v>
      </c>
      <c r="AS49" s="732"/>
      <c r="AT49" s="732"/>
    </row>
    <row r="50" spans="2:46" ht="8" customHeight="1" x14ac:dyDescent="0.25">
      <c r="B50" s="3"/>
      <c r="C50" s="3"/>
      <c r="D50" s="3"/>
      <c r="E50" s="3"/>
      <c r="F50" s="3"/>
      <c r="G50" s="3"/>
      <c r="H50" s="3"/>
      <c r="I50" s="3"/>
      <c r="J50" s="3"/>
      <c r="K50" s="3"/>
      <c r="L50" s="3"/>
      <c r="M50" s="3"/>
      <c r="N50" s="3"/>
      <c r="O50" s="3"/>
      <c r="P50" s="3"/>
      <c r="Q50" s="3"/>
      <c r="R50" s="3"/>
      <c r="S50" s="69"/>
      <c r="T50" s="69"/>
      <c r="V50" s="69"/>
      <c r="W50" s="69"/>
      <c r="Y50" s="3"/>
      <c r="Z50" s="3"/>
      <c r="AA50" s="3"/>
      <c r="AB50" s="3"/>
      <c r="AC50" s="3"/>
      <c r="AD50" s="3"/>
      <c r="AE50" s="3"/>
      <c r="AF50" s="3"/>
      <c r="AG50" s="3"/>
      <c r="AH50" s="3"/>
      <c r="AI50" s="3"/>
      <c r="AJ50" s="3"/>
      <c r="AK50" s="3"/>
      <c r="AL50" s="3"/>
      <c r="AM50" s="3"/>
      <c r="AN50" s="3"/>
      <c r="AO50" s="3"/>
      <c r="AP50" s="69"/>
      <c r="AQ50" s="69"/>
      <c r="AS50" s="69"/>
      <c r="AT50" s="69"/>
    </row>
    <row r="51" spans="2:46" ht="17" customHeight="1" x14ac:dyDescent="0.25">
      <c r="B51" s="698"/>
      <c r="C51" s="698"/>
      <c r="D51" s="698"/>
      <c r="E51" s="698"/>
      <c r="F51" s="698"/>
      <c r="G51" s="698"/>
      <c r="H51" s="698"/>
      <c r="I51" s="940"/>
      <c r="J51" s="940"/>
      <c r="K51" s="940"/>
      <c r="L51" s="940"/>
      <c r="M51" s="940"/>
      <c r="N51" s="940"/>
      <c r="O51" s="940"/>
      <c r="P51" s="940"/>
      <c r="Q51" s="940"/>
      <c r="R51" s="940"/>
      <c r="S51" s="941"/>
      <c r="T51" s="941"/>
      <c r="U51" s="83" t="s">
        <v>268</v>
      </c>
      <c r="V51" s="805"/>
      <c r="W51" s="805"/>
      <c r="Y51" s="698"/>
      <c r="Z51" s="698"/>
      <c r="AA51" s="698"/>
      <c r="AB51" s="698"/>
      <c r="AC51" s="698"/>
      <c r="AD51" s="698"/>
      <c r="AE51" s="698"/>
      <c r="AF51" s="940"/>
      <c r="AG51" s="940"/>
      <c r="AH51" s="940"/>
      <c r="AI51" s="940"/>
      <c r="AJ51" s="940"/>
      <c r="AK51" s="940"/>
      <c r="AL51" s="940"/>
      <c r="AM51" s="940"/>
      <c r="AN51" s="940"/>
      <c r="AO51" s="940"/>
      <c r="AP51" s="941"/>
      <c r="AQ51" s="941"/>
      <c r="AR51" s="83" t="s">
        <v>268</v>
      </c>
      <c r="AS51" s="805"/>
      <c r="AT51" s="805"/>
    </row>
    <row r="52" spans="2:46" ht="17" customHeight="1" x14ac:dyDescent="0.25">
      <c r="B52" s="943"/>
      <c r="C52" s="943"/>
      <c r="D52" s="943"/>
      <c r="E52" s="943"/>
      <c r="F52" s="943"/>
      <c r="G52" s="943"/>
      <c r="H52" s="943"/>
      <c r="I52" s="942"/>
      <c r="J52" s="942"/>
      <c r="K52" s="942"/>
      <c r="L52" s="942"/>
      <c r="M52" s="942"/>
      <c r="N52" s="942"/>
      <c r="O52" s="942"/>
      <c r="P52" s="942"/>
      <c r="Q52" s="942"/>
      <c r="R52" s="942"/>
      <c r="S52" s="947"/>
      <c r="T52" s="947"/>
      <c r="U52" s="83" t="s">
        <v>268</v>
      </c>
      <c r="V52" s="732"/>
      <c r="W52" s="732"/>
      <c r="Y52" s="943"/>
      <c r="Z52" s="943"/>
      <c r="AA52" s="943"/>
      <c r="AB52" s="943"/>
      <c r="AC52" s="943"/>
      <c r="AD52" s="943"/>
      <c r="AE52" s="943"/>
      <c r="AF52" s="942"/>
      <c r="AG52" s="942"/>
      <c r="AH52" s="942"/>
      <c r="AI52" s="942"/>
      <c r="AJ52" s="942"/>
      <c r="AK52" s="942"/>
      <c r="AL52" s="942"/>
      <c r="AM52" s="942"/>
      <c r="AN52" s="942"/>
      <c r="AO52" s="942"/>
      <c r="AP52" s="947"/>
      <c r="AQ52" s="947"/>
      <c r="AR52" s="83" t="s">
        <v>268</v>
      </c>
      <c r="AS52" s="732"/>
      <c r="AT52" s="732"/>
    </row>
    <row r="53" spans="2:46" ht="17" customHeight="1" x14ac:dyDescent="0.25">
      <c r="B53" s="698"/>
      <c r="C53" s="698"/>
      <c r="D53" s="698"/>
      <c r="E53" s="698"/>
      <c r="F53" s="698"/>
      <c r="G53" s="698"/>
      <c r="H53" s="698"/>
      <c r="I53" s="940"/>
      <c r="J53" s="940"/>
      <c r="K53" s="940"/>
      <c r="L53" s="940"/>
      <c r="M53" s="940"/>
      <c r="N53" s="940"/>
      <c r="O53" s="940"/>
      <c r="P53" s="940"/>
      <c r="Q53" s="940"/>
      <c r="R53" s="940"/>
      <c r="S53" s="941"/>
      <c r="T53" s="941"/>
      <c r="U53" s="83" t="s">
        <v>268</v>
      </c>
      <c r="V53" s="805"/>
      <c r="W53" s="805"/>
      <c r="Y53" s="698"/>
      <c r="Z53" s="698"/>
      <c r="AA53" s="698"/>
      <c r="AB53" s="698"/>
      <c r="AC53" s="698"/>
      <c r="AD53" s="698"/>
      <c r="AE53" s="698"/>
      <c r="AF53" s="940"/>
      <c r="AG53" s="940"/>
      <c r="AH53" s="940"/>
      <c r="AI53" s="940"/>
      <c r="AJ53" s="940"/>
      <c r="AK53" s="940"/>
      <c r="AL53" s="940"/>
      <c r="AM53" s="940"/>
      <c r="AN53" s="940"/>
      <c r="AO53" s="940"/>
      <c r="AP53" s="941"/>
      <c r="AQ53" s="941"/>
      <c r="AR53" s="83" t="s">
        <v>268</v>
      </c>
      <c r="AS53" s="805"/>
      <c r="AT53" s="805"/>
    </row>
    <row r="54" spans="2:46" ht="17" customHeight="1" x14ac:dyDescent="0.25">
      <c r="B54" s="943"/>
      <c r="C54" s="943"/>
      <c r="D54" s="943"/>
      <c r="E54" s="943"/>
      <c r="F54" s="943"/>
      <c r="G54" s="943"/>
      <c r="H54" s="943"/>
      <c r="I54" s="942"/>
      <c r="J54" s="942"/>
      <c r="K54" s="942"/>
      <c r="L54" s="942"/>
      <c r="M54" s="942"/>
      <c r="N54" s="942"/>
      <c r="O54" s="942"/>
      <c r="P54" s="942"/>
      <c r="Q54" s="942"/>
      <c r="R54" s="942"/>
      <c r="S54" s="947"/>
      <c r="T54" s="947"/>
      <c r="U54" s="83" t="s">
        <v>268</v>
      </c>
      <c r="V54" s="732"/>
      <c r="W54" s="732"/>
      <c r="Y54" s="943"/>
      <c r="Z54" s="943"/>
      <c r="AA54" s="943"/>
      <c r="AB54" s="943"/>
      <c r="AC54" s="943"/>
      <c r="AD54" s="943"/>
      <c r="AE54" s="943"/>
      <c r="AF54" s="942"/>
      <c r="AG54" s="942"/>
      <c r="AH54" s="942"/>
      <c r="AI54" s="942"/>
      <c r="AJ54" s="942"/>
      <c r="AK54" s="942"/>
      <c r="AL54" s="942"/>
      <c r="AM54" s="942"/>
      <c r="AN54" s="942"/>
      <c r="AO54" s="942"/>
      <c r="AP54" s="947"/>
      <c r="AQ54" s="947"/>
      <c r="AR54" s="83" t="s">
        <v>268</v>
      </c>
      <c r="AS54" s="732"/>
      <c r="AT54" s="732"/>
    </row>
    <row r="55" spans="2:46" ht="17" customHeight="1" x14ac:dyDescent="0.25">
      <c r="B55" s="698"/>
      <c r="C55" s="698"/>
      <c r="D55" s="698"/>
      <c r="E55" s="698"/>
      <c r="F55" s="698"/>
      <c r="G55" s="698"/>
      <c r="H55" s="698"/>
      <c r="I55" s="940"/>
      <c r="J55" s="940"/>
      <c r="K55" s="940"/>
      <c r="L55" s="940"/>
      <c r="M55" s="940"/>
      <c r="N55" s="940"/>
      <c r="O55" s="940"/>
      <c r="P55" s="940"/>
      <c r="Q55" s="940"/>
      <c r="R55" s="940"/>
      <c r="S55" s="941"/>
      <c r="T55" s="941"/>
      <c r="U55" s="83" t="s">
        <v>268</v>
      </c>
      <c r="V55" s="805"/>
      <c r="W55" s="805"/>
      <c r="Y55" s="698"/>
      <c r="Z55" s="698"/>
      <c r="AA55" s="698"/>
      <c r="AB55" s="698"/>
      <c r="AC55" s="698"/>
      <c r="AD55" s="698"/>
      <c r="AE55" s="698"/>
      <c r="AF55" s="940"/>
      <c r="AG55" s="940"/>
      <c r="AH55" s="940"/>
      <c r="AI55" s="940"/>
      <c r="AJ55" s="940"/>
      <c r="AK55" s="940"/>
      <c r="AL55" s="940"/>
      <c r="AM55" s="940"/>
      <c r="AN55" s="940"/>
      <c r="AO55" s="940"/>
      <c r="AP55" s="941"/>
      <c r="AQ55" s="941"/>
      <c r="AR55" s="83" t="s">
        <v>268</v>
      </c>
      <c r="AS55" s="805"/>
      <c r="AT55" s="805"/>
    </row>
    <row r="56" spans="2:46" ht="17" customHeight="1" x14ac:dyDescent="0.25">
      <c r="B56" s="945"/>
      <c r="C56" s="945"/>
      <c r="D56" s="945"/>
      <c r="E56" s="945"/>
      <c r="F56" s="945"/>
      <c r="G56" s="945"/>
      <c r="H56" s="945"/>
      <c r="I56" s="946"/>
      <c r="J56" s="946"/>
      <c r="K56" s="946"/>
      <c r="L56" s="946"/>
      <c r="M56" s="946"/>
      <c r="N56" s="946"/>
      <c r="O56" s="946"/>
      <c r="P56" s="946"/>
      <c r="Q56" s="946"/>
      <c r="R56" s="946"/>
      <c r="S56" s="947"/>
      <c r="T56" s="947"/>
      <c r="U56" s="83" t="s">
        <v>268</v>
      </c>
      <c r="V56" s="950"/>
      <c r="W56" s="950"/>
      <c r="Y56" s="945"/>
      <c r="Z56" s="945"/>
      <c r="AA56" s="945"/>
      <c r="AB56" s="945"/>
      <c r="AC56" s="945"/>
      <c r="AD56" s="945"/>
      <c r="AE56" s="945"/>
      <c r="AF56" s="946"/>
      <c r="AG56" s="946"/>
      <c r="AH56" s="946"/>
      <c r="AI56" s="946"/>
      <c r="AJ56" s="946"/>
      <c r="AK56" s="946"/>
      <c r="AL56" s="946"/>
      <c r="AM56" s="946"/>
      <c r="AN56" s="946"/>
      <c r="AO56" s="946"/>
      <c r="AP56" s="947"/>
      <c r="AQ56" s="947"/>
      <c r="AR56" s="83" t="s">
        <v>268</v>
      </c>
      <c r="AS56" s="950"/>
      <c r="AT56" s="950"/>
    </row>
    <row r="57" spans="2:46" ht="17" customHeight="1" x14ac:dyDescent="0.25">
      <c r="B57" s="698"/>
      <c r="C57" s="698"/>
      <c r="D57" s="698"/>
      <c r="E57" s="698"/>
      <c r="F57" s="698"/>
      <c r="G57" s="698"/>
      <c r="H57" s="698"/>
      <c r="I57" s="940"/>
      <c r="J57" s="940"/>
      <c r="K57" s="940"/>
      <c r="L57" s="940"/>
      <c r="M57" s="940"/>
      <c r="N57" s="940"/>
      <c r="O57" s="940"/>
      <c r="P57" s="940"/>
      <c r="Q57" s="940"/>
      <c r="R57" s="940"/>
      <c r="S57" s="941"/>
      <c r="T57" s="941"/>
      <c r="U57" s="83" t="s">
        <v>268</v>
      </c>
      <c r="V57" s="805"/>
      <c r="W57" s="805"/>
      <c r="Y57" s="698"/>
      <c r="Z57" s="698"/>
      <c r="AA57" s="698"/>
      <c r="AB57" s="698"/>
      <c r="AC57" s="698"/>
      <c r="AD57" s="698"/>
      <c r="AE57" s="698"/>
      <c r="AF57" s="940"/>
      <c r="AG57" s="940"/>
      <c r="AH57" s="940"/>
      <c r="AI57" s="940"/>
      <c r="AJ57" s="940"/>
      <c r="AK57" s="940"/>
      <c r="AL57" s="940"/>
      <c r="AM57" s="940"/>
      <c r="AN57" s="940"/>
      <c r="AO57" s="940"/>
      <c r="AP57" s="941"/>
      <c r="AQ57" s="941"/>
      <c r="AR57" s="83" t="s">
        <v>268</v>
      </c>
      <c r="AS57" s="805"/>
      <c r="AT57" s="805"/>
    </row>
    <row r="58" spans="2:46" ht="17" customHeight="1" x14ac:dyDescent="0.25">
      <c r="B58" s="943"/>
      <c r="C58" s="943"/>
      <c r="D58" s="943"/>
      <c r="E58" s="943"/>
      <c r="F58" s="943"/>
      <c r="G58" s="943"/>
      <c r="H58" s="943"/>
      <c r="I58" s="942"/>
      <c r="J58" s="942"/>
      <c r="K58" s="942"/>
      <c r="L58" s="942"/>
      <c r="M58" s="942"/>
      <c r="N58" s="942"/>
      <c r="O58" s="942"/>
      <c r="P58" s="942"/>
      <c r="Q58" s="942"/>
      <c r="R58" s="942"/>
      <c r="S58" s="947"/>
      <c r="T58" s="947"/>
      <c r="U58" s="83" t="s">
        <v>268</v>
      </c>
      <c r="V58" s="732"/>
      <c r="W58" s="732"/>
      <c r="Y58" s="943"/>
      <c r="Z58" s="943"/>
      <c r="AA58" s="943"/>
      <c r="AB58" s="943"/>
      <c r="AC58" s="943"/>
      <c r="AD58" s="943"/>
      <c r="AE58" s="943"/>
      <c r="AF58" s="942"/>
      <c r="AG58" s="942"/>
      <c r="AH58" s="942"/>
      <c r="AI58" s="942"/>
      <c r="AJ58" s="942"/>
      <c r="AK58" s="942"/>
      <c r="AL58" s="942"/>
      <c r="AM58" s="942"/>
      <c r="AN58" s="942"/>
      <c r="AO58" s="942"/>
      <c r="AP58" s="947"/>
      <c r="AQ58" s="947"/>
      <c r="AR58" s="83" t="s">
        <v>268</v>
      </c>
      <c r="AS58" s="732"/>
      <c r="AT58" s="732"/>
    </row>
    <row r="59" spans="2:46" ht="17" customHeight="1" x14ac:dyDescent="0.25">
      <c r="B59" s="698"/>
      <c r="C59" s="698"/>
      <c r="D59" s="698"/>
      <c r="E59" s="698"/>
      <c r="F59" s="698"/>
      <c r="G59" s="698"/>
      <c r="H59" s="698"/>
      <c r="I59" s="940"/>
      <c r="J59" s="940"/>
      <c r="K59" s="940"/>
      <c r="L59" s="940"/>
      <c r="M59" s="940"/>
      <c r="N59" s="940"/>
      <c r="O59" s="940"/>
      <c r="P59" s="940"/>
      <c r="Q59" s="940"/>
      <c r="R59" s="940"/>
      <c r="S59" s="941"/>
      <c r="T59" s="941"/>
      <c r="U59" s="83" t="s">
        <v>268</v>
      </c>
      <c r="V59" s="805"/>
      <c r="W59" s="805"/>
      <c r="Y59" s="698"/>
      <c r="Z59" s="698"/>
      <c r="AA59" s="698"/>
      <c r="AB59" s="698"/>
      <c r="AC59" s="698"/>
      <c r="AD59" s="698"/>
      <c r="AE59" s="698"/>
      <c r="AF59" s="940"/>
      <c r="AG59" s="940"/>
      <c r="AH59" s="940"/>
      <c r="AI59" s="940"/>
      <c r="AJ59" s="940"/>
      <c r="AK59" s="940"/>
      <c r="AL59" s="940"/>
      <c r="AM59" s="940"/>
      <c r="AN59" s="940"/>
      <c r="AO59" s="940"/>
      <c r="AP59" s="941"/>
      <c r="AQ59" s="941"/>
      <c r="AR59" s="83" t="s">
        <v>268</v>
      </c>
      <c r="AS59" s="805"/>
      <c r="AT59" s="805"/>
    </row>
    <row r="60" spans="2:46" ht="17" customHeight="1" x14ac:dyDescent="0.25">
      <c r="B60" s="943"/>
      <c r="C60" s="943"/>
      <c r="D60" s="943"/>
      <c r="E60" s="943"/>
      <c r="F60" s="943"/>
      <c r="G60" s="943"/>
      <c r="H60" s="943"/>
      <c r="I60" s="942"/>
      <c r="J60" s="942"/>
      <c r="K60" s="942"/>
      <c r="L60" s="942"/>
      <c r="M60" s="942"/>
      <c r="N60" s="942"/>
      <c r="O60" s="942"/>
      <c r="P60" s="942"/>
      <c r="Q60" s="942"/>
      <c r="R60" s="942"/>
      <c r="S60" s="947"/>
      <c r="T60" s="947"/>
      <c r="U60" s="83" t="s">
        <v>268</v>
      </c>
      <c r="V60" s="732"/>
      <c r="W60" s="732"/>
      <c r="Y60" s="943"/>
      <c r="Z60" s="943"/>
      <c r="AA60" s="943"/>
      <c r="AB60" s="943"/>
      <c r="AC60" s="943"/>
      <c r="AD60" s="943"/>
      <c r="AE60" s="943"/>
      <c r="AF60" s="942"/>
      <c r="AG60" s="942"/>
      <c r="AH60" s="942"/>
      <c r="AI60" s="942"/>
      <c r="AJ60" s="942"/>
      <c r="AK60" s="942"/>
      <c r="AL60" s="942"/>
      <c r="AM60" s="942"/>
      <c r="AN60" s="942"/>
      <c r="AO60" s="942"/>
      <c r="AP60" s="947"/>
      <c r="AQ60" s="947"/>
      <c r="AR60" s="83" t="s">
        <v>268</v>
      </c>
      <c r="AS60" s="732"/>
      <c r="AT60" s="732"/>
    </row>
    <row r="61" spans="2:46" ht="8" customHeight="1" x14ac:dyDescent="0.25">
      <c r="B61" s="3"/>
      <c r="C61" s="3"/>
      <c r="D61" s="3"/>
      <c r="E61" s="3"/>
      <c r="F61" s="3"/>
      <c r="G61" s="3"/>
      <c r="H61" s="3"/>
      <c r="I61" s="3"/>
      <c r="J61" s="3"/>
      <c r="K61" s="3"/>
      <c r="L61" s="3"/>
      <c r="M61" s="3"/>
      <c r="N61" s="3"/>
      <c r="O61" s="3"/>
      <c r="P61" s="3"/>
      <c r="Q61" s="3"/>
      <c r="R61" s="3"/>
      <c r="S61" s="69"/>
      <c r="T61" s="69"/>
      <c r="V61" s="69"/>
      <c r="W61" s="69"/>
      <c r="Y61" s="3"/>
      <c r="Z61" s="3"/>
      <c r="AA61" s="3"/>
      <c r="AB61" s="3"/>
      <c r="AC61" s="3"/>
      <c r="AD61" s="3"/>
      <c r="AE61" s="3"/>
      <c r="AF61" s="3"/>
      <c r="AG61" s="3"/>
      <c r="AH61" s="3"/>
      <c r="AI61" s="3"/>
      <c r="AJ61" s="3"/>
      <c r="AK61" s="3"/>
      <c r="AL61" s="3"/>
      <c r="AM61" s="3"/>
      <c r="AN61" s="3"/>
      <c r="AO61" s="3"/>
      <c r="AP61" s="69"/>
      <c r="AQ61" s="69"/>
      <c r="AS61" s="69"/>
      <c r="AT61" s="69"/>
    </row>
    <row r="62" spans="2:46" ht="17" customHeight="1" x14ac:dyDescent="0.25">
      <c r="B62" s="698"/>
      <c r="C62" s="698"/>
      <c r="D62" s="698"/>
      <c r="E62" s="698"/>
      <c r="F62" s="698"/>
      <c r="G62" s="698"/>
      <c r="H62" s="698"/>
      <c r="I62" s="940"/>
      <c r="J62" s="940"/>
      <c r="K62" s="940"/>
      <c r="L62" s="940"/>
      <c r="M62" s="940"/>
      <c r="N62" s="940"/>
      <c r="O62" s="940"/>
      <c r="P62" s="940"/>
      <c r="Q62" s="940"/>
      <c r="R62" s="940"/>
      <c r="S62" s="941"/>
      <c r="T62" s="941"/>
      <c r="U62" s="83" t="s">
        <v>268</v>
      </c>
      <c r="V62" s="805"/>
      <c r="W62" s="805"/>
      <c r="Y62" s="698"/>
      <c r="Z62" s="698"/>
      <c r="AA62" s="698"/>
      <c r="AB62" s="698"/>
      <c r="AC62" s="698"/>
      <c r="AD62" s="698"/>
      <c r="AE62" s="698"/>
      <c r="AF62" s="940"/>
      <c r="AG62" s="940"/>
      <c r="AH62" s="940"/>
      <c r="AI62" s="940"/>
      <c r="AJ62" s="940"/>
      <c r="AK62" s="940"/>
      <c r="AL62" s="940"/>
      <c r="AM62" s="940"/>
      <c r="AN62" s="940"/>
      <c r="AO62" s="940"/>
      <c r="AP62" s="941"/>
      <c r="AQ62" s="941"/>
      <c r="AR62" s="83" t="s">
        <v>268</v>
      </c>
      <c r="AS62" s="805"/>
      <c r="AT62" s="805"/>
    </row>
    <row r="63" spans="2:46" ht="17" customHeight="1" x14ac:dyDescent="0.25">
      <c r="B63" s="943"/>
      <c r="C63" s="943"/>
      <c r="D63" s="943"/>
      <c r="E63" s="943"/>
      <c r="F63" s="943"/>
      <c r="G63" s="943"/>
      <c r="H63" s="943"/>
      <c r="I63" s="942"/>
      <c r="J63" s="942"/>
      <c r="K63" s="942"/>
      <c r="L63" s="942"/>
      <c r="M63" s="942"/>
      <c r="N63" s="942"/>
      <c r="O63" s="942"/>
      <c r="P63" s="942"/>
      <c r="Q63" s="942"/>
      <c r="R63" s="942"/>
      <c r="S63" s="947"/>
      <c r="T63" s="947"/>
      <c r="U63" s="83" t="s">
        <v>268</v>
      </c>
      <c r="V63" s="732"/>
      <c r="W63" s="732"/>
      <c r="Y63" s="943"/>
      <c r="Z63" s="943"/>
      <c r="AA63" s="943"/>
      <c r="AB63" s="943"/>
      <c r="AC63" s="943"/>
      <c r="AD63" s="943"/>
      <c r="AE63" s="943"/>
      <c r="AF63" s="942"/>
      <c r="AG63" s="942"/>
      <c r="AH63" s="942"/>
      <c r="AI63" s="942"/>
      <c r="AJ63" s="942"/>
      <c r="AK63" s="942"/>
      <c r="AL63" s="942"/>
      <c r="AM63" s="942"/>
      <c r="AN63" s="942"/>
      <c r="AO63" s="942"/>
      <c r="AP63" s="947"/>
      <c r="AQ63" s="947"/>
      <c r="AR63" s="83" t="s">
        <v>268</v>
      </c>
      <c r="AS63" s="732"/>
      <c r="AT63" s="732"/>
    </row>
    <row r="64" spans="2:46" ht="17" customHeight="1" x14ac:dyDescent="0.25">
      <c r="B64" s="698"/>
      <c r="C64" s="698"/>
      <c r="D64" s="698"/>
      <c r="E64" s="698"/>
      <c r="F64" s="698"/>
      <c r="G64" s="698"/>
      <c r="H64" s="698"/>
      <c r="I64" s="940"/>
      <c r="J64" s="940"/>
      <c r="K64" s="940"/>
      <c r="L64" s="940"/>
      <c r="M64" s="940"/>
      <c r="N64" s="940"/>
      <c r="O64" s="940"/>
      <c r="P64" s="940"/>
      <c r="Q64" s="940"/>
      <c r="R64" s="940"/>
      <c r="S64" s="941"/>
      <c r="T64" s="941"/>
      <c r="U64" s="83" t="s">
        <v>268</v>
      </c>
      <c r="V64" s="805"/>
      <c r="W64" s="805"/>
      <c r="Y64" s="698"/>
      <c r="Z64" s="698"/>
      <c r="AA64" s="698"/>
      <c r="AB64" s="698"/>
      <c r="AC64" s="698"/>
      <c r="AD64" s="698"/>
      <c r="AE64" s="698"/>
      <c r="AF64" s="940"/>
      <c r="AG64" s="940"/>
      <c r="AH64" s="940"/>
      <c r="AI64" s="940"/>
      <c r="AJ64" s="940"/>
      <c r="AK64" s="940"/>
      <c r="AL64" s="940"/>
      <c r="AM64" s="940"/>
      <c r="AN64" s="940"/>
      <c r="AO64" s="940"/>
      <c r="AP64" s="941"/>
      <c r="AQ64" s="941"/>
      <c r="AR64" s="83" t="s">
        <v>268</v>
      </c>
      <c r="AS64" s="805"/>
      <c r="AT64" s="805"/>
    </row>
    <row r="65" spans="2:46" ht="17" customHeight="1" x14ac:dyDescent="0.25">
      <c r="B65" s="943"/>
      <c r="C65" s="943"/>
      <c r="D65" s="943"/>
      <c r="E65" s="943"/>
      <c r="F65" s="943"/>
      <c r="G65" s="943"/>
      <c r="H65" s="943"/>
      <c r="I65" s="942"/>
      <c r="J65" s="942"/>
      <c r="K65" s="942"/>
      <c r="L65" s="942"/>
      <c r="M65" s="942"/>
      <c r="N65" s="942"/>
      <c r="O65" s="942"/>
      <c r="P65" s="942"/>
      <c r="Q65" s="942"/>
      <c r="R65" s="942"/>
      <c r="S65" s="947"/>
      <c r="T65" s="947"/>
      <c r="U65" s="83" t="s">
        <v>268</v>
      </c>
      <c r="V65" s="732"/>
      <c r="W65" s="732"/>
      <c r="Y65" s="943"/>
      <c r="Z65" s="943"/>
      <c r="AA65" s="943"/>
      <c r="AB65" s="943"/>
      <c r="AC65" s="943"/>
      <c r="AD65" s="943"/>
      <c r="AE65" s="943"/>
      <c r="AF65" s="942"/>
      <c r="AG65" s="942"/>
      <c r="AH65" s="942"/>
      <c r="AI65" s="942"/>
      <c r="AJ65" s="942"/>
      <c r="AK65" s="942"/>
      <c r="AL65" s="942"/>
      <c r="AM65" s="942"/>
      <c r="AN65" s="942"/>
      <c r="AO65" s="942"/>
      <c r="AP65" s="947"/>
      <c r="AQ65" s="947"/>
      <c r="AR65" s="83" t="s">
        <v>268</v>
      </c>
      <c r="AS65" s="732"/>
      <c r="AT65" s="732"/>
    </row>
    <row r="66" spans="2:46" ht="17" customHeight="1" x14ac:dyDescent="0.25">
      <c r="B66" s="698"/>
      <c r="C66" s="698"/>
      <c r="D66" s="698"/>
      <c r="E66" s="698"/>
      <c r="F66" s="698"/>
      <c r="G66" s="698"/>
      <c r="H66" s="698"/>
      <c r="I66" s="940"/>
      <c r="J66" s="940"/>
      <c r="K66" s="940"/>
      <c r="L66" s="940"/>
      <c r="M66" s="940"/>
      <c r="N66" s="940"/>
      <c r="O66" s="940"/>
      <c r="P66" s="940"/>
      <c r="Q66" s="940"/>
      <c r="R66" s="940"/>
      <c r="S66" s="941"/>
      <c r="T66" s="941"/>
      <c r="U66" s="83" t="s">
        <v>268</v>
      </c>
      <c r="V66" s="805"/>
      <c r="W66" s="805"/>
      <c r="Y66" s="698"/>
      <c r="Z66" s="698"/>
      <c r="AA66" s="698"/>
      <c r="AB66" s="698"/>
      <c r="AC66" s="698"/>
      <c r="AD66" s="698"/>
      <c r="AE66" s="698"/>
      <c r="AF66" s="940"/>
      <c r="AG66" s="940"/>
      <c r="AH66" s="940"/>
      <c r="AI66" s="940"/>
      <c r="AJ66" s="940"/>
      <c r="AK66" s="940"/>
      <c r="AL66" s="940"/>
      <c r="AM66" s="940"/>
      <c r="AN66" s="940"/>
      <c r="AO66" s="940"/>
      <c r="AP66" s="941"/>
      <c r="AQ66" s="941"/>
      <c r="AR66" s="83" t="s">
        <v>268</v>
      </c>
      <c r="AS66" s="805"/>
      <c r="AT66" s="805"/>
    </row>
    <row r="67" spans="2:46" ht="17" customHeight="1" x14ac:dyDescent="0.25">
      <c r="B67" s="945"/>
      <c r="C67" s="945"/>
      <c r="D67" s="945"/>
      <c r="E67" s="945"/>
      <c r="F67" s="945"/>
      <c r="G67" s="945"/>
      <c r="H67" s="945"/>
      <c r="I67" s="946"/>
      <c r="J67" s="946"/>
      <c r="K67" s="946"/>
      <c r="L67" s="946"/>
      <c r="M67" s="946"/>
      <c r="N67" s="946"/>
      <c r="O67" s="946"/>
      <c r="P67" s="946"/>
      <c r="Q67" s="946"/>
      <c r="R67" s="946"/>
      <c r="S67" s="947"/>
      <c r="T67" s="947"/>
      <c r="U67" s="83" t="s">
        <v>268</v>
      </c>
      <c r="V67" s="950"/>
      <c r="W67" s="950"/>
      <c r="Y67" s="945"/>
      <c r="Z67" s="945"/>
      <c r="AA67" s="945"/>
      <c r="AB67" s="945"/>
      <c r="AC67" s="945"/>
      <c r="AD67" s="945"/>
      <c r="AE67" s="945"/>
      <c r="AF67" s="946"/>
      <c r="AG67" s="946"/>
      <c r="AH67" s="946"/>
      <c r="AI67" s="946"/>
      <c r="AJ67" s="946"/>
      <c r="AK67" s="946"/>
      <c r="AL67" s="946"/>
      <c r="AM67" s="946"/>
      <c r="AN67" s="946"/>
      <c r="AO67" s="946"/>
      <c r="AP67" s="947"/>
      <c r="AQ67" s="947"/>
      <c r="AR67" s="83" t="s">
        <v>268</v>
      </c>
      <c r="AS67" s="950"/>
      <c r="AT67" s="950"/>
    </row>
    <row r="68" spans="2:46" ht="17" customHeight="1" x14ac:dyDescent="0.25">
      <c r="B68" s="698"/>
      <c r="C68" s="698"/>
      <c r="D68" s="698"/>
      <c r="E68" s="698"/>
      <c r="F68" s="698"/>
      <c r="G68" s="698"/>
      <c r="H68" s="698"/>
      <c r="I68" s="940"/>
      <c r="J68" s="940"/>
      <c r="K68" s="940"/>
      <c r="L68" s="940"/>
      <c r="M68" s="940"/>
      <c r="N68" s="940"/>
      <c r="O68" s="940"/>
      <c r="P68" s="940"/>
      <c r="Q68" s="940"/>
      <c r="R68" s="940"/>
      <c r="S68" s="941"/>
      <c r="T68" s="941"/>
      <c r="U68" s="83" t="s">
        <v>268</v>
      </c>
      <c r="V68" s="805"/>
      <c r="W68" s="805"/>
      <c r="Y68" s="698"/>
      <c r="Z68" s="698"/>
      <c r="AA68" s="698"/>
      <c r="AB68" s="698"/>
      <c r="AC68" s="698"/>
      <c r="AD68" s="698"/>
      <c r="AE68" s="698"/>
      <c r="AF68" s="940"/>
      <c r="AG68" s="940"/>
      <c r="AH68" s="940"/>
      <c r="AI68" s="940"/>
      <c r="AJ68" s="940"/>
      <c r="AK68" s="940"/>
      <c r="AL68" s="940"/>
      <c r="AM68" s="940"/>
      <c r="AN68" s="940"/>
      <c r="AO68" s="940"/>
      <c r="AP68" s="941"/>
      <c r="AQ68" s="941"/>
      <c r="AR68" s="83" t="s">
        <v>268</v>
      </c>
      <c r="AS68" s="805"/>
      <c r="AT68" s="805"/>
    </row>
    <row r="69" spans="2:46" ht="17" customHeight="1" x14ac:dyDescent="0.25">
      <c r="B69" s="943"/>
      <c r="C69" s="943"/>
      <c r="D69" s="943"/>
      <c r="E69" s="943"/>
      <c r="F69" s="943"/>
      <c r="G69" s="943"/>
      <c r="H69" s="943"/>
      <c r="I69" s="942"/>
      <c r="J69" s="942"/>
      <c r="K69" s="942"/>
      <c r="L69" s="942"/>
      <c r="M69" s="942"/>
      <c r="N69" s="942"/>
      <c r="O69" s="942"/>
      <c r="P69" s="942"/>
      <c r="Q69" s="942"/>
      <c r="R69" s="942"/>
      <c r="S69" s="947"/>
      <c r="T69" s="947"/>
      <c r="U69" s="83" t="s">
        <v>268</v>
      </c>
      <c r="V69" s="732"/>
      <c r="W69" s="732"/>
      <c r="Y69" s="943"/>
      <c r="Z69" s="943"/>
      <c r="AA69" s="943"/>
      <c r="AB69" s="943"/>
      <c r="AC69" s="943"/>
      <c r="AD69" s="943"/>
      <c r="AE69" s="943"/>
      <c r="AF69" s="942"/>
      <c r="AG69" s="942"/>
      <c r="AH69" s="942"/>
      <c r="AI69" s="942"/>
      <c r="AJ69" s="942"/>
      <c r="AK69" s="942"/>
      <c r="AL69" s="942"/>
      <c r="AM69" s="942"/>
      <c r="AN69" s="942"/>
      <c r="AO69" s="942"/>
      <c r="AP69" s="947"/>
      <c r="AQ69" s="947"/>
      <c r="AR69" s="83" t="s">
        <v>268</v>
      </c>
      <c r="AS69" s="732"/>
      <c r="AT69" s="732"/>
    </row>
    <row r="70" spans="2:46" ht="17" customHeight="1" x14ac:dyDescent="0.25">
      <c r="B70" s="698"/>
      <c r="C70" s="698"/>
      <c r="D70" s="698"/>
      <c r="E70" s="698"/>
      <c r="F70" s="698"/>
      <c r="G70" s="698"/>
      <c r="H70" s="698"/>
      <c r="I70" s="940"/>
      <c r="J70" s="940"/>
      <c r="K70" s="940"/>
      <c r="L70" s="940"/>
      <c r="M70" s="940"/>
      <c r="N70" s="940"/>
      <c r="O70" s="940"/>
      <c r="P70" s="940"/>
      <c r="Q70" s="940"/>
      <c r="R70" s="940"/>
      <c r="S70" s="941"/>
      <c r="T70" s="941"/>
      <c r="U70" s="83" t="s">
        <v>268</v>
      </c>
      <c r="V70" s="805"/>
      <c r="W70" s="805"/>
      <c r="Y70" s="698"/>
      <c r="Z70" s="698"/>
      <c r="AA70" s="698"/>
      <c r="AB70" s="698"/>
      <c r="AC70" s="698"/>
      <c r="AD70" s="698"/>
      <c r="AE70" s="698"/>
      <c r="AF70" s="940"/>
      <c r="AG70" s="940"/>
      <c r="AH70" s="940"/>
      <c r="AI70" s="940"/>
      <c r="AJ70" s="940"/>
      <c r="AK70" s="940"/>
      <c r="AL70" s="940"/>
      <c r="AM70" s="940"/>
      <c r="AN70" s="940"/>
      <c r="AO70" s="940"/>
      <c r="AP70" s="941"/>
      <c r="AQ70" s="941"/>
      <c r="AR70" s="83" t="s">
        <v>268</v>
      </c>
      <c r="AS70" s="805"/>
      <c r="AT70" s="805"/>
    </row>
    <row r="71" spans="2:46" ht="17" customHeight="1" x14ac:dyDescent="0.25">
      <c r="B71" s="943"/>
      <c r="C71" s="943"/>
      <c r="D71" s="943"/>
      <c r="E71" s="943"/>
      <c r="F71" s="943"/>
      <c r="G71" s="943"/>
      <c r="H71" s="943"/>
      <c r="I71" s="942"/>
      <c r="J71" s="942"/>
      <c r="K71" s="942"/>
      <c r="L71" s="942"/>
      <c r="M71" s="942"/>
      <c r="N71" s="942"/>
      <c r="O71" s="942"/>
      <c r="P71" s="942"/>
      <c r="Q71" s="942"/>
      <c r="R71" s="942"/>
      <c r="S71" s="947"/>
      <c r="T71" s="947"/>
      <c r="U71" s="83" t="s">
        <v>268</v>
      </c>
      <c r="V71" s="732"/>
      <c r="W71" s="732"/>
      <c r="Y71" s="943"/>
      <c r="Z71" s="943"/>
      <c r="AA71" s="943"/>
      <c r="AB71" s="943"/>
      <c r="AC71" s="943"/>
      <c r="AD71" s="943"/>
      <c r="AE71" s="943"/>
      <c r="AF71" s="942"/>
      <c r="AG71" s="942"/>
      <c r="AH71" s="942"/>
      <c r="AI71" s="942"/>
      <c r="AJ71" s="942"/>
      <c r="AK71" s="942"/>
      <c r="AL71" s="942"/>
      <c r="AM71" s="942"/>
      <c r="AN71" s="942"/>
      <c r="AO71" s="942"/>
      <c r="AP71" s="947"/>
      <c r="AQ71" s="947"/>
      <c r="AR71" s="83" t="s">
        <v>268</v>
      </c>
      <c r="AS71" s="732"/>
      <c r="AT71" s="732"/>
    </row>
    <row r="72" spans="2:46" ht="8" customHeight="1" x14ac:dyDescent="0.25">
      <c r="B72" s="3"/>
      <c r="C72" s="3"/>
      <c r="D72" s="3"/>
      <c r="E72" s="3"/>
      <c r="F72" s="3"/>
      <c r="G72" s="3"/>
      <c r="H72" s="3"/>
      <c r="I72" s="3"/>
      <c r="J72" s="3"/>
      <c r="K72" s="3"/>
      <c r="L72" s="3"/>
      <c r="M72" s="3"/>
      <c r="N72" s="3"/>
      <c r="O72" s="3"/>
      <c r="P72" s="3"/>
      <c r="Q72" s="3"/>
      <c r="R72" s="3"/>
      <c r="S72" s="69"/>
      <c r="T72" s="69"/>
      <c r="V72" s="69"/>
      <c r="W72" s="69"/>
      <c r="Y72" s="3"/>
      <c r="Z72" s="3"/>
      <c r="AA72" s="3"/>
      <c r="AB72" s="3"/>
      <c r="AC72" s="3"/>
      <c r="AD72" s="3"/>
      <c r="AE72" s="3"/>
      <c r="AF72" s="3"/>
      <c r="AG72" s="3"/>
      <c r="AH72" s="3"/>
      <c r="AI72" s="3"/>
      <c r="AJ72" s="3"/>
      <c r="AK72" s="3"/>
      <c r="AL72" s="3"/>
      <c r="AM72" s="3"/>
      <c r="AN72" s="3"/>
      <c r="AO72" s="3"/>
      <c r="AP72" s="69"/>
      <c r="AQ72" s="69"/>
      <c r="AS72" s="69"/>
      <c r="AT72" s="69"/>
    </row>
    <row r="73" spans="2:46" ht="17" customHeight="1" x14ac:dyDescent="0.25">
      <c r="B73" s="698"/>
      <c r="C73" s="698"/>
      <c r="D73" s="698"/>
      <c r="E73" s="698"/>
      <c r="F73" s="698"/>
      <c r="G73" s="698"/>
      <c r="H73" s="698"/>
      <c r="I73" s="940"/>
      <c r="J73" s="940"/>
      <c r="K73" s="940"/>
      <c r="L73" s="940"/>
      <c r="M73" s="940"/>
      <c r="N73" s="940"/>
      <c r="O73" s="940"/>
      <c r="P73" s="940"/>
      <c r="Q73" s="940"/>
      <c r="R73" s="940"/>
      <c r="S73" s="941"/>
      <c r="T73" s="941"/>
      <c r="U73" s="83" t="s">
        <v>268</v>
      </c>
      <c r="V73" s="805"/>
      <c r="W73" s="805"/>
      <c r="Y73" s="698"/>
      <c r="Z73" s="698"/>
      <c r="AA73" s="698"/>
      <c r="AB73" s="698"/>
      <c r="AC73" s="698"/>
      <c r="AD73" s="698"/>
      <c r="AE73" s="698"/>
      <c r="AF73" s="940"/>
      <c r="AG73" s="940"/>
      <c r="AH73" s="940"/>
      <c r="AI73" s="940"/>
      <c r="AJ73" s="940"/>
      <c r="AK73" s="940"/>
      <c r="AL73" s="940"/>
      <c r="AM73" s="940"/>
      <c r="AN73" s="940"/>
      <c r="AO73" s="940"/>
      <c r="AP73" s="941"/>
      <c r="AQ73" s="941"/>
      <c r="AR73" s="83" t="s">
        <v>268</v>
      </c>
      <c r="AS73" s="805"/>
      <c r="AT73" s="805"/>
    </row>
    <row r="74" spans="2:46" ht="17" customHeight="1" x14ac:dyDescent="0.25">
      <c r="B74" s="943"/>
      <c r="C74" s="943"/>
      <c r="D74" s="943"/>
      <c r="E74" s="943"/>
      <c r="F74" s="943"/>
      <c r="G74" s="943"/>
      <c r="H74" s="943"/>
      <c r="I74" s="942"/>
      <c r="J74" s="942"/>
      <c r="K74" s="942"/>
      <c r="L74" s="942"/>
      <c r="M74" s="942"/>
      <c r="N74" s="942"/>
      <c r="O74" s="942"/>
      <c r="P74" s="942"/>
      <c r="Q74" s="942"/>
      <c r="R74" s="942"/>
      <c r="S74" s="947"/>
      <c r="T74" s="947"/>
      <c r="U74" s="83" t="s">
        <v>268</v>
      </c>
      <c r="V74" s="732"/>
      <c r="W74" s="732"/>
      <c r="Y74" s="943"/>
      <c r="Z74" s="943"/>
      <c r="AA74" s="943"/>
      <c r="AB74" s="943"/>
      <c r="AC74" s="943"/>
      <c r="AD74" s="943"/>
      <c r="AE74" s="943"/>
      <c r="AF74" s="942"/>
      <c r="AG74" s="942"/>
      <c r="AH74" s="942"/>
      <c r="AI74" s="942"/>
      <c r="AJ74" s="942"/>
      <c r="AK74" s="942"/>
      <c r="AL74" s="942"/>
      <c r="AM74" s="942"/>
      <c r="AN74" s="942"/>
      <c r="AO74" s="942"/>
      <c r="AP74" s="947"/>
      <c r="AQ74" s="947"/>
      <c r="AR74" s="83" t="s">
        <v>268</v>
      </c>
      <c r="AS74" s="732"/>
      <c r="AT74" s="732"/>
    </row>
    <row r="75" spans="2:46" ht="17" customHeight="1" x14ac:dyDescent="0.25">
      <c r="B75" s="698"/>
      <c r="C75" s="698"/>
      <c r="D75" s="698"/>
      <c r="E75" s="698"/>
      <c r="F75" s="698"/>
      <c r="G75" s="698"/>
      <c r="H75" s="698"/>
      <c r="I75" s="940"/>
      <c r="J75" s="940"/>
      <c r="K75" s="940"/>
      <c r="L75" s="940"/>
      <c r="M75" s="940"/>
      <c r="N75" s="940"/>
      <c r="O75" s="940"/>
      <c r="P75" s="940"/>
      <c r="Q75" s="940"/>
      <c r="R75" s="940"/>
      <c r="S75" s="941"/>
      <c r="T75" s="941"/>
      <c r="U75" s="83" t="s">
        <v>268</v>
      </c>
      <c r="V75" s="805"/>
      <c r="W75" s="805"/>
      <c r="Y75" s="698"/>
      <c r="Z75" s="698"/>
      <c r="AA75" s="698"/>
      <c r="AB75" s="698"/>
      <c r="AC75" s="698"/>
      <c r="AD75" s="698"/>
      <c r="AE75" s="698"/>
      <c r="AF75" s="940"/>
      <c r="AG75" s="940"/>
      <c r="AH75" s="940"/>
      <c r="AI75" s="940"/>
      <c r="AJ75" s="940"/>
      <c r="AK75" s="940"/>
      <c r="AL75" s="940"/>
      <c r="AM75" s="940"/>
      <c r="AN75" s="940"/>
      <c r="AO75" s="940"/>
      <c r="AP75" s="941"/>
      <c r="AQ75" s="941"/>
      <c r="AR75" s="83" t="s">
        <v>268</v>
      </c>
      <c r="AS75" s="805"/>
      <c r="AT75" s="805"/>
    </row>
    <row r="76" spans="2:46" ht="17" customHeight="1" x14ac:dyDescent="0.25">
      <c r="B76" s="943"/>
      <c r="C76" s="943"/>
      <c r="D76" s="943"/>
      <c r="E76" s="943"/>
      <c r="F76" s="943"/>
      <c r="G76" s="943"/>
      <c r="H76" s="943"/>
      <c r="I76" s="942"/>
      <c r="J76" s="942"/>
      <c r="K76" s="942"/>
      <c r="L76" s="942"/>
      <c r="M76" s="942"/>
      <c r="N76" s="942"/>
      <c r="O76" s="942"/>
      <c r="P76" s="942"/>
      <c r="Q76" s="942"/>
      <c r="R76" s="942"/>
      <c r="S76" s="947"/>
      <c r="T76" s="947"/>
      <c r="U76" s="83" t="s">
        <v>268</v>
      </c>
      <c r="V76" s="732"/>
      <c r="W76" s="732"/>
      <c r="Y76" s="943"/>
      <c r="Z76" s="943"/>
      <c r="AA76" s="943"/>
      <c r="AB76" s="943"/>
      <c r="AC76" s="943"/>
      <c r="AD76" s="943"/>
      <c r="AE76" s="943"/>
      <c r="AF76" s="942"/>
      <c r="AG76" s="942"/>
      <c r="AH76" s="942"/>
      <c r="AI76" s="942"/>
      <c r="AJ76" s="942"/>
      <c r="AK76" s="942"/>
      <c r="AL76" s="942"/>
      <c r="AM76" s="942"/>
      <c r="AN76" s="942"/>
      <c r="AO76" s="942"/>
      <c r="AP76" s="947"/>
      <c r="AQ76" s="947"/>
      <c r="AR76" s="83" t="s">
        <v>268</v>
      </c>
      <c r="AS76" s="732"/>
      <c r="AT76" s="732"/>
    </row>
    <row r="77" spans="2:46" ht="17" customHeight="1" x14ac:dyDescent="0.25">
      <c r="B77" s="698"/>
      <c r="C77" s="698"/>
      <c r="D77" s="698"/>
      <c r="E77" s="698"/>
      <c r="F77" s="698"/>
      <c r="G77" s="698"/>
      <c r="H77" s="698"/>
      <c r="I77" s="940"/>
      <c r="J77" s="940"/>
      <c r="K77" s="940"/>
      <c r="L77" s="940"/>
      <c r="M77" s="940"/>
      <c r="N77" s="940"/>
      <c r="O77" s="940"/>
      <c r="P77" s="940"/>
      <c r="Q77" s="940"/>
      <c r="R77" s="940"/>
      <c r="S77" s="941"/>
      <c r="T77" s="941"/>
      <c r="U77" s="83" t="s">
        <v>268</v>
      </c>
      <c r="V77" s="805"/>
      <c r="W77" s="805"/>
      <c r="Y77" s="698"/>
      <c r="Z77" s="698"/>
      <c r="AA77" s="698"/>
      <c r="AB77" s="698"/>
      <c r="AC77" s="698"/>
      <c r="AD77" s="698"/>
      <c r="AE77" s="698"/>
      <c r="AF77" s="940"/>
      <c r="AG77" s="940"/>
      <c r="AH77" s="940"/>
      <c r="AI77" s="940"/>
      <c r="AJ77" s="940"/>
      <c r="AK77" s="940"/>
      <c r="AL77" s="940"/>
      <c r="AM77" s="940"/>
      <c r="AN77" s="940"/>
      <c r="AO77" s="940"/>
      <c r="AP77" s="941"/>
      <c r="AQ77" s="941"/>
      <c r="AR77" s="83" t="s">
        <v>268</v>
      </c>
      <c r="AS77" s="805"/>
      <c r="AT77" s="805"/>
    </row>
    <row r="78" spans="2:46" ht="17" customHeight="1" x14ac:dyDescent="0.25">
      <c r="B78" s="945"/>
      <c r="C78" s="945"/>
      <c r="D78" s="945"/>
      <c r="E78" s="945"/>
      <c r="F78" s="945"/>
      <c r="G78" s="945"/>
      <c r="H78" s="945"/>
      <c r="I78" s="946"/>
      <c r="J78" s="946"/>
      <c r="K78" s="946"/>
      <c r="L78" s="946"/>
      <c r="M78" s="946"/>
      <c r="N78" s="946"/>
      <c r="O78" s="946"/>
      <c r="P78" s="946"/>
      <c r="Q78" s="946"/>
      <c r="R78" s="946"/>
      <c r="S78" s="947"/>
      <c r="T78" s="947"/>
      <c r="U78" s="83" t="s">
        <v>268</v>
      </c>
      <c r="V78" s="950"/>
      <c r="W78" s="950"/>
      <c r="Y78" s="945"/>
      <c r="Z78" s="945"/>
      <c r="AA78" s="945"/>
      <c r="AB78" s="945"/>
      <c r="AC78" s="945"/>
      <c r="AD78" s="945"/>
      <c r="AE78" s="945"/>
      <c r="AF78" s="946"/>
      <c r="AG78" s="946"/>
      <c r="AH78" s="946"/>
      <c r="AI78" s="946"/>
      <c r="AJ78" s="946"/>
      <c r="AK78" s="946"/>
      <c r="AL78" s="946"/>
      <c r="AM78" s="946"/>
      <c r="AN78" s="946"/>
      <c r="AO78" s="946"/>
      <c r="AP78" s="947"/>
      <c r="AQ78" s="947"/>
      <c r="AR78" s="83" t="s">
        <v>268</v>
      </c>
      <c r="AS78" s="950"/>
      <c r="AT78" s="950"/>
    </row>
    <row r="79" spans="2:46" ht="17" customHeight="1" x14ac:dyDescent="0.25">
      <c r="B79" s="698"/>
      <c r="C79" s="698"/>
      <c r="D79" s="698"/>
      <c r="E79" s="698"/>
      <c r="F79" s="698"/>
      <c r="G79" s="698"/>
      <c r="H79" s="698"/>
      <c r="I79" s="940"/>
      <c r="J79" s="940"/>
      <c r="K79" s="940"/>
      <c r="L79" s="940"/>
      <c r="M79" s="940"/>
      <c r="N79" s="940"/>
      <c r="O79" s="940"/>
      <c r="P79" s="940"/>
      <c r="Q79" s="940"/>
      <c r="R79" s="940"/>
      <c r="S79" s="941"/>
      <c r="T79" s="941"/>
      <c r="U79" s="83" t="s">
        <v>268</v>
      </c>
      <c r="V79" s="805"/>
      <c r="W79" s="805"/>
      <c r="Y79" s="698"/>
      <c r="Z79" s="698"/>
      <c r="AA79" s="698"/>
      <c r="AB79" s="698"/>
      <c r="AC79" s="698"/>
      <c r="AD79" s="698"/>
      <c r="AE79" s="698"/>
      <c r="AF79" s="940"/>
      <c r="AG79" s="940"/>
      <c r="AH79" s="940"/>
      <c r="AI79" s="940"/>
      <c r="AJ79" s="940"/>
      <c r="AK79" s="940"/>
      <c r="AL79" s="940"/>
      <c r="AM79" s="940"/>
      <c r="AN79" s="940"/>
      <c r="AO79" s="940"/>
      <c r="AP79" s="941"/>
      <c r="AQ79" s="941"/>
      <c r="AR79" s="83" t="s">
        <v>268</v>
      </c>
      <c r="AS79" s="805"/>
      <c r="AT79" s="805"/>
    </row>
    <row r="80" spans="2:46" ht="17" customHeight="1" x14ac:dyDescent="0.25">
      <c r="B80" s="943"/>
      <c r="C80" s="943"/>
      <c r="D80" s="943"/>
      <c r="E80" s="943"/>
      <c r="F80" s="943"/>
      <c r="G80" s="943"/>
      <c r="H80" s="943"/>
      <c r="I80" s="942"/>
      <c r="J80" s="942"/>
      <c r="K80" s="942"/>
      <c r="L80" s="942"/>
      <c r="M80" s="942"/>
      <c r="N80" s="942"/>
      <c r="O80" s="942"/>
      <c r="P80" s="942"/>
      <c r="Q80" s="942"/>
      <c r="R80" s="942"/>
      <c r="S80" s="947"/>
      <c r="T80" s="947"/>
      <c r="U80" s="83" t="s">
        <v>268</v>
      </c>
      <c r="V80" s="732"/>
      <c r="W80" s="732"/>
      <c r="Y80" s="943"/>
      <c r="Z80" s="943"/>
      <c r="AA80" s="943"/>
      <c r="AB80" s="943"/>
      <c r="AC80" s="943"/>
      <c r="AD80" s="943"/>
      <c r="AE80" s="943"/>
      <c r="AF80" s="942"/>
      <c r="AG80" s="942"/>
      <c r="AH80" s="942"/>
      <c r="AI80" s="942"/>
      <c r="AJ80" s="942"/>
      <c r="AK80" s="942"/>
      <c r="AL80" s="942"/>
      <c r="AM80" s="942"/>
      <c r="AN80" s="942"/>
      <c r="AO80" s="942"/>
      <c r="AP80" s="947"/>
      <c r="AQ80" s="947"/>
      <c r="AR80" s="83" t="s">
        <v>268</v>
      </c>
      <c r="AS80" s="732"/>
      <c r="AT80" s="732"/>
    </row>
    <row r="81" spans="2:46" ht="17" customHeight="1" x14ac:dyDescent="0.25">
      <c r="B81" s="698"/>
      <c r="C81" s="698"/>
      <c r="D81" s="698"/>
      <c r="E81" s="698"/>
      <c r="F81" s="698"/>
      <c r="G81" s="698"/>
      <c r="H81" s="698"/>
      <c r="I81" s="940"/>
      <c r="J81" s="940"/>
      <c r="K81" s="940"/>
      <c r="L81" s="940"/>
      <c r="M81" s="940"/>
      <c r="N81" s="940"/>
      <c r="O81" s="940"/>
      <c r="P81" s="940"/>
      <c r="Q81" s="940"/>
      <c r="R81" s="940"/>
      <c r="S81" s="941"/>
      <c r="T81" s="941"/>
      <c r="U81" s="83" t="s">
        <v>268</v>
      </c>
      <c r="V81" s="805"/>
      <c r="W81" s="805"/>
      <c r="Y81" s="698"/>
      <c r="Z81" s="698"/>
      <c r="AA81" s="698"/>
      <c r="AB81" s="698"/>
      <c r="AC81" s="698"/>
      <c r="AD81" s="698"/>
      <c r="AE81" s="698"/>
      <c r="AF81" s="940"/>
      <c r="AG81" s="940"/>
      <c r="AH81" s="940"/>
      <c r="AI81" s="940"/>
      <c r="AJ81" s="940"/>
      <c r="AK81" s="940"/>
      <c r="AL81" s="940"/>
      <c r="AM81" s="940"/>
      <c r="AN81" s="940"/>
      <c r="AO81" s="940"/>
      <c r="AP81" s="941"/>
      <c r="AQ81" s="941"/>
      <c r="AR81" s="83" t="s">
        <v>268</v>
      </c>
      <c r="AS81" s="805"/>
      <c r="AT81" s="805"/>
    </row>
    <row r="82" spans="2:46" ht="17" customHeight="1" x14ac:dyDescent="0.25">
      <c r="B82" s="943"/>
      <c r="C82" s="943"/>
      <c r="D82" s="943"/>
      <c r="E82" s="943"/>
      <c r="F82" s="943"/>
      <c r="G82" s="943"/>
      <c r="H82" s="943"/>
      <c r="I82" s="942"/>
      <c r="J82" s="942"/>
      <c r="K82" s="942"/>
      <c r="L82" s="942"/>
      <c r="M82" s="942"/>
      <c r="N82" s="942"/>
      <c r="O82" s="942"/>
      <c r="P82" s="942"/>
      <c r="Q82" s="942"/>
      <c r="R82" s="942"/>
      <c r="S82" s="947"/>
      <c r="T82" s="947"/>
      <c r="U82" s="83" t="s">
        <v>268</v>
      </c>
      <c r="V82" s="732"/>
      <c r="W82" s="732"/>
      <c r="Y82" s="943"/>
      <c r="Z82" s="943"/>
      <c r="AA82" s="943"/>
      <c r="AB82" s="943"/>
      <c r="AC82" s="943"/>
      <c r="AD82" s="943"/>
      <c r="AE82" s="943"/>
      <c r="AF82" s="942"/>
      <c r="AG82" s="942"/>
      <c r="AH82" s="942"/>
      <c r="AI82" s="942"/>
      <c r="AJ82" s="942"/>
      <c r="AK82" s="942"/>
      <c r="AL82" s="942"/>
      <c r="AM82" s="942"/>
      <c r="AN82" s="942"/>
      <c r="AO82" s="942"/>
      <c r="AP82" s="947"/>
      <c r="AQ82" s="947"/>
      <c r="AR82" s="83" t="s">
        <v>268</v>
      </c>
      <c r="AS82" s="732"/>
      <c r="AT82" s="732"/>
    </row>
    <row r="83" spans="2:46" ht="8" customHeight="1" x14ac:dyDescent="0.25"/>
  </sheetData>
  <sheetProtection sheet="1" objects="1" scenarios="1"/>
  <mergeCells count="634">
    <mergeCell ref="Y81:AE81"/>
    <mergeCell ref="B60:H60"/>
    <mergeCell ref="Y75:AE75"/>
    <mergeCell ref="B51:H51"/>
    <mergeCell ref="S57:T57"/>
    <mergeCell ref="B25:H25"/>
    <mergeCell ref="AF14:AO14"/>
    <mergeCell ref="AS31:AT31"/>
    <mergeCell ref="AS18:AT18"/>
    <mergeCell ref="AS37:AT37"/>
    <mergeCell ref="AP54:AQ54"/>
    <mergeCell ref="B68:H68"/>
    <mergeCell ref="I81:R81"/>
    <mergeCell ref="Y53:AE53"/>
    <mergeCell ref="AF54:AO54"/>
    <mergeCell ref="V19:W19"/>
    <mergeCell ref="V16:W16"/>
    <mergeCell ref="Y25:AE25"/>
    <mergeCell ref="S41:T41"/>
    <mergeCell ref="AF65:AO65"/>
    <mergeCell ref="V76:W76"/>
    <mergeCell ref="I74:R74"/>
    <mergeCell ref="S65:T65"/>
    <mergeCell ref="I77:R77"/>
    <mergeCell ref="B6:H6"/>
    <mergeCell ref="AP5:AQ5"/>
    <mergeCell ref="V23:W23"/>
    <mergeCell ref="AP24:AQ24"/>
    <mergeCell ref="I18:R18"/>
    <mergeCell ref="P3:T3"/>
    <mergeCell ref="AP13:AQ13"/>
    <mergeCell ref="S30:T30"/>
    <mergeCell ref="B20:H20"/>
    <mergeCell ref="V28:W28"/>
    <mergeCell ref="AF29:AO29"/>
    <mergeCell ref="B27:C27"/>
    <mergeCell ref="P27:T27"/>
    <mergeCell ref="AF19:AO19"/>
    <mergeCell ref="V8:W8"/>
    <mergeCell ref="AF28:AO28"/>
    <mergeCell ref="Y9:AE9"/>
    <mergeCell ref="AF24:AO24"/>
    <mergeCell ref="S16:T16"/>
    <mergeCell ref="V24:W24"/>
    <mergeCell ref="AF23:AO23"/>
    <mergeCell ref="Y24:AE24"/>
    <mergeCell ref="U27:W27"/>
    <mergeCell ref="S22:T22"/>
    <mergeCell ref="B53:H53"/>
    <mergeCell ref="AF4:AO4"/>
    <mergeCell ref="V30:W30"/>
    <mergeCell ref="I13:R13"/>
    <mergeCell ref="Y4:AE4"/>
    <mergeCell ref="AF82:AO82"/>
    <mergeCell ref="B57:H57"/>
    <mergeCell ref="AS59:AT59"/>
    <mergeCell ref="I56:R56"/>
    <mergeCell ref="B29:H29"/>
    <mergeCell ref="V4:W4"/>
    <mergeCell ref="AF25:AO25"/>
    <mergeCell ref="I22:R22"/>
    <mergeCell ref="S8:T8"/>
    <mergeCell ref="AM27:AQ27"/>
    <mergeCell ref="I11:R11"/>
    <mergeCell ref="Y30:AE30"/>
    <mergeCell ref="AS10:AT10"/>
    <mergeCell ref="V22:W22"/>
    <mergeCell ref="Y23:AE23"/>
    <mergeCell ref="S11:T11"/>
    <mergeCell ref="AS78:AT78"/>
    <mergeCell ref="B63:H63"/>
    <mergeCell ref="V81:W81"/>
    <mergeCell ref="B44:H44"/>
    <mergeCell ref="AP77:AQ77"/>
    <mergeCell ref="I66:R66"/>
    <mergeCell ref="AF56:AO56"/>
    <mergeCell ref="S74:T74"/>
    <mergeCell ref="S68:T68"/>
    <mergeCell ref="AF59:AO59"/>
    <mergeCell ref="V55:W55"/>
    <mergeCell ref="B55:H55"/>
    <mergeCell ref="I51:R51"/>
    <mergeCell ref="AP67:AQ67"/>
    <mergeCell ref="V69:W69"/>
    <mergeCell ref="Y49:AE49"/>
    <mergeCell ref="V58:W58"/>
    <mergeCell ref="V56:W56"/>
    <mergeCell ref="S49:T49"/>
    <mergeCell ref="I65:R65"/>
    <mergeCell ref="I55:R55"/>
    <mergeCell ref="Y74:AE74"/>
    <mergeCell ref="AP51:AQ51"/>
    <mergeCell ref="I70:R70"/>
    <mergeCell ref="I53:R53"/>
    <mergeCell ref="S70:T70"/>
    <mergeCell ref="I48:R48"/>
    <mergeCell ref="I58:R58"/>
    <mergeCell ref="AF35:AO35"/>
    <mergeCell ref="Y65:AE65"/>
    <mergeCell ref="V40:W40"/>
    <mergeCell ref="AP58:AQ58"/>
    <mergeCell ref="AP75:AQ75"/>
    <mergeCell ref="V53:W53"/>
    <mergeCell ref="AS54:AT54"/>
    <mergeCell ref="AF47:AO47"/>
    <mergeCell ref="AS47:AT47"/>
    <mergeCell ref="S71:T71"/>
    <mergeCell ref="AF49:AO49"/>
    <mergeCell ref="I63:R63"/>
    <mergeCell ref="AP56:AQ56"/>
    <mergeCell ref="I46:R46"/>
    <mergeCell ref="Y63:AE63"/>
    <mergeCell ref="AS69:AT69"/>
    <mergeCell ref="AS52:AT52"/>
    <mergeCell ref="AS46:AT46"/>
    <mergeCell ref="S63:T63"/>
    <mergeCell ref="V64:W64"/>
    <mergeCell ref="AP35:AQ35"/>
    <mergeCell ref="AS36:AT36"/>
    <mergeCell ref="AP53:AQ53"/>
    <mergeCell ref="S77:T77"/>
    <mergeCell ref="B40:H40"/>
    <mergeCell ref="Y17:AE17"/>
    <mergeCell ref="AP31:AQ31"/>
    <mergeCell ref="B42:H42"/>
    <mergeCell ref="V20:W20"/>
    <mergeCell ref="Y27:Z27"/>
    <mergeCell ref="S21:T21"/>
    <mergeCell ref="I33:R33"/>
    <mergeCell ref="S42:T42"/>
    <mergeCell ref="B43:H43"/>
    <mergeCell ref="I43:R43"/>
    <mergeCell ref="I73:R73"/>
    <mergeCell ref="AF58:AO58"/>
    <mergeCell ref="S56:T56"/>
    <mergeCell ref="I71:R71"/>
    <mergeCell ref="B48:H48"/>
    <mergeCell ref="I75:R75"/>
    <mergeCell ref="AF20:AO20"/>
    <mergeCell ref="S37:T37"/>
    <mergeCell ref="AF17:AO17"/>
    <mergeCell ref="Y29:AE29"/>
    <mergeCell ref="S17:T17"/>
    <mergeCell ref="S64:T64"/>
    <mergeCell ref="AF73:AO73"/>
    <mergeCell ref="AS76:AT76"/>
    <mergeCell ref="AS35:AT35"/>
    <mergeCell ref="I41:R41"/>
    <mergeCell ref="AF21:AO21"/>
    <mergeCell ref="B30:H30"/>
    <mergeCell ref="S19:T19"/>
    <mergeCell ref="Y64:AE64"/>
    <mergeCell ref="Y55:AE55"/>
    <mergeCell ref="AF64:AO64"/>
    <mergeCell ref="AP76:AQ76"/>
    <mergeCell ref="Y56:AE56"/>
    <mergeCell ref="I64:R64"/>
    <mergeCell ref="AP38:AQ38"/>
    <mergeCell ref="AP48:AQ48"/>
    <mergeCell ref="AP55:AQ55"/>
    <mergeCell ref="Y38:AE38"/>
    <mergeCell ref="S69:T69"/>
    <mergeCell ref="AF40:AO40"/>
    <mergeCell ref="V65:W65"/>
    <mergeCell ref="I47:R47"/>
    <mergeCell ref="AP20:AQ20"/>
    <mergeCell ref="I29:R29"/>
    <mergeCell ref="Y41:AE41"/>
    <mergeCell ref="AF77:AO77"/>
    <mergeCell ref="Y78:AE78"/>
    <mergeCell ref="AP28:AQ28"/>
    <mergeCell ref="I67:R67"/>
    <mergeCell ref="AP49:AQ49"/>
    <mergeCell ref="AF71:AO71"/>
    <mergeCell ref="I40:R40"/>
    <mergeCell ref="I30:R30"/>
    <mergeCell ref="V71:W71"/>
    <mergeCell ref="AF48:AO48"/>
    <mergeCell ref="Y43:AE43"/>
    <mergeCell ref="AP65:AQ65"/>
    <mergeCell ref="Y47:AE47"/>
    <mergeCell ref="Y62:AE62"/>
    <mergeCell ref="S78:T78"/>
    <mergeCell ref="S44:T44"/>
    <mergeCell ref="S73:T73"/>
    <mergeCell ref="AF66:AO66"/>
    <mergeCell ref="V51:W51"/>
    <mergeCell ref="S46:T46"/>
    <mergeCell ref="S75:T75"/>
    <mergeCell ref="Y70:AE70"/>
    <mergeCell ref="S52:T52"/>
    <mergeCell ref="AP73:AQ73"/>
    <mergeCell ref="V78:W78"/>
    <mergeCell ref="Y82:AE82"/>
    <mergeCell ref="AS73:AT73"/>
    <mergeCell ref="B38:H38"/>
    <mergeCell ref="AP21:AQ21"/>
    <mergeCell ref="I14:R14"/>
    <mergeCell ref="V38:W38"/>
    <mergeCell ref="AP37:AQ37"/>
    <mergeCell ref="B78:H78"/>
    <mergeCell ref="AP66:AQ66"/>
    <mergeCell ref="S53:T53"/>
    <mergeCell ref="B76:H76"/>
    <mergeCell ref="AS53:AT53"/>
    <mergeCell ref="S66:T66"/>
    <mergeCell ref="AF52:AO52"/>
    <mergeCell ref="AS29:AT29"/>
    <mergeCell ref="B79:H79"/>
    <mergeCell ref="S54:T54"/>
    <mergeCell ref="Y77:AE77"/>
    <mergeCell ref="S76:T76"/>
    <mergeCell ref="B73:H73"/>
    <mergeCell ref="B37:H37"/>
    <mergeCell ref="B54:H54"/>
    <mergeCell ref="Y68:AE68"/>
    <mergeCell ref="AP69:AQ69"/>
    <mergeCell ref="B62:H62"/>
    <mergeCell ref="AP59:AQ59"/>
    <mergeCell ref="AP62:AQ62"/>
    <mergeCell ref="V66:W66"/>
    <mergeCell ref="V54:W54"/>
    <mergeCell ref="AF68:AO68"/>
    <mergeCell ref="B41:H41"/>
    <mergeCell ref="AP17:AQ17"/>
    <mergeCell ref="S35:T35"/>
    <mergeCell ref="AP41:AQ41"/>
    <mergeCell ref="V68:W68"/>
    <mergeCell ref="AP34:AQ34"/>
    <mergeCell ref="AF60:AO60"/>
    <mergeCell ref="V35:W35"/>
    <mergeCell ref="Y35:AE35"/>
    <mergeCell ref="AP45:AQ45"/>
    <mergeCell ref="AF38:AO38"/>
    <mergeCell ref="B28:H28"/>
    <mergeCell ref="AP40:AQ40"/>
    <mergeCell ref="Y59:AE59"/>
    <mergeCell ref="Y20:AE20"/>
    <mergeCell ref="I44:R44"/>
    <mergeCell ref="S20:T20"/>
    <mergeCell ref="B46:H46"/>
    <mergeCell ref="I21:R21"/>
    <mergeCell ref="S28:T28"/>
    <mergeCell ref="AW19:BR19"/>
    <mergeCell ref="AW24:BR24"/>
    <mergeCell ref="AS65:AT65"/>
    <mergeCell ref="Y5:AE5"/>
    <mergeCell ref="V34:W34"/>
    <mergeCell ref="AS25:AT25"/>
    <mergeCell ref="S13:T13"/>
    <mergeCell ref="AF8:AO8"/>
    <mergeCell ref="S45:T45"/>
    <mergeCell ref="Y45:AE45"/>
    <mergeCell ref="Y28:AE28"/>
    <mergeCell ref="AS23:AT23"/>
    <mergeCell ref="V43:W43"/>
    <mergeCell ref="AS43:AT43"/>
    <mergeCell ref="AW12:BR12"/>
    <mergeCell ref="AS62:AT62"/>
    <mergeCell ref="AS64:AT64"/>
    <mergeCell ref="AS38:AT38"/>
    <mergeCell ref="AS63:AT63"/>
    <mergeCell ref="S36:T36"/>
    <mergeCell ref="V46:W46"/>
    <mergeCell ref="AW8:BR8"/>
    <mergeCell ref="AW3:BR3"/>
    <mergeCell ref="B23:H23"/>
    <mergeCell ref="S43:T43"/>
    <mergeCell ref="Y34:AE34"/>
    <mergeCell ref="I36:R36"/>
    <mergeCell ref="S34:T34"/>
    <mergeCell ref="Y32:AE32"/>
    <mergeCell ref="AS12:AT12"/>
    <mergeCell ref="V32:W32"/>
    <mergeCell ref="Y12:AE12"/>
    <mergeCell ref="B24:H24"/>
    <mergeCell ref="V11:W11"/>
    <mergeCell ref="AF43:AO43"/>
    <mergeCell ref="S31:T31"/>
    <mergeCell ref="AW13:BR13"/>
    <mergeCell ref="AW9:BR9"/>
    <mergeCell ref="AW18:BR18"/>
    <mergeCell ref="AW14:BR14"/>
    <mergeCell ref="AW23:BR23"/>
    <mergeCell ref="AP9:AQ9"/>
    <mergeCell ref="AS4:AT4"/>
    <mergeCell ref="B16:H16"/>
    <mergeCell ref="AF5:AO5"/>
    <mergeCell ref="AP82:AQ82"/>
    <mergeCell ref="I62:R62"/>
    <mergeCell ref="Y60:AE60"/>
    <mergeCell ref="V77:W77"/>
    <mergeCell ref="Y76:AE76"/>
    <mergeCell ref="B22:H22"/>
    <mergeCell ref="AS6:AT6"/>
    <mergeCell ref="Y3:AE3"/>
    <mergeCell ref="AP25:AQ25"/>
    <mergeCell ref="I4:R4"/>
    <mergeCell ref="V3:W3"/>
    <mergeCell ref="AS42:AT42"/>
    <mergeCell ref="V52:W52"/>
    <mergeCell ref="AS34:AT34"/>
    <mergeCell ref="AS40:AT40"/>
    <mergeCell ref="AP12:AQ12"/>
    <mergeCell ref="V74:W74"/>
    <mergeCell ref="AS45:AT45"/>
    <mergeCell ref="S62:T62"/>
    <mergeCell ref="I69:R69"/>
    <mergeCell ref="AF74:AO74"/>
    <mergeCell ref="AP74:AQ74"/>
    <mergeCell ref="I76:R76"/>
    <mergeCell ref="AF44:AO44"/>
    <mergeCell ref="AF42:AO42"/>
    <mergeCell ref="AP44:AQ44"/>
    <mergeCell ref="AS9:AT9"/>
    <mergeCell ref="Y18:AE18"/>
    <mergeCell ref="AF22:AO22"/>
    <mergeCell ref="AF7:AO7"/>
    <mergeCell ref="S10:T10"/>
    <mergeCell ref="AP18:AQ18"/>
    <mergeCell ref="Y13:AE13"/>
    <mergeCell ref="AP22:AQ22"/>
    <mergeCell ref="B81:H81"/>
    <mergeCell ref="AF45:AO45"/>
    <mergeCell ref="Y71:AE71"/>
    <mergeCell ref="AF69:AO69"/>
    <mergeCell ref="AS3:AT3"/>
    <mergeCell ref="I45:R45"/>
    <mergeCell ref="AP64:AQ64"/>
    <mergeCell ref="V75:W75"/>
    <mergeCell ref="AF75:AO75"/>
    <mergeCell ref="B59:H59"/>
    <mergeCell ref="I68:R68"/>
    <mergeCell ref="S33:T33"/>
    <mergeCell ref="AP8:AQ8"/>
    <mergeCell ref="I17:R17"/>
    <mergeCell ref="AS14:AT14"/>
    <mergeCell ref="I38:R38"/>
    <mergeCell ref="V12:W12"/>
    <mergeCell ref="Y66:AE66"/>
    <mergeCell ref="AP42:AQ42"/>
    <mergeCell ref="AS51:AT51"/>
    <mergeCell ref="V45:W45"/>
    <mergeCell ref="AF51:AO51"/>
    <mergeCell ref="Y46:AE46"/>
    <mergeCell ref="AS57:AT57"/>
    <mergeCell ref="V80:W80"/>
    <mergeCell ref="AW6:BR6"/>
    <mergeCell ref="S81:T81"/>
    <mergeCell ref="AS82:AT82"/>
    <mergeCell ref="V5:W5"/>
    <mergeCell ref="AF79:AO79"/>
    <mergeCell ref="AS7:AT7"/>
    <mergeCell ref="S55:T55"/>
    <mergeCell ref="AS71:AT71"/>
    <mergeCell ref="Y33:AE33"/>
    <mergeCell ref="S59:T59"/>
    <mergeCell ref="Y21:AE21"/>
    <mergeCell ref="AP63:AQ63"/>
    <mergeCell ref="AS30:AT30"/>
    <mergeCell ref="V57:W57"/>
    <mergeCell ref="AP43:AQ43"/>
    <mergeCell ref="Y54:AE54"/>
    <mergeCell ref="AF67:AO67"/>
    <mergeCell ref="AP60:AQ60"/>
    <mergeCell ref="Y58:AE58"/>
    <mergeCell ref="V63:W63"/>
    <mergeCell ref="AF76:AO76"/>
    <mergeCell ref="V41:W41"/>
    <mergeCell ref="AF9:AO9"/>
    <mergeCell ref="BT8:CO8"/>
    <mergeCell ref="B35:H35"/>
    <mergeCell ref="V36:W36"/>
    <mergeCell ref="BT24:CO24"/>
    <mergeCell ref="AW17:BR17"/>
    <mergeCell ref="I19:R19"/>
    <mergeCell ref="S4:T4"/>
    <mergeCell ref="Y79:AE79"/>
    <mergeCell ref="AP32:AQ32"/>
    <mergeCell ref="H27:O27"/>
    <mergeCell ref="B49:H49"/>
    <mergeCell ref="B65:H65"/>
    <mergeCell ref="B77:H77"/>
    <mergeCell ref="S32:T32"/>
    <mergeCell ref="S24:T24"/>
    <mergeCell ref="AP16:AQ16"/>
    <mergeCell ref="V13:W13"/>
    <mergeCell ref="I7:R7"/>
    <mergeCell ref="AW11:BR11"/>
    <mergeCell ref="Y52:AE52"/>
    <mergeCell ref="B64:H64"/>
    <mergeCell ref="AS66:AT66"/>
    <mergeCell ref="AS56:AT56"/>
    <mergeCell ref="V67:W67"/>
    <mergeCell ref="BT11:CO11"/>
    <mergeCell ref="BT21:CO21"/>
    <mergeCell ref="S9:T9"/>
    <mergeCell ref="AP80:AQ80"/>
    <mergeCell ref="B4:H4"/>
    <mergeCell ref="AF37:AO37"/>
    <mergeCell ref="V82:W82"/>
    <mergeCell ref="B33:H33"/>
    <mergeCell ref="AW16:BR16"/>
    <mergeCell ref="V6:W6"/>
    <mergeCell ref="AF32:AO32"/>
    <mergeCell ref="I80:R80"/>
    <mergeCell ref="AW10:BR10"/>
    <mergeCell ref="I24:R24"/>
    <mergeCell ref="AP33:AQ33"/>
    <mergeCell ref="I9:R9"/>
    <mergeCell ref="AW22:BR22"/>
    <mergeCell ref="AW20:BR20"/>
    <mergeCell ref="AW21:BR21"/>
    <mergeCell ref="I57:R57"/>
    <mergeCell ref="AF81:AO81"/>
    <mergeCell ref="AS60:AT60"/>
    <mergeCell ref="AS68:AT68"/>
    <mergeCell ref="B71:H71"/>
    <mergeCell ref="I82:R82"/>
    <mergeCell ref="AS77:AT77"/>
    <mergeCell ref="Y44:AE44"/>
    <mergeCell ref="AE27:AL27"/>
    <mergeCell ref="V79:W79"/>
    <mergeCell ref="AS80:AT80"/>
    <mergeCell ref="AF33:AO33"/>
    <mergeCell ref="V33:W33"/>
    <mergeCell ref="Y80:AE80"/>
    <mergeCell ref="AP36:AQ36"/>
    <mergeCell ref="AP79:AQ79"/>
    <mergeCell ref="S60:T60"/>
    <mergeCell ref="Y57:AE57"/>
    <mergeCell ref="V70:W70"/>
    <mergeCell ref="V59:W59"/>
    <mergeCell ref="AF31:AO31"/>
    <mergeCell ref="S29:T29"/>
    <mergeCell ref="AS32:AT32"/>
    <mergeCell ref="AS58:AT58"/>
    <mergeCell ref="I28:R28"/>
    <mergeCell ref="AP30:AQ30"/>
    <mergeCell ref="Y31:AE31"/>
    <mergeCell ref="AP70:AQ70"/>
    <mergeCell ref="Y73:AE73"/>
    <mergeCell ref="S82:T82"/>
    <mergeCell ref="Y69:AE69"/>
    <mergeCell ref="AS81:AT81"/>
    <mergeCell ref="AS70:AT70"/>
    <mergeCell ref="S51:T51"/>
    <mergeCell ref="S40:T40"/>
    <mergeCell ref="AS41:AT41"/>
    <mergeCell ref="AM3:AQ3"/>
    <mergeCell ref="S18:T18"/>
    <mergeCell ref="Y22:AE22"/>
    <mergeCell ref="AR27:AT27"/>
    <mergeCell ref="AF18:AO18"/>
    <mergeCell ref="S23:T23"/>
    <mergeCell ref="AF12:AO12"/>
    <mergeCell ref="V49:W49"/>
    <mergeCell ref="AP81:AQ81"/>
    <mergeCell ref="Y8:AE8"/>
    <mergeCell ref="AS19:AT19"/>
    <mergeCell ref="AP4:AQ4"/>
    <mergeCell ref="S14:T14"/>
    <mergeCell ref="AS21:AT21"/>
    <mergeCell ref="AP10:AQ10"/>
    <mergeCell ref="AF10:AO10"/>
    <mergeCell ref="S12:T12"/>
    <mergeCell ref="BT6:CO6"/>
    <mergeCell ref="BT13:CO13"/>
    <mergeCell ref="BT3:CO3"/>
    <mergeCell ref="BT25:CO25"/>
    <mergeCell ref="AS13:AT13"/>
    <mergeCell ref="V25:W25"/>
    <mergeCell ref="AP19:AQ19"/>
    <mergeCell ref="I10:R10"/>
    <mergeCell ref="B9:H9"/>
    <mergeCell ref="B10:H10"/>
    <mergeCell ref="I25:R25"/>
    <mergeCell ref="B3:H3"/>
    <mergeCell ref="BT7:CO7"/>
    <mergeCell ref="BT18:CO18"/>
    <mergeCell ref="BT19:CO19"/>
    <mergeCell ref="B11:H11"/>
    <mergeCell ref="B7:H7"/>
    <mergeCell ref="B5:H5"/>
    <mergeCell ref="B8:H8"/>
    <mergeCell ref="B19:H19"/>
    <mergeCell ref="Y10:AE10"/>
    <mergeCell ref="B18:H18"/>
    <mergeCell ref="BT16:CO16"/>
    <mergeCell ref="B13:H13"/>
    <mergeCell ref="BT22:CO22"/>
    <mergeCell ref="B17:H17"/>
    <mergeCell ref="S5:T5"/>
    <mergeCell ref="AP52:AQ52"/>
    <mergeCell ref="S7:T7"/>
    <mergeCell ref="I49:R49"/>
    <mergeCell ref="AF36:AO36"/>
    <mergeCell ref="Y37:AE37"/>
    <mergeCell ref="S47:T47"/>
    <mergeCell ref="AS49:AT49"/>
    <mergeCell ref="Y16:AE16"/>
    <mergeCell ref="S25:T25"/>
    <mergeCell ref="AP14:AQ14"/>
    <mergeCell ref="I12:R12"/>
    <mergeCell ref="Y48:AE48"/>
    <mergeCell ref="AS5:AT5"/>
    <mergeCell ref="I35:R35"/>
    <mergeCell ref="BT12:CO12"/>
    <mergeCell ref="AW25:BR25"/>
    <mergeCell ref="BT5:CO5"/>
    <mergeCell ref="BT10:CO10"/>
    <mergeCell ref="BT17:CO17"/>
    <mergeCell ref="BT20:CO20"/>
    <mergeCell ref="BT14:CO14"/>
    <mergeCell ref="B80:H80"/>
    <mergeCell ref="V29:W29"/>
    <mergeCell ref="AS75:AT75"/>
    <mergeCell ref="AP78:AQ78"/>
    <mergeCell ref="AS67:AT67"/>
    <mergeCell ref="B82:H82"/>
    <mergeCell ref="I23:R23"/>
    <mergeCell ref="AF13:AO13"/>
    <mergeCell ref="B12:H12"/>
    <mergeCell ref="S58:T58"/>
    <mergeCell ref="AF16:AO16"/>
    <mergeCell ref="AP46:AQ46"/>
    <mergeCell ref="Y19:AE19"/>
    <mergeCell ref="V48:W48"/>
    <mergeCell ref="B47:H47"/>
    <mergeCell ref="B67:H67"/>
    <mergeCell ref="I34:R34"/>
    <mergeCell ref="AS16:AT16"/>
    <mergeCell ref="V60:W60"/>
    <mergeCell ref="AF57:AO57"/>
    <mergeCell ref="AS17:AT17"/>
    <mergeCell ref="AP47:AQ47"/>
    <mergeCell ref="V62:W62"/>
    <mergeCell ref="AS55:AT55"/>
    <mergeCell ref="BT9:CO9"/>
    <mergeCell ref="AW7:BR7"/>
    <mergeCell ref="BT23:CO23"/>
    <mergeCell ref="AP71:AQ71"/>
    <mergeCell ref="I5:R5"/>
    <mergeCell ref="AF62:AO62"/>
    <mergeCell ref="AF80:AO80"/>
    <mergeCell ref="V9:W9"/>
    <mergeCell ref="Y7:AE7"/>
    <mergeCell ref="AF11:AO11"/>
    <mergeCell ref="V17:W17"/>
    <mergeCell ref="AW5:BR5"/>
    <mergeCell ref="Y6:AE6"/>
    <mergeCell ref="AF34:AO34"/>
    <mergeCell ref="Y40:AE40"/>
    <mergeCell ref="AF41:AO41"/>
    <mergeCell ref="AS11:AT11"/>
    <mergeCell ref="I16:R16"/>
    <mergeCell ref="AS20:AT20"/>
    <mergeCell ref="Y14:AE14"/>
    <mergeCell ref="V18:W18"/>
    <mergeCell ref="AS24:AT24"/>
    <mergeCell ref="S67:T67"/>
    <mergeCell ref="AF78:AO78"/>
    <mergeCell ref="A1:AS1"/>
    <mergeCell ref="I52:R52"/>
    <mergeCell ref="AF70:AO70"/>
    <mergeCell ref="S80:T80"/>
    <mergeCell ref="B75:H75"/>
    <mergeCell ref="AF53:AO53"/>
    <mergeCell ref="B45:H45"/>
    <mergeCell ref="B34:H34"/>
    <mergeCell ref="AP23:AQ23"/>
    <mergeCell ref="AS44:AT44"/>
    <mergeCell ref="V14:W14"/>
    <mergeCell ref="B74:H74"/>
    <mergeCell ref="AF63:AO63"/>
    <mergeCell ref="AS79:AT79"/>
    <mergeCell ref="S79:T79"/>
    <mergeCell ref="V73:W73"/>
    <mergeCell ref="Y67:AE67"/>
    <mergeCell ref="AS74:AT74"/>
    <mergeCell ref="I31:R31"/>
    <mergeCell ref="B36:H36"/>
    <mergeCell ref="B14:H14"/>
    <mergeCell ref="V10:W10"/>
    <mergeCell ref="AF6:AO6"/>
    <mergeCell ref="V21:W21"/>
    <mergeCell ref="J2:M2"/>
    <mergeCell ref="I6:R6"/>
    <mergeCell ref="Y51:AE51"/>
    <mergeCell ref="AP7:AQ7"/>
    <mergeCell ref="V7:W7"/>
    <mergeCell ref="I59:R59"/>
    <mergeCell ref="V47:W47"/>
    <mergeCell ref="I60:R60"/>
    <mergeCell ref="AS8:AT8"/>
    <mergeCell ref="I32:R32"/>
    <mergeCell ref="V37:W37"/>
    <mergeCell ref="AS22:AT22"/>
    <mergeCell ref="I8:R8"/>
    <mergeCell ref="S6:T6"/>
    <mergeCell ref="Y11:AE11"/>
    <mergeCell ref="AF55:AO55"/>
    <mergeCell ref="S48:T48"/>
    <mergeCell ref="I42:R42"/>
    <mergeCell ref="I54:R54"/>
    <mergeCell ref="AP57:AQ57"/>
    <mergeCell ref="I37:R37"/>
    <mergeCell ref="AS28:AT28"/>
    <mergeCell ref="V31:W31"/>
    <mergeCell ref="AP6:AQ6"/>
    <mergeCell ref="AS48:AT48"/>
    <mergeCell ref="I79:R79"/>
    <mergeCell ref="B70:H70"/>
    <mergeCell ref="AP11:AQ11"/>
    <mergeCell ref="Y42:AE42"/>
    <mergeCell ref="I20:R20"/>
    <mergeCell ref="AS33:AT33"/>
    <mergeCell ref="AF30:AO30"/>
    <mergeCell ref="Y36:AE36"/>
    <mergeCell ref="B21:H21"/>
    <mergeCell ref="AP68:AQ68"/>
    <mergeCell ref="B69:H69"/>
    <mergeCell ref="B32:H32"/>
    <mergeCell ref="B52:H52"/>
    <mergeCell ref="B66:H66"/>
    <mergeCell ref="B58:H58"/>
    <mergeCell ref="B56:H56"/>
    <mergeCell ref="I78:R78"/>
    <mergeCell ref="S38:T38"/>
    <mergeCell ref="AF46:AO46"/>
    <mergeCell ref="AP29:AQ29"/>
    <mergeCell ref="V44:W44"/>
    <mergeCell ref="B31:H31"/>
    <mergeCell ref="V42:W42"/>
  </mergeCells>
  <phoneticPr fontId="83" type="noConversion"/>
  <conditionalFormatting sqref="B28:W82">
    <cfRule type="expression" dxfId="27" priority="1016">
      <formula>$B$27="无效"</formula>
    </cfRule>
  </conditionalFormatting>
  <conditionalFormatting sqref="Y28:AT82">
    <cfRule type="expression" dxfId="26" priority="995">
      <formula>$Y$27="无效"</formula>
    </cfRule>
  </conditionalFormatting>
  <conditionalFormatting sqref="AW16:BR25">
    <cfRule type="expression" dxfId="25" priority="3">
      <formula>COUNTA($AW$5:$BR$25)=0</formula>
    </cfRule>
  </conditionalFormatting>
  <conditionalFormatting sqref="BT1:CO1048576">
    <cfRule type="expression" dxfId="24" priority="5">
      <formula>COUNTA($BT$5:$CO$25,$AW$16:$BR$25)=0</formula>
    </cfRule>
  </conditionalFormatting>
  <conditionalFormatting sqref="BT16:CO25">
    <cfRule type="expression" dxfId="23" priority="2">
      <formula>COUNTA($BT$5:$CO$25)=0</formula>
    </cfRule>
  </conditionalFormatting>
  <dataValidations count="2">
    <dataValidation allowBlank="1" showInputMessage="1" sqref="AM3 AF3 N3:P3" xr:uid="{00000000-0002-0000-0200-000002000000}"/>
    <dataValidation type="list" allowBlank="1" showInputMessage="1" showErrorMessage="1" sqref="B27:C27 Y27:Z27" xr:uid="{00000000-0002-0000-0200-000007000000}">
      <formula1>"无效,有效"</formula1>
    </dataValidation>
  </dataValidations>
  <pageMargins left="0.75" right="0.75" top="1" bottom="1" header="0.51180555555555596" footer="0.51180555555555596"/>
  <extLst>
    <ext xmlns:x14="http://schemas.microsoft.com/office/spreadsheetml/2009/9/main" uri="{CCE6A557-97BC-4b89-ADB6-D9C93CAAB3DF}">
      <x14:dataValidations xmlns:xm="http://schemas.microsoft.com/office/excel/2006/main" count="11">
        <x14:dataValidation type="list" allowBlank="1" showInputMessage="1" xr:uid="{00000000-0002-0000-0200-000000000000}">
          <x14:formula1>
            <xm:f>装备数据!$Z43</xm:f>
          </x14:formula1>
          <xm:sqref>AP16:AQ25</xm:sqref>
        </x14:dataValidation>
        <x14:dataValidation type="list" allowBlank="1" showInputMessage="1" xr:uid="{00000000-0002-0000-0200-000001000000}">
          <x14:formula1>
            <xm:f>装备数据!$S$3:$S$142</xm:f>
          </x14:formula1>
          <xm:sqref>Y5:AE14 B5:H14 B16:H25 Y16:AE25</xm:sqref>
        </x14:dataValidation>
        <x14:dataValidation type="list" allowBlank="1" showInputMessage="1" xr:uid="{00000000-0002-0000-0200-000003000000}">
          <x14:formula1>
            <xm:f>装备数据!$Y33</xm:f>
          </x14:formula1>
          <xm:sqref>AF5:AO14</xm:sqref>
        </x14:dataValidation>
        <x14:dataValidation type="list" allowBlank="1" showInputMessage="1" xr:uid="{00000000-0002-0000-0200-000005000000}">
          <x14:formula1>
            <xm:f>装备数据!$S$138:$S$142</xm:f>
          </x14:formula1>
          <xm:sqref>Y3:AE3</xm:sqref>
        </x14:dataValidation>
        <x14:dataValidation type="list" allowBlank="1" showInputMessage="1" xr:uid="{00000000-0002-0000-0200-000008000000}">
          <x14:formula1>
            <xm:f>装备数据!$Y12</xm:f>
          </x14:formula1>
          <xm:sqref>I5:R14</xm:sqref>
        </x14:dataValidation>
        <x14:dataValidation type="list" allowBlank="1" showInputMessage="1" showErrorMessage="1" xr:uid="{00000000-0002-0000-0200-00000A000000}">
          <x14:formula1>
            <xm:f>装备数据!$S$138:$S$142</xm:f>
          </x14:formula1>
          <xm:sqref>B3:H3</xm:sqref>
        </x14:dataValidation>
        <x14:dataValidation type="list" allowBlank="1" showInputMessage="1" xr:uid="{00000000-0002-0000-0200-00000C000000}">
          <x14:formula1>
            <xm:f>装备数据!$Y22</xm:f>
          </x14:formula1>
          <xm:sqref>I16:R25</xm:sqref>
        </x14:dataValidation>
        <x14:dataValidation type="list" allowBlank="1" showInputMessage="1" xr:uid="{00000000-0002-0000-0200-00000D000000}">
          <x14:formula1>
            <xm:f>装备数据!$Z22</xm:f>
          </x14:formula1>
          <xm:sqref>S16:T25</xm:sqref>
        </x14:dataValidation>
        <x14:dataValidation type="list" allowBlank="1" showInputMessage="1" xr:uid="{00000000-0002-0000-0200-00000F000000}">
          <x14:formula1>
            <xm:f>装备数据!$Z12</xm:f>
          </x14:formula1>
          <xm:sqref>S5:T14</xm:sqref>
        </x14:dataValidation>
        <x14:dataValidation type="list" allowBlank="1" showInputMessage="1" xr:uid="{00000000-0002-0000-0200-000010000000}">
          <x14:formula1>
            <xm:f>装备数据!$Y43</xm:f>
          </x14:formula1>
          <xm:sqref>AF16:AO25</xm:sqref>
        </x14:dataValidation>
        <x14:dataValidation type="list" allowBlank="1" showInputMessage="1" xr:uid="{00000000-0002-0000-0200-000011000000}">
          <x14:formula1>
            <xm:f>装备数据!$Z33</xm:f>
          </x14:formula1>
          <xm:sqref>AP5:AQ14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2CB"/>
  </sheetPr>
  <dimension ref="B1:AK58"/>
  <sheetViews>
    <sheetView zoomScale="77" workbookViewId="0">
      <selection activeCell="V8" sqref="V8:V15"/>
    </sheetView>
  </sheetViews>
  <sheetFormatPr defaultColWidth="9" defaultRowHeight="16.5" x14ac:dyDescent="0.25"/>
  <cols>
    <col min="1" max="1" width="3.08984375" style="78" customWidth="1"/>
    <col min="2" max="2" width="1.6328125" style="78" customWidth="1"/>
    <col min="3" max="18" width="5.6328125" style="78" customWidth="1"/>
    <col min="19" max="19" width="1.6328125" style="78" customWidth="1"/>
    <col min="20" max="20" width="3.08984375" style="78" customWidth="1"/>
    <col min="21" max="21" width="2.36328125" style="86" customWidth="1"/>
    <col min="22" max="22" width="15.6328125" style="78" customWidth="1"/>
    <col min="23" max="23" width="3.08984375" style="78" customWidth="1"/>
    <col min="24" max="24" width="2.36328125" style="78" customWidth="1"/>
    <col min="25" max="25" width="15.6328125" style="78" customWidth="1"/>
    <col min="26" max="26" width="3.08984375" style="78" customWidth="1"/>
    <col min="27" max="27" width="2.36328125" style="78" customWidth="1"/>
    <col min="28" max="28" width="15.6328125" style="78" customWidth="1"/>
    <col min="29" max="29" width="3.08984375" style="78" customWidth="1"/>
    <col min="30" max="30" width="2.36328125" style="78" customWidth="1"/>
    <col min="31" max="31" width="15.6328125" style="78" customWidth="1"/>
    <col min="32" max="32" width="3.08984375" style="78" customWidth="1"/>
    <col min="33" max="33" width="2.36328125" style="78" customWidth="1"/>
    <col min="34" max="34" width="15.6328125" style="78" customWidth="1"/>
    <col min="35" max="35" width="3.08984375" style="78" customWidth="1"/>
    <col min="36" max="36" width="2.36328125" style="78" customWidth="1"/>
    <col min="37" max="37" width="15.6328125" style="78" customWidth="1"/>
    <col min="38" max="16384" width="9" style="78"/>
  </cols>
  <sheetData>
    <row r="1" spans="2:37" ht="17.5" customHeight="1" x14ac:dyDescent="0.25"/>
    <row r="2" spans="2:37" ht="10" customHeight="1" x14ac:dyDescent="0.25">
      <c r="B2" s="978"/>
      <c r="C2" s="979"/>
      <c r="D2" s="979"/>
      <c r="E2" s="979"/>
      <c r="F2" s="979"/>
      <c r="G2" s="979"/>
      <c r="H2" s="979"/>
      <c r="I2" s="979"/>
      <c r="J2" s="979"/>
      <c r="K2" s="979"/>
      <c r="L2" s="979"/>
      <c r="M2" s="979"/>
      <c r="N2" s="979"/>
      <c r="O2" s="979"/>
      <c r="P2" s="979"/>
      <c r="Q2" s="979"/>
      <c r="R2" s="979"/>
      <c r="S2" s="980"/>
      <c r="T2" s="986" t="s">
        <v>271</v>
      </c>
      <c r="U2" s="817"/>
      <c r="V2" s="817"/>
      <c r="W2" s="817"/>
      <c r="X2" s="817"/>
      <c r="Y2" s="817"/>
    </row>
    <row r="3" spans="2:37" ht="17.5" customHeight="1" x14ac:dyDescent="0.25">
      <c r="B3" s="995"/>
      <c r="C3" s="977" t="str">
        <f>IF(Y5&lt;&gt;"",Y5,V5)</f>
        <v/>
      </c>
      <c r="D3" s="977"/>
      <c r="E3" s="977"/>
      <c r="F3" s="977"/>
      <c r="G3" s="977"/>
      <c r="H3" s="977"/>
      <c r="I3" s="977"/>
      <c r="J3" s="977"/>
      <c r="K3" s="977"/>
      <c r="L3" s="977"/>
      <c r="M3" s="977"/>
      <c r="N3" s="977"/>
      <c r="O3" s="977"/>
      <c r="P3" s="977"/>
      <c r="Q3" s="977"/>
      <c r="R3" s="977"/>
      <c r="S3" s="1001"/>
      <c r="T3" s="987"/>
      <c r="U3" s="988"/>
      <c r="V3" s="988"/>
      <c r="W3" s="988"/>
      <c r="X3" s="988"/>
      <c r="Y3" s="988"/>
    </row>
    <row r="4" spans="2:37" ht="17.5" customHeight="1" x14ac:dyDescent="0.25">
      <c r="B4" s="996"/>
      <c r="C4" s="977"/>
      <c r="D4" s="977"/>
      <c r="E4" s="977"/>
      <c r="F4" s="977"/>
      <c r="G4" s="977"/>
      <c r="H4" s="977"/>
      <c r="I4" s="977"/>
      <c r="J4" s="977"/>
      <c r="K4" s="977"/>
      <c r="L4" s="977"/>
      <c r="M4" s="977"/>
      <c r="N4" s="977"/>
      <c r="O4" s="977"/>
      <c r="P4" s="977"/>
      <c r="Q4" s="977"/>
      <c r="R4" s="977"/>
      <c r="S4" s="1002"/>
      <c r="T4" s="985" t="s">
        <v>272</v>
      </c>
      <c r="U4" s="985"/>
      <c r="V4" s="87" t="s">
        <v>273</v>
      </c>
      <c r="W4" s="985" t="s">
        <v>274</v>
      </c>
      <c r="X4" s="985"/>
      <c r="Y4" s="88">
        <f>101-法术数据!AV10</f>
        <v>1</v>
      </c>
    </row>
    <row r="5" spans="2:37" ht="17.5" customHeight="1" x14ac:dyDescent="0.25">
      <c r="B5" s="996"/>
      <c r="C5" s="977"/>
      <c r="D5" s="977"/>
      <c r="E5" s="977"/>
      <c r="F5" s="977"/>
      <c r="G5" s="977"/>
      <c r="H5" s="977"/>
      <c r="I5" s="977"/>
      <c r="J5" s="977"/>
      <c r="K5" s="977"/>
      <c r="L5" s="977"/>
      <c r="M5" s="977"/>
      <c r="N5" s="977"/>
      <c r="O5" s="977"/>
      <c r="P5" s="977"/>
      <c r="Q5" s="977"/>
      <c r="R5" s="977"/>
      <c r="S5" s="1002"/>
      <c r="T5" s="816"/>
      <c r="U5" s="89" t="str">
        <f>IF(V5="","","Lv")</f>
        <v/>
      </c>
      <c r="V5" s="992" t="str">
        <f>IF(V4="法术书1",VLOOKUP(101-法术数据!AV10,法术数据!AJ:AK,2,FALSE),IF(V4="法术书2",VLOOKUP(201-法术数据!AV10,法术数据!AJ:AK,2,FALSE),IF(V4="法术书3",VLOOKUP(301-法术数据!AV10,法术数据!AJ:AK,2,FALSE),"空白标签")))</f>
        <v/>
      </c>
      <c r="W5" s="989" t="s">
        <v>275</v>
      </c>
      <c r="X5" s="990"/>
      <c r="Y5" s="983"/>
    </row>
    <row r="6" spans="2:37" ht="17.5" customHeight="1" x14ac:dyDescent="0.25">
      <c r="B6" s="996"/>
      <c r="C6" s="977"/>
      <c r="D6" s="977"/>
      <c r="E6" s="977"/>
      <c r="F6" s="977"/>
      <c r="G6" s="977"/>
      <c r="H6" s="977"/>
      <c r="I6" s="977"/>
      <c r="J6" s="977"/>
      <c r="K6" s="977"/>
      <c r="L6" s="977"/>
      <c r="M6" s="977"/>
      <c r="N6" s="977"/>
      <c r="O6" s="977"/>
      <c r="P6" s="977"/>
      <c r="Q6" s="977"/>
      <c r="R6" s="977"/>
      <c r="S6" s="1002"/>
      <c r="T6" s="988"/>
      <c r="U6" s="90" t="str">
        <f>IFERROR(VLOOKUP(V5,法术数据!B:P,15,FALSE),"")</f>
        <v/>
      </c>
      <c r="V6" s="992"/>
      <c r="W6" s="987"/>
      <c r="X6" s="991"/>
      <c r="Y6" s="984"/>
    </row>
    <row r="7" spans="2:37" ht="17.5" customHeight="1" x14ac:dyDescent="0.25">
      <c r="B7" s="996"/>
      <c r="C7" s="981"/>
      <c r="D7" s="979"/>
      <c r="E7" s="979"/>
      <c r="F7" s="979"/>
      <c r="G7" s="979"/>
      <c r="H7" s="979"/>
      <c r="I7" s="979"/>
      <c r="J7" s="979"/>
      <c r="K7" s="979"/>
      <c r="L7" s="979"/>
      <c r="M7" s="979"/>
      <c r="N7" s="979"/>
      <c r="O7" s="979"/>
      <c r="P7" s="979"/>
      <c r="Q7" s="979"/>
      <c r="R7" s="982"/>
      <c r="S7" s="1002"/>
      <c r="T7" s="969" t="s">
        <v>273</v>
      </c>
      <c r="U7" s="970"/>
      <c r="V7" s="969"/>
      <c r="W7" s="969"/>
      <c r="X7" s="969"/>
      <c r="Y7" s="969"/>
      <c r="Z7" s="969" t="s">
        <v>276</v>
      </c>
      <c r="AA7" s="970"/>
      <c r="AB7" s="969"/>
      <c r="AC7" s="969"/>
      <c r="AD7" s="969"/>
      <c r="AE7" s="969"/>
      <c r="AF7" s="969" t="s">
        <v>277</v>
      </c>
      <c r="AG7" s="970"/>
      <c r="AH7" s="969"/>
      <c r="AI7" s="969"/>
      <c r="AJ7" s="969"/>
      <c r="AK7" s="969"/>
    </row>
    <row r="8" spans="2:37" ht="17.5" customHeight="1" x14ac:dyDescent="0.25">
      <c r="B8" s="996"/>
      <c r="C8" s="1013" t="str">
        <f>IF(C3="","",VLOOKUP(C3,法术数据!B:C,2,FALSE))</f>
        <v/>
      </c>
      <c r="D8" s="1014"/>
      <c r="E8" s="1014"/>
      <c r="F8" s="1014"/>
      <c r="G8" s="1014"/>
      <c r="H8" s="1014"/>
      <c r="I8" s="1014"/>
      <c r="J8" s="1015"/>
      <c r="K8" s="91"/>
      <c r="L8" s="1025"/>
      <c r="M8" s="993"/>
      <c r="N8" s="994"/>
      <c r="O8" s="993" t="str">
        <f>IF(C3="","","出自："&amp;VLOOKUP(C3,法术数据!B:Q,16,FALSE))</f>
        <v/>
      </c>
      <c r="P8" s="993"/>
      <c r="Q8" s="993"/>
      <c r="R8" s="994"/>
      <c r="S8" s="1002"/>
      <c r="T8" s="92" t="str">
        <f>IF(V8="","",法术数据!AJ2)</f>
        <v/>
      </c>
      <c r="U8" s="93" t="str">
        <f>IFERROR(VLOOKUP(V8,法术数据!B:P,15,FALSE),"")</f>
        <v/>
      </c>
      <c r="V8" s="94"/>
      <c r="W8" s="92" t="str">
        <f>IF(Y8="","",法术数据!AJ52)</f>
        <v/>
      </c>
      <c r="X8" s="93" t="str">
        <f>IFERROR(VLOOKUP(Y8,法术数据!B:P,15,FALSE),"")</f>
        <v/>
      </c>
      <c r="Y8" s="94"/>
      <c r="Z8" s="92" t="str">
        <f>IF(AB8="","",法术数据!AJ2)</f>
        <v/>
      </c>
      <c r="AA8" s="93" t="str">
        <f>IFERROR(VLOOKUP(AB8,法术数据!B:P,15,FALSE),"")</f>
        <v/>
      </c>
      <c r="AB8" s="94"/>
      <c r="AC8" s="95" t="str">
        <f>IF(AE8="","",法术数据!AJ52)</f>
        <v/>
      </c>
      <c r="AD8" s="96" t="str">
        <f>IFERROR(VLOOKUP(AE8,法术数据!B:P,15,FALSE),"")</f>
        <v/>
      </c>
      <c r="AE8" s="97"/>
      <c r="AF8" s="92" t="str">
        <f>IF(AH8="","",法术数据!AJ2)</f>
        <v/>
      </c>
      <c r="AG8" s="93" t="str">
        <f>IFERROR(VLOOKUP(AH8,法术数据!B:P,15,FALSE),"")</f>
        <v/>
      </c>
      <c r="AH8" s="94"/>
      <c r="AI8" s="95" t="str">
        <f>IF(AK8="","",法术数据!AJ52)</f>
        <v/>
      </c>
      <c r="AJ8" s="96" t="str">
        <f>IFERROR(VLOOKUP(AK8,法术数据!B:P,15,FALSE),"")</f>
        <v/>
      </c>
      <c r="AK8" s="97"/>
    </row>
    <row r="9" spans="2:37" ht="17.5" customHeight="1" x14ac:dyDescent="0.25">
      <c r="B9" s="996"/>
      <c r="C9" s="971" t="str">
        <f>IF(C3="","","施法时间： "&amp;VLOOKUP(C3,法术数据!B:F,5,FALSE)&amp;IF(VLOOKUP(C3,法术数据!B:D,3,FALSE)=1,"（仪式）",""))</f>
        <v/>
      </c>
      <c r="D9" s="972"/>
      <c r="E9" s="972"/>
      <c r="F9" s="972"/>
      <c r="G9" s="972"/>
      <c r="H9" s="972"/>
      <c r="I9" s="972"/>
      <c r="J9" s="972"/>
      <c r="K9" s="972"/>
      <c r="L9" s="972"/>
      <c r="M9" s="972"/>
      <c r="N9" s="973"/>
      <c r="O9" s="971" t="str">
        <f>IF(C3="","",VLOOKUP(VLOOKUP(C3,法术数据!B:P,15,FALSE),CHOOSE({1,2},法术数据!AI2:AI11,法术数据!AH2:AH11),2,FALSE)&amp;" / "&amp;VLOOKUP(C3,法术数据!B:E,4,FALSE))</f>
        <v/>
      </c>
      <c r="P9" s="972"/>
      <c r="Q9" s="972"/>
      <c r="R9" s="973"/>
      <c r="S9" s="1002"/>
      <c r="T9" s="98" t="str">
        <f>IF(V9="","",法术数据!AJ3)</f>
        <v/>
      </c>
      <c r="U9" s="99" t="str">
        <f>IFERROR(VLOOKUP(V9,法术数据!B:P,15,FALSE),"")</f>
        <v/>
      </c>
      <c r="V9" s="100"/>
      <c r="W9" s="98" t="str">
        <f>IF(Y9="","",法术数据!AJ53)</f>
        <v/>
      </c>
      <c r="X9" s="99" t="str">
        <f>IFERROR(VLOOKUP(Y9,法术数据!B:P,15,FALSE),"")</f>
        <v/>
      </c>
      <c r="Y9" s="100"/>
      <c r="Z9" s="98" t="str">
        <f>IF(AB9="","",法术数据!AJ3)</f>
        <v/>
      </c>
      <c r="AA9" s="99" t="str">
        <f>IFERROR(VLOOKUP(AB9,法术数据!B:P,15,FALSE),"")</f>
        <v/>
      </c>
      <c r="AB9" s="100"/>
      <c r="AC9" s="101" t="str">
        <f>IF(AE9="","",法术数据!AV53)</f>
        <v/>
      </c>
      <c r="AD9" s="102" t="str">
        <f>IFERROR(VLOOKUP(AE9,法术数据!B:P,15,FALSE),"")</f>
        <v/>
      </c>
      <c r="AE9" s="103"/>
      <c r="AF9" s="98" t="str">
        <f>IF(AH9="","",法术数据!AJ3)</f>
        <v/>
      </c>
      <c r="AG9" s="99" t="str">
        <f>IFERROR(VLOOKUP(AH9,法术数据!B:P,15,FALSE),"")</f>
        <v/>
      </c>
      <c r="AH9" s="100"/>
      <c r="AI9" s="101" t="str">
        <f>IF(AK9="","",法术数据!AT53)</f>
        <v/>
      </c>
      <c r="AJ9" s="102" t="str">
        <f>IFERROR(VLOOKUP(AK9,法术数据!B:P,15,FALSE),"")</f>
        <v/>
      </c>
      <c r="AK9" s="103"/>
    </row>
    <row r="10" spans="2:37" ht="17.5" customHeight="1" x14ac:dyDescent="0.25">
      <c r="B10" s="996"/>
      <c r="C10" s="974"/>
      <c r="D10" s="975"/>
      <c r="E10" s="975"/>
      <c r="F10" s="975"/>
      <c r="G10" s="975"/>
      <c r="H10" s="975"/>
      <c r="I10" s="975"/>
      <c r="J10" s="975"/>
      <c r="K10" s="975"/>
      <c r="L10" s="975"/>
      <c r="M10" s="975"/>
      <c r="N10" s="976"/>
      <c r="O10" s="974"/>
      <c r="P10" s="975"/>
      <c r="Q10" s="975"/>
      <c r="R10" s="976"/>
      <c r="S10" s="1002"/>
      <c r="T10" s="92" t="str">
        <f>IF(V10="","",法术数据!AJ4)</f>
        <v/>
      </c>
      <c r="U10" s="93" t="str">
        <f>IFERROR(VLOOKUP(V10,法术数据!B:P,15,FALSE),"")</f>
        <v/>
      </c>
      <c r="V10" s="94"/>
      <c r="W10" s="92" t="str">
        <f>IF(Y10="","",法术数据!AJ54)</f>
        <v/>
      </c>
      <c r="X10" s="93" t="str">
        <f>IFERROR(VLOOKUP(Y10,法术数据!B:P,15,FALSE),"")</f>
        <v/>
      </c>
      <c r="Y10" s="94"/>
      <c r="Z10" s="92" t="str">
        <f>IF(AB10="","",法术数据!AJ4)</f>
        <v/>
      </c>
      <c r="AA10" s="93" t="str">
        <f>IFERROR(VLOOKUP(AB10,法术数据!B:P,15,FALSE),"")</f>
        <v/>
      </c>
      <c r="AB10" s="94"/>
      <c r="AC10" s="95" t="str">
        <f>IF(AE10="","",法术数据!AJ54)</f>
        <v/>
      </c>
      <c r="AD10" s="96" t="str">
        <f>IFERROR(VLOOKUP(AE10,法术数据!B:P,15,FALSE),"")</f>
        <v/>
      </c>
      <c r="AE10" s="97"/>
      <c r="AF10" s="92" t="str">
        <f>IF(AH10="","",法术数据!AJ4)</f>
        <v/>
      </c>
      <c r="AG10" s="93" t="str">
        <f>IFERROR(VLOOKUP(AH10,法术数据!B:P,15,FALSE),"")</f>
        <v/>
      </c>
      <c r="AH10" s="94"/>
      <c r="AI10" s="95" t="str">
        <f>IF(AK10="","",法术数据!AJ54)</f>
        <v/>
      </c>
      <c r="AJ10" s="96" t="str">
        <f>IFERROR(VLOOKUP(AK10,法术数据!B:P,15,FALSE),"")</f>
        <v/>
      </c>
      <c r="AK10" s="97"/>
    </row>
    <row r="11" spans="2:37" ht="17.5" customHeight="1" x14ac:dyDescent="0.25">
      <c r="B11" s="996"/>
      <c r="C11" s="971" t="str">
        <f>IF(C3="","","法术成分："&amp;IF(VLOOKUP(C3,法术数据!B:H,7,FALSE)=1," 言语 ","")&amp;IF(VLOOKUP(C3,法术数据!B:I,8,FALSE)=1," 姿势 ","")&amp;IF(VLOOKUP(C3,法术数据!B:J,9,FALSE)=1," 材料 ",""))</f>
        <v/>
      </c>
      <c r="D11" s="972"/>
      <c r="E11" s="972"/>
      <c r="F11" s="972"/>
      <c r="G11" s="972"/>
      <c r="H11" s="972"/>
      <c r="I11" s="972"/>
      <c r="J11" s="973"/>
      <c r="K11" s="971" t="str">
        <f>IF(C3="","","施法距离： "&amp;(VLOOKUP(C3,法术数据!B:G,6,FALSE)))</f>
        <v/>
      </c>
      <c r="L11" s="972"/>
      <c r="M11" s="972"/>
      <c r="N11" s="972"/>
      <c r="O11" s="972"/>
      <c r="P11" s="972"/>
      <c r="Q11" s="972"/>
      <c r="R11" s="973"/>
      <c r="S11" s="1002"/>
      <c r="T11" s="98" t="str">
        <f>IF(V11="","",法术数据!AJ5)</f>
        <v/>
      </c>
      <c r="U11" s="99" t="str">
        <f>IFERROR(VLOOKUP(V11,法术数据!B:P,15,FALSE),"")</f>
        <v/>
      </c>
      <c r="V11" s="100"/>
      <c r="W11" s="98" t="str">
        <f>IF(Y11="","",法术数据!AJ55)</f>
        <v/>
      </c>
      <c r="X11" s="99" t="str">
        <f>IFERROR(VLOOKUP(Y11,法术数据!B:P,15,FALSE),"")</f>
        <v/>
      </c>
      <c r="Y11" s="100"/>
      <c r="Z11" s="98" t="str">
        <f>IF(AB11="","",法术数据!AJ5)</f>
        <v/>
      </c>
      <c r="AA11" s="99" t="str">
        <f>IFERROR(VLOOKUP(AB11,法术数据!B:P,15,FALSE),"")</f>
        <v/>
      </c>
      <c r="AB11" s="100"/>
      <c r="AC11" s="101" t="str">
        <f>IF(AE11="","",法术数据!AV55)</f>
        <v/>
      </c>
      <c r="AD11" s="102" t="str">
        <f>IFERROR(VLOOKUP(AE11,法术数据!B:P,15,FALSE),"")</f>
        <v/>
      </c>
      <c r="AE11" s="103"/>
      <c r="AF11" s="98" t="str">
        <f>IF(AH11="","",法术数据!AJ5)</f>
        <v/>
      </c>
      <c r="AG11" s="99" t="str">
        <f>IFERROR(VLOOKUP(AH11,法术数据!B:P,15,FALSE),"")</f>
        <v/>
      </c>
      <c r="AH11" s="100"/>
      <c r="AI11" s="101" t="str">
        <f>IF(AK11="","",法术数据!AT55)</f>
        <v/>
      </c>
      <c r="AJ11" s="102" t="str">
        <f>IFERROR(VLOOKUP(AK11,法术数据!B:P,15,FALSE),"")</f>
        <v/>
      </c>
      <c r="AK11" s="103"/>
    </row>
    <row r="12" spans="2:37" ht="17.5" customHeight="1" x14ac:dyDescent="0.25">
      <c r="B12" s="996"/>
      <c r="C12" s="974"/>
      <c r="D12" s="975"/>
      <c r="E12" s="975"/>
      <c r="F12" s="975"/>
      <c r="G12" s="975"/>
      <c r="H12" s="975"/>
      <c r="I12" s="975"/>
      <c r="J12" s="976"/>
      <c r="K12" s="974"/>
      <c r="L12" s="975"/>
      <c r="M12" s="975"/>
      <c r="N12" s="975"/>
      <c r="O12" s="975"/>
      <c r="P12" s="975"/>
      <c r="Q12" s="975"/>
      <c r="R12" s="976"/>
      <c r="S12" s="1002"/>
      <c r="T12" s="92" t="str">
        <f>IF(V12="","",法术数据!AJ6)</f>
        <v/>
      </c>
      <c r="U12" s="93" t="str">
        <f>IFERROR(VLOOKUP(V12,法术数据!B:P,15,FALSE),"")</f>
        <v/>
      </c>
      <c r="V12" s="94"/>
      <c r="W12" s="92" t="str">
        <f>IF(Y12="","",法术数据!AJ56)</f>
        <v/>
      </c>
      <c r="X12" s="93" t="str">
        <f>IFERROR(VLOOKUP(Y12,法术数据!B:P,15,FALSE),"")</f>
        <v/>
      </c>
      <c r="Y12" s="94"/>
      <c r="Z12" s="92" t="str">
        <f>IF(AB12="","",法术数据!AJ6)</f>
        <v/>
      </c>
      <c r="AA12" s="93" t="str">
        <f>IFERROR(VLOOKUP(AB12,法术数据!B:P,15,FALSE),"")</f>
        <v/>
      </c>
      <c r="AB12" s="94"/>
      <c r="AC12" s="95" t="str">
        <f>IF(AE12="","",法术数据!AJ56)</f>
        <v/>
      </c>
      <c r="AD12" s="96" t="str">
        <f>IFERROR(VLOOKUP(AE12,法术数据!B:P,15,FALSE),"")</f>
        <v/>
      </c>
      <c r="AE12" s="97"/>
      <c r="AF12" s="92" t="str">
        <f>IF(AH12="","",法术数据!AJ6)</f>
        <v/>
      </c>
      <c r="AG12" s="93" t="str">
        <f>IFERROR(VLOOKUP(AH12,法术数据!B:P,15,FALSE),"")</f>
        <v/>
      </c>
      <c r="AH12" s="94"/>
      <c r="AI12" s="95" t="str">
        <f>IF(AK12="","",法术数据!AJ56)</f>
        <v/>
      </c>
      <c r="AJ12" s="96" t="str">
        <f>IFERROR(VLOOKUP(AK12,法术数据!B:P,15,FALSE),"")</f>
        <v/>
      </c>
      <c r="AK12" s="97"/>
    </row>
    <row r="13" spans="2:37" ht="17.5" customHeight="1" x14ac:dyDescent="0.25">
      <c r="B13" s="996"/>
      <c r="C13" s="971" t="str">
        <f>IF(C3="","",IF(VLOOKUP(C3,法术数据!B:K,10,FALSE)="","","触媒： "&amp;VLOOKUP(C3,法术数据!B:K,10,FALSE))&amp;IF(VLOOKUP(C3,法术数据!B:J,9,FALSE)=2,CHAR(10),"")&amp;IF(VLOOKUP(C3,法术数据!B:L,11,FALSE)="","","耗材： "&amp;(VLOOKUP(C3,法术数据!B:L,11,FALSE))))</f>
        <v/>
      </c>
      <c r="D13" s="972"/>
      <c r="E13" s="972"/>
      <c r="F13" s="972"/>
      <c r="G13" s="972"/>
      <c r="H13" s="972"/>
      <c r="I13" s="972"/>
      <c r="J13" s="972"/>
      <c r="K13" s="972"/>
      <c r="L13" s="972"/>
      <c r="M13" s="972"/>
      <c r="N13" s="972"/>
      <c r="O13" s="972"/>
      <c r="P13" s="972"/>
      <c r="Q13" s="972"/>
      <c r="R13" s="973"/>
      <c r="S13" s="1002"/>
      <c r="T13" s="98" t="str">
        <f>IF(V13="","",法术数据!AJ7)</f>
        <v/>
      </c>
      <c r="U13" s="99" t="str">
        <f>IFERROR(VLOOKUP(V13,法术数据!B:P,15,FALSE),"")</f>
        <v/>
      </c>
      <c r="V13" s="100"/>
      <c r="W13" s="98" t="str">
        <f>IF(Y13="","",法术数据!AJ57)</f>
        <v/>
      </c>
      <c r="X13" s="99" t="str">
        <f>IFERROR(VLOOKUP(Y13,法术数据!B:P,15,FALSE),"")</f>
        <v/>
      </c>
      <c r="Y13" s="100"/>
      <c r="Z13" s="98" t="str">
        <f>IF(AB13="","",法术数据!AJ7)</f>
        <v/>
      </c>
      <c r="AA13" s="99" t="str">
        <f>IFERROR(VLOOKUP(AB13,法术数据!B:P,15,FALSE),"")</f>
        <v/>
      </c>
      <c r="AB13" s="100"/>
      <c r="AC13" s="101" t="str">
        <f>IF(AE13="","",法术数据!AV57)</f>
        <v/>
      </c>
      <c r="AD13" s="102" t="str">
        <f>IFERROR(VLOOKUP(AE13,法术数据!B:P,15,FALSE),"")</f>
        <v/>
      </c>
      <c r="AE13" s="103"/>
      <c r="AF13" s="98" t="str">
        <f>IF(AH13="","",法术数据!AJ7)</f>
        <v/>
      </c>
      <c r="AG13" s="99" t="str">
        <f>IFERROR(VLOOKUP(AH13,法术数据!B:P,15,FALSE),"")</f>
        <v/>
      </c>
      <c r="AH13" s="100"/>
      <c r="AI13" s="101" t="str">
        <f>IF(AK13="","",法术数据!AT57)</f>
        <v/>
      </c>
      <c r="AJ13" s="102" t="str">
        <f>IFERROR(VLOOKUP(AK13,法术数据!B:P,15,FALSE),"")</f>
        <v/>
      </c>
      <c r="AK13" s="103"/>
    </row>
    <row r="14" spans="2:37" x14ac:dyDescent="0.25">
      <c r="B14" s="996"/>
      <c r="C14" s="1016"/>
      <c r="D14" s="1017"/>
      <c r="E14" s="1017"/>
      <c r="F14" s="1017"/>
      <c r="G14" s="1017"/>
      <c r="H14" s="1017"/>
      <c r="I14" s="1017"/>
      <c r="J14" s="1017"/>
      <c r="K14" s="1017"/>
      <c r="L14" s="1017"/>
      <c r="M14" s="1017"/>
      <c r="N14" s="1017"/>
      <c r="O14" s="1017"/>
      <c r="P14" s="1017"/>
      <c r="Q14" s="1017"/>
      <c r="R14" s="1018"/>
      <c r="S14" s="1002"/>
      <c r="T14" s="92" t="str">
        <f>IF(V14="","",法术数据!AJ8)</f>
        <v/>
      </c>
      <c r="U14" s="93" t="str">
        <f>IFERROR(VLOOKUP(V14,法术数据!B:P,15,FALSE),"")</f>
        <v/>
      </c>
      <c r="V14" s="94"/>
      <c r="W14" s="92" t="str">
        <f>IF(Y14="","",法术数据!AJ58)</f>
        <v/>
      </c>
      <c r="X14" s="93" t="str">
        <f>IFERROR(VLOOKUP(Y14,法术数据!B:P,15,FALSE),"")</f>
        <v/>
      </c>
      <c r="Y14" s="94"/>
      <c r="Z14" s="92" t="str">
        <f>IF(AB14="","",法术数据!AJ8)</f>
        <v/>
      </c>
      <c r="AA14" s="93" t="str">
        <f>IFERROR(VLOOKUP(AB14,法术数据!B:P,15,FALSE),"")</f>
        <v/>
      </c>
      <c r="AB14" s="94"/>
      <c r="AC14" s="95" t="str">
        <f>IF(AE14="","",法术数据!AJ58)</f>
        <v/>
      </c>
      <c r="AD14" s="96" t="str">
        <f>IFERROR(VLOOKUP(AE14,法术数据!B:P,15,FALSE),"")</f>
        <v/>
      </c>
      <c r="AE14" s="97"/>
      <c r="AF14" s="92" t="str">
        <f>IF(AH14="","",法术数据!AJ8)</f>
        <v/>
      </c>
      <c r="AG14" s="93" t="str">
        <f>IFERROR(VLOOKUP(AH14,法术数据!B:P,15,FALSE),"")</f>
        <v/>
      </c>
      <c r="AH14" s="94"/>
      <c r="AI14" s="95" t="str">
        <f>IF(AK14="","",法术数据!AJ58)</f>
        <v/>
      </c>
      <c r="AJ14" s="96" t="str">
        <f>IFERROR(VLOOKUP(AK14,法术数据!B:P,15,FALSE),"")</f>
        <v/>
      </c>
      <c r="AK14" s="97"/>
    </row>
    <row r="15" spans="2:37" ht="17.5" customHeight="1" x14ac:dyDescent="0.25">
      <c r="B15" s="996"/>
      <c r="C15" s="1016"/>
      <c r="D15" s="1017"/>
      <c r="E15" s="1017"/>
      <c r="F15" s="1017"/>
      <c r="G15" s="1017"/>
      <c r="H15" s="1017"/>
      <c r="I15" s="1017"/>
      <c r="J15" s="1017"/>
      <c r="K15" s="1017"/>
      <c r="L15" s="1017"/>
      <c r="M15" s="1017"/>
      <c r="N15" s="1017"/>
      <c r="O15" s="1017"/>
      <c r="P15" s="1017"/>
      <c r="Q15" s="1017"/>
      <c r="R15" s="1018"/>
      <c r="S15" s="1002"/>
      <c r="T15" s="98" t="str">
        <f>IF(V15="","",法术数据!AJ9)</f>
        <v/>
      </c>
      <c r="U15" s="99" t="str">
        <f>IFERROR(VLOOKUP(V15,法术数据!B:P,15,FALSE),"")</f>
        <v/>
      </c>
      <c r="V15" s="100"/>
      <c r="W15" s="98" t="str">
        <f>IF(Y15="","",法术数据!AJ59)</f>
        <v/>
      </c>
      <c r="X15" s="99" t="str">
        <f>IFERROR(VLOOKUP(Y15,法术数据!B:P,15,FALSE),"")</f>
        <v/>
      </c>
      <c r="Y15" s="100"/>
      <c r="Z15" s="98" t="str">
        <f>IF(AB15="","",法术数据!AJ9)</f>
        <v/>
      </c>
      <c r="AA15" s="99" t="str">
        <f>IFERROR(VLOOKUP(AB15,法术数据!B:P,15,FALSE),"")</f>
        <v/>
      </c>
      <c r="AB15" s="100"/>
      <c r="AC15" s="101" t="str">
        <f>IF(AE15="","",法术数据!AV59)</f>
        <v/>
      </c>
      <c r="AD15" s="102" t="str">
        <f>IFERROR(VLOOKUP(AE15,法术数据!B:P,15,FALSE),"")</f>
        <v/>
      </c>
      <c r="AE15" s="103"/>
      <c r="AF15" s="98" t="str">
        <f>IF(AH15="","",法术数据!AJ9)</f>
        <v/>
      </c>
      <c r="AG15" s="99" t="str">
        <f>IFERROR(VLOOKUP(AH15,法术数据!B:P,15,FALSE),"")</f>
        <v/>
      </c>
      <c r="AH15" s="100"/>
      <c r="AI15" s="101" t="str">
        <f>IF(AK15="","",法术数据!AT59)</f>
        <v/>
      </c>
      <c r="AJ15" s="102" t="str">
        <f>IFERROR(VLOOKUP(AK15,法术数据!B:P,15,FALSE),"")</f>
        <v/>
      </c>
      <c r="AK15" s="103"/>
    </row>
    <row r="16" spans="2:37" ht="17.5" customHeight="1" x14ac:dyDescent="0.25">
      <c r="B16" s="996"/>
      <c r="C16" s="1016"/>
      <c r="D16" s="1017"/>
      <c r="E16" s="1017"/>
      <c r="F16" s="1017"/>
      <c r="G16" s="1017"/>
      <c r="H16" s="1017"/>
      <c r="I16" s="1017"/>
      <c r="J16" s="1017"/>
      <c r="K16" s="1017"/>
      <c r="L16" s="1017"/>
      <c r="M16" s="1017"/>
      <c r="N16" s="1017"/>
      <c r="O16" s="1017"/>
      <c r="P16" s="1017"/>
      <c r="Q16" s="1017"/>
      <c r="R16" s="1018"/>
      <c r="S16" s="1002"/>
      <c r="T16" s="92" t="str">
        <f>IF(V16="","",法术数据!AJ10)</f>
        <v/>
      </c>
      <c r="U16" s="93" t="str">
        <f>IFERROR(VLOOKUP(V16,法术数据!B:P,15,FALSE),"")</f>
        <v/>
      </c>
      <c r="V16" s="94"/>
      <c r="W16" s="92" t="str">
        <f>IF(Y16="","",法术数据!AJ60)</f>
        <v/>
      </c>
      <c r="X16" s="93" t="str">
        <f>IFERROR(VLOOKUP(Y16,法术数据!B:P,15,FALSE),"")</f>
        <v/>
      </c>
      <c r="Y16" s="94"/>
      <c r="Z16" s="92" t="str">
        <f>IF(AB16="","",法术数据!AJ10)</f>
        <v/>
      </c>
      <c r="AA16" s="93" t="str">
        <f>IFERROR(VLOOKUP(AB16,法术数据!B:P,15,FALSE),"")</f>
        <v/>
      </c>
      <c r="AB16" s="94"/>
      <c r="AC16" s="95" t="str">
        <f>IF(AE16="","",法术数据!AJ60)</f>
        <v/>
      </c>
      <c r="AD16" s="96" t="str">
        <f>IFERROR(VLOOKUP(AE16,法术数据!B:P,15,FALSE),"")</f>
        <v/>
      </c>
      <c r="AE16" s="97"/>
      <c r="AF16" s="92" t="str">
        <f>IF(AH16="","",法术数据!AJ10)</f>
        <v/>
      </c>
      <c r="AG16" s="93" t="str">
        <f>IFERROR(VLOOKUP(AH16,法术数据!B:P,15,FALSE),"")</f>
        <v/>
      </c>
      <c r="AH16" s="94"/>
      <c r="AI16" s="95" t="str">
        <f>IF(AK16="","",法术数据!AJ60)</f>
        <v/>
      </c>
      <c r="AJ16" s="96" t="str">
        <f>IFERROR(VLOOKUP(AK16,法术数据!B:P,15,FALSE),"")</f>
        <v/>
      </c>
      <c r="AK16" s="97"/>
    </row>
    <row r="17" spans="2:37" ht="17.5" customHeight="1" x14ac:dyDescent="0.25">
      <c r="B17" s="996"/>
      <c r="C17" s="1016"/>
      <c r="D17" s="1017"/>
      <c r="E17" s="1017"/>
      <c r="F17" s="1017"/>
      <c r="G17" s="1017"/>
      <c r="H17" s="1017"/>
      <c r="I17" s="1017"/>
      <c r="J17" s="1017"/>
      <c r="K17" s="1017"/>
      <c r="L17" s="1017"/>
      <c r="M17" s="1017"/>
      <c r="N17" s="1017"/>
      <c r="O17" s="1017"/>
      <c r="P17" s="1017"/>
      <c r="Q17" s="1017"/>
      <c r="R17" s="1018"/>
      <c r="S17" s="1002"/>
      <c r="T17" s="98" t="str">
        <f>IF(V17="","",法术数据!AJ11)</f>
        <v/>
      </c>
      <c r="U17" s="99" t="str">
        <f>IFERROR(VLOOKUP(V17,法术数据!B:P,15,FALSE),"")</f>
        <v/>
      </c>
      <c r="V17" s="100"/>
      <c r="W17" s="98" t="str">
        <f>IF(Y17="","",法术数据!AJ61)</f>
        <v/>
      </c>
      <c r="X17" s="99" t="str">
        <f>IFERROR(VLOOKUP(Y17,法术数据!B:P,15,FALSE),"")</f>
        <v/>
      </c>
      <c r="Y17" s="100"/>
      <c r="Z17" s="98" t="str">
        <f>IF(AB17="","",法术数据!AJ11)</f>
        <v/>
      </c>
      <c r="AA17" s="99" t="str">
        <f>IFERROR(VLOOKUP(AB17,法术数据!B:P,15,FALSE),"")</f>
        <v/>
      </c>
      <c r="AB17" s="100"/>
      <c r="AC17" s="101" t="str">
        <f>IF(AE17="","",法术数据!AV61)</f>
        <v/>
      </c>
      <c r="AD17" s="102" t="str">
        <f>IFERROR(VLOOKUP(AE17,法术数据!B:P,15,FALSE),"")</f>
        <v/>
      </c>
      <c r="AE17" s="103"/>
      <c r="AF17" s="98" t="str">
        <f>IF(AH17="","",法术数据!AJ11)</f>
        <v/>
      </c>
      <c r="AG17" s="99" t="str">
        <f>IFERROR(VLOOKUP(AH17,法术数据!B:P,15,FALSE),"")</f>
        <v/>
      </c>
      <c r="AH17" s="100"/>
      <c r="AI17" s="101" t="str">
        <f>IF(AK17="","",法术数据!AT61)</f>
        <v/>
      </c>
      <c r="AJ17" s="102" t="str">
        <f>IFERROR(VLOOKUP(AK17,法术数据!B:P,15,FALSE),"")</f>
        <v/>
      </c>
      <c r="AK17" s="103"/>
    </row>
    <row r="18" spans="2:37" ht="17.5" customHeight="1" x14ac:dyDescent="0.25">
      <c r="B18" s="996"/>
      <c r="C18" s="974"/>
      <c r="D18" s="975"/>
      <c r="E18" s="975"/>
      <c r="F18" s="975"/>
      <c r="G18" s="975"/>
      <c r="H18" s="975"/>
      <c r="I18" s="975"/>
      <c r="J18" s="975"/>
      <c r="K18" s="975"/>
      <c r="L18" s="975"/>
      <c r="M18" s="975"/>
      <c r="N18" s="975"/>
      <c r="O18" s="975"/>
      <c r="P18" s="975"/>
      <c r="Q18" s="975"/>
      <c r="R18" s="976"/>
      <c r="S18" s="1002"/>
      <c r="T18" s="92" t="str">
        <f>IF(V18="","",法术数据!AJ12)</f>
        <v/>
      </c>
      <c r="U18" s="93" t="str">
        <f>IFERROR(VLOOKUP(V18,法术数据!B:P,15,FALSE),"")</f>
        <v/>
      </c>
      <c r="V18" s="94"/>
      <c r="W18" s="92" t="str">
        <f>IF(Y18="","",法术数据!AJ62)</f>
        <v/>
      </c>
      <c r="X18" s="93" t="str">
        <f>IFERROR(VLOOKUP(Y18,法术数据!B:P,15,FALSE),"")</f>
        <v/>
      </c>
      <c r="Y18" s="94"/>
      <c r="Z18" s="92" t="str">
        <f>IF(AB18="","",法术数据!AJ12)</f>
        <v/>
      </c>
      <c r="AA18" s="93" t="str">
        <f>IFERROR(VLOOKUP(AB18,法术数据!B:P,15,FALSE),"")</f>
        <v/>
      </c>
      <c r="AB18" s="94"/>
      <c r="AC18" s="95" t="str">
        <f>IF(AE18="","",法术数据!AJ62)</f>
        <v/>
      </c>
      <c r="AD18" s="96" t="str">
        <f>IFERROR(VLOOKUP(AE18,法术数据!B:P,15,FALSE),"")</f>
        <v/>
      </c>
      <c r="AE18" s="97"/>
      <c r="AF18" s="92" t="str">
        <f>IF(AH18="","",法术数据!AJ12)</f>
        <v/>
      </c>
      <c r="AG18" s="93" t="str">
        <f>IFERROR(VLOOKUP(AH18,法术数据!B:P,15,FALSE),"")</f>
        <v/>
      </c>
      <c r="AH18" s="94"/>
      <c r="AI18" s="95" t="str">
        <f>IF(AK18="","",法术数据!AJ62)</f>
        <v/>
      </c>
      <c r="AJ18" s="96" t="str">
        <f>IFERROR(VLOOKUP(AK18,法术数据!B:P,15,FALSE),"")</f>
        <v/>
      </c>
      <c r="AK18" s="97"/>
    </row>
    <row r="19" spans="2:37" ht="17.5" customHeight="1" x14ac:dyDescent="0.25">
      <c r="B19" s="996"/>
      <c r="C19" s="971" t="str">
        <f>IF(C3="","","持续时间： "&amp;VLOOKUP(C3,法术数据!B:N,13,FALSE))</f>
        <v/>
      </c>
      <c r="D19" s="972"/>
      <c r="E19" s="972"/>
      <c r="F19" s="972"/>
      <c r="G19" s="972"/>
      <c r="H19" s="972"/>
      <c r="I19" s="972"/>
      <c r="J19" s="972"/>
      <c r="K19" s="972"/>
      <c r="L19" s="972"/>
      <c r="M19" s="972"/>
      <c r="N19" s="973"/>
      <c r="O19" s="1019" t="str">
        <f>IFERROR(IF(VLOOKUP(C3,法术数据!B:M,12,FALSE)=1,"需要专注",""),"")</f>
        <v/>
      </c>
      <c r="P19" s="1020"/>
      <c r="Q19" s="1020"/>
      <c r="R19" s="1021"/>
      <c r="S19" s="1002"/>
      <c r="T19" s="98" t="str">
        <f>IF(V19="","",法术数据!AJ13)</f>
        <v/>
      </c>
      <c r="U19" s="99" t="str">
        <f>IFERROR(VLOOKUP(V19,法术数据!B:P,15,FALSE),"")</f>
        <v/>
      </c>
      <c r="V19" s="100"/>
      <c r="W19" s="98" t="str">
        <f>IF(Y19="","",法术数据!AJ63)</f>
        <v/>
      </c>
      <c r="X19" s="99" t="str">
        <f>IFERROR(VLOOKUP(Y19,法术数据!B:P,15,FALSE),"")</f>
        <v/>
      </c>
      <c r="Y19" s="100"/>
      <c r="Z19" s="98" t="str">
        <f>IF(AB19="","",法术数据!AJ13)</f>
        <v/>
      </c>
      <c r="AA19" s="99" t="str">
        <f>IFERROR(VLOOKUP(AB19,法术数据!B:P,15,FALSE),"")</f>
        <v/>
      </c>
      <c r="AB19" s="100"/>
      <c r="AC19" s="101" t="str">
        <f>IF(AE19="","",法术数据!AV63)</f>
        <v/>
      </c>
      <c r="AD19" s="102" t="str">
        <f>IFERROR(VLOOKUP(AE19,法术数据!B:P,15,FALSE),"")</f>
        <v/>
      </c>
      <c r="AE19" s="103"/>
      <c r="AF19" s="98" t="str">
        <f>IF(AH19="","",法术数据!AJ13)</f>
        <v/>
      </c>
      <c r="AG19" s="99" t="str">
        <f>IFERROR(VLOOKUP(AH19,法术数据!B:P,15,FALSE),"")</f>
        <v/>
      </c>
      <c r="AH19" s="100"/>
      <c r="AI19" s="101" t="str">
        <f>IF(AK19="","",法术数据!AT63)</f>
        <v/>
      </c>
      <c r="AJ19" s="102" t="str">
        <f>IFERROR(VLOOKUP(AK19,法术数据!B:P,15,FALSE),"")</f>
        <v/>
      </c>
      <c r="AK19" s="103"/>
    </row>
    <row r="20" spans="2:37" ht="17.5" customHeight="1" x14ac:dyDescent="0.25">
      <c r="B20" s="996"/>
      <c r="C20" s="974"/>
      <c r="D20" s="975"/>
      <c r="E20" s="975"/>
      <c r="F20" s="975"/>
      <c r="G20" s="975"/>
      <c r="H20" s="975"/>
      <c r="I20" s="975"/>
      <c r="J20" s="975"/>
      <c r="K20" s="975"/>
      <c r="L20" s="975"/>
      <c r="M20" s="975"/>
      <c r="N20" s="976"/>
      <c r="O20" s="1022"/>
      <c r="P20" s="1023"/>
      <c r="Q20" s="1023"/>
      <c r="R20" s="1024"/>
      <c r="S20" s="1002"/>
      <c r="T20" s="92" t="str">
        <f>IF(V20="","",法术数据!AJ14)</f>
        <v/>
      </c>
      <c r="U20" s="93" t="str">
        <f>IFERROR(VLOOKUP(V20,法术数据!B:P,15,FALSE),"")</f>
        <v/>
      </c>
      <c r="V20" s="94"/>
      <c r="W20" s="92" t="str">
        <f>IF(Y20="","",法术数据!AJ64)</f>
        <v/>
      </c>
      <c r="X20" s="93" t="str">
        <f>IFERROR(VLOOKUP(Y20,法术数据!B:P,15,FALSE),"")</f>
        <v/>
      </c>
      <c r="Y20" s="94"/>
      <c r="Z20" s="92" t="str">
        <f>IF(AB20="","",法术数据!AJ14)</f>
        <v/>
      </c>
      <c r="AA20" s="93" t="str">
        <f>IFERROR(VLOOKUP(AB20,法术数据!B:P,15,FALSE),"")</f>
        <v/>
      </c>
      <c r="AB20" s="94"/>
      <c r="AC20" s="95" t="str">
        <f>IF(AE20="","",法术数据!AJ64)</f>
        <v/>
      </c>
      <c r="AD20" s="96" t="str">
        <f>IFERROR(VLOOKUP(AE20,法术数据!B:P,15,FALSE),"")</f>
        <v/>
      </c>
      <c r="AE20" s="97"/>
      <c r="AF20" s="92" t="str">
        <f>IF(AH20="","",法术数据!AJ14)</f>
        <v/>
      </c>
      <c r="AG20" s="93" t="str">
        <f>IFERROR(VLOOKUP(AH20,法术数据!B:P,15,FALSE),"")</f>
        <v/>
      </c>
      <c r="AH20" s="94"/>
      <c r="AI20" s="95" t="str">
        <f>IF(AK20="","",法术数据!AJ64)</f>
        <v/>
      </c>
      <c r="AJ20" s="96" t="str">
        <f>IFERROR(VLOOKUP(AK20,法术数据!B:P,15,FALSE),"")</f>
        <v/>
      </c>
      <c r="AK20" s="97"/>
    </row>
    <row r="21" spans="2:37" ht="17.5" customHeight="1" x14ac:dyDescent="0.25">
      <c r="B21" s="996"/>
      <c r="C21" s="981"/>
      <c r="D21" s="979"/>
      <c r="E21" s="979"/>
      <c r="F21" s="979"/>
      <c r="G21" s="979"/>
      <c r="H21" s="979"/>
      <c r="I21" s="979"/>
      <c r="J21" s="979"/>
      <c r="K21" s="979"/>
      <c r="L21" s="979"/>
      <c r="M21" s="979"/>
      <c r="N21" s="979"/>
      <c r="O21" s="979"/>
      <c r="P21" s="979"/>
      <c r="Q21" s="979"/>
      <c r="R21" s="982"/>
      <c r="S21" s="1002"/>
      <c r="T21" s="98" t="str">
        <f>IF(V21="","",法术数据!AJ15)</f>
        <v/>
      </c>
      <c r="U21" s="99" t="str">
        <f>IFERROR(VLOOKUP(V21,法术数据!B:P,15,FALSE),"")</f>
        <v/>
      </c>
      <c r="V21" s="100"/>
      <c r="W21" s="98" t="str">
        <f>IF(Y21="","",法术数据!AJ65)</f>
        <v/>
      </c>
      <c r="X21" s="99" t="str">
        <f>IFERROR(VLOOKUP(Y21,法术数据!B:P,15,FALSE),"")</f>
        <v/>
      </c>
      <c r="Y21" s="100"/>
      <c r="Z21" s="98" t="str">
        <f>IF(AB21="","",法术数据!AJ15)</f>
        <v/>
      </c>
      <c r="AA21" s="99" t="str">
        <f>IFERROR(VLOOKUP(AB21,法术数据!B:P,15,FALSE),"")</f>
        <v/>
      </c>
      <c r="AB21" s="100"/>
      <c r="AC21" s="101" t="str">
        <f>IF(AE21="","",法术数据!AV65)</f>
        <v/>
      </c>
      <c r="AD21" s="102" t="str">
        <f>IFERROR(VLOOKUP(AE21,法术数据!B:P,15,FALSE),"")</f>
        <v/>
      </c>
      <c r="AE21" s="103"/>
      <c r="AF21" s="98" t="str">
        <f>IF(AH21="","",法术数据!AJ15)</f>
        <v/>
      </c>
      <c r="AG21" s="99" t="str">
        <f>IFERROR(VLOOKUP(AH21,法术数据!B:P,15,FALSE),"")</f>
        <v/>
      </c>
      <c r="AH21" s="100"/>
      <c r="AI21" s="101" t="str">
        <f>IF(AK21="","",法术数据!AT65)</f>
        <v/>
      </c>
      <c r="AJ21" s="102" t="str">
        <f>IFERROR(VLOOKUP(AK21,法术数据!B:P,15,FALSE),"")</f>
        <v/>
      </c>
      <c r="AK21" s="103"/>
    </row>
    <row r="22" spans="2:37" ht="17.5" customHeight="1" x14ac:dyDescent="0.25">
      <c r="B22" s="996"/>
      <c r="C22" s="1013" t="str">
        <f>IF(C23&lt;&gt;"","法术说明","")</f>
        <v/>
      </c>
      <c r="D22" s="1014"/>
      <c r="E22" s="1015"/>
      <c r="F22" s="104"/>
      <c r="G22" s="993"/>
      <c r="H22" s="993"/>
      <c r="I22" s="993"/>
      <c r="J22" s="993"/>
      <c r="K22" s="993"/>
      <c r="L22" s="993"/>
      <c r="M22" s="993"/>
      <c r="N22" s="993"/>
      <c r="O22" s="993"/>
      <c r="P22" s="993"/>
      <c r="Q22" s="993"/>
      <c r="R22" s="994"/>
      <c r="S22" s="1002"/>
      <c r="T22" s="92" t="str">
        <f>IF(V22="","",法术数据!AJ16)</f>
        <v/>
      </c>
      <c r="U22" s="93" t="str">
        <f>IFERROR(VLOOKUP(V22,法术数据!B:P,15,FALSE),"")</f>
        <v/>
      </c>
      <c r="V22" s="94"/>
      <c r="W22" s="92" t="str">
        <f>IF(Y22="","",法术数据!AJ66)</f>
        <v/>
      </c>
      <c r="X22" s="93" t="str">
        <f>IFERROR(VLOOKUP(Y22,法术数据!B:P,15,FALSE),"")</f>
        <v/>
      </c>
      <c r="Y22" s="94"/>
      <c r="Z22" s="92" t="str">
        <f>IF(AB22="","",法术数据!AJ16)</f>
        <v/>
      </c>
      <c r="AA22" s="93" t="str">
        <f>IFERROR(VLOOKUP(AB22,法术数据!B:P,15,FALSE),"")</f>
        <v/>
      </c>
      <c r="AB22" s="94"/>
      <c r="AC22" s="95" t="str">
        <f>IF(AE22="","",法术数据!AJ66)</f>
        <v/>
      </c>
      <c r="AD22" s="96" t="str">
        <f>IFERROR(VLOOKUP(AE22,法术数据!B:P,15,FALSE),"")</f>
        <v/>
      </c>
      <c r="AE22" s="97"/>
      <c r="AF22" s="92" t="str">
        <f>IF(AH22="","",法术数据!AJ16)</f>
        <v/>
      </c>
      <c r="AG22" s="93" t="str">
        <f>IFERROR(VLOOKUP(AH22,法术数据!B:P,15,FALSE),"")</f>
        <v/>
      </c>
      <c r="AH22" s="94"/>
      <c r="AI22" s="95" t="str">
        <f>IF(AK22="","",法术数据!AJ66)</f>
        <v/>
      </c>
      <c r="AJ22" s="96" t="str">
        <f>IFERROR(VLOOKUP(AK22,法术数据!B:P,15,FALSE),"")</f>
        <v/>
      </c>
      <c r="AK22" s="97"/>
    </row>
    <row r="23" spans="2:37" ht="17.5" customHeight="1" x14ac:dyDescent="0.25">
      <c r="B23" s="996"/>
      <c r="C23" s="1004" t="str">
        <f>IF(C3="","",(VLOOKUP(C3,法术数据!B:O,14,FALSE)))</f>
        <v/>
      </c>
      <c r="D23" s="1005"/>
      <c r="E23" s="1005"/>
      <c r="F23" s="1005"/>
      <c r="G23" s="1005"/>
      <c r="H23" s="1005"/>
      <c r="I23" s="1005"/>
      <c r="J23" s="1005"/>
      <c r="K23" s="1005"/>
      <c r="L23" s="1005"/>
      <c r="M23" s="1005"/>
      <c r="N23" s="1005"/>
      <c r="O23" s="1005"/>
      <c r="P23" s="1005"/>
      <c r="Q23" s="1005"/>
      <c r="R23" s="1006"/>
      <c r="S23" s="1002"/>
      <c r="T23" s="98" t="str">
        <f>IF(V23="","",法术数据!AJ17)</f>
        <v/>
      </c>
      <c r="U23" s="99" t="str">
        <f>IFERROR(VLOOKUP(V23,法术数据!B:P,15,FALSE),"")</f>
        <v/>
      </c>
      <c r="V23" s="100"/>
      <c r="W23" s="98" t="str">
        <f>IF(Y23="","",法术数据!AJ67)</f>
        <v/>
      </c>
      <c r="X23" s="99" t="str">
        <f>IFERROR(VLOOKUP(Y23,法术数据!B:P,15,FALSE),"")</f>
        <v/>
      </c>
      <c r="Y23" s="100"/>
      <c r="Z23" s="98" t="str">
        <f>IF(AB23="","",法术数据!AJ17)</f>
        <v/>
      </c>
      <c r="AA23" s="99" t="str">
        <f>IFERROR(VLOOKUP(AB23,法术数据!B:P,15,FALSE),"")</f>
        <v/>
      </c>
      <c r="AB23" s="100"/>
      <c r="AC23" s="101" t="str">
        <f>IF(AE23="","",法术数据!AV67)</f>
        <v/>
      </c>
      <c r="AD23" s="102" t="str">
        <f>IFERROR(VLOOKUP(AE23,法术数据!B:P,15,FALSE),"")</f>
        <v/>
      </c>
      <c r="AE23" s="103"/>
      <c r="AF23" s="98" t="str">
        <f>IF(AH23="","",法术数据!AJ17)</f>
        <v/>
      </c>
      <c r="AG23" s="99" t="str">
        <f>IFERROR(VLOOKUP(AH23,法术数据!B:P,15,FALSE),"")</f>
        <v/>
      </c>
      <c r="AH23" s="100"/>
      <c r="AI23" s="101" t="str">
        <f>IF(AK23="","",法术数据!AT67)</f>
        <v/>
      </c>
      <c r="AJ23" s="102" t="str">
        <f>IFERROR(VLOOKUP(AK23,法术数据!B:P,15,FALSE),"")</f>
        <v/>
      </c>
      <c r="AK23" s="103"/>
    </row>
    <row r="24" spans="2:37" ht="17.5" customHeight="1" x14ac:dyDescent="0.25">
      <c r="B24" s="996"/>
      <c r="C24" s="1007"/>
      <c r="D24" s="1008"/>
      <c r="E24" s="1008"/>
      <c r="F24" s="1008"/>
      <c r="G24" s="1008"/>
      <c r="H24" s="1008"/>
      <c r="I24" s="1008"/>
      <c r="J24" s="1008"/>
      <c r="K24" s="1008"/>
      <c r="L24" s="1008"/>
      <c r="M24" s="1008"/>
      <c r="N24" s="1008"/>
      <c r="O24" s="1008"/>
      <c r="P24" s="1008"/>
      <c r="Q24" s="1008"/>
      <c r="R24" s="1009"/>
      <c r="S24" s="1002"/>
      <c r="T24" s="92" t="str">
        <f>IF(V24="","",法术数据!AJ18)</f>
        <v/>
      </c>
      <c r="U24" s="93" t="str">
        <f>IFERROR(VLOOKUP(V24,法术数据!B:P,15,FALSE),"")</f>
        <v/>
      </c>
      <c r="V24" s="94"/>
      <c r="W24" s="92" t="str">
        <f>IF(Y24="","",法术数据!AJ68)</f>
        <v/>
      </c>
      <c r="X24" s="93" t="str">
        <f>IFERROR(VLOOKUP(Y24,法术数据!B:P,15,FALSE),"")</f>
        <v/>
      </c>
      <c r="Y24" s="94"/>
      <c r="Z24" s="92" t="str">
        <f>IF(AB24="","",法术数据!AJ18)</f>
        <v/>
      </c>
      <c r="AA24" s="93" t="str">
        <f>IFERROR(VLOOKUP(AB24,法术数据!B:P,15,FALSE),"")</f>
        <v/>
      </c>
      <c r="AB24" s="94"/>
      <c r="AC24" s="95" t="str">
        <f>IF(AE24="","",法术数据!AJ68)</f>
        <v/>
      </c>
      <c r="AD24" s="96" t="str">
        <f>IFERROR(VLOOKUP(AE24,法术数据!B:P,15,FALSE),"")</f>
        <v/>
      </c>
      <c r="AE24" s="97"/>
      <c r="AF24" s="92" t="str">
        <f>IF(AH24="","",法术数据!AJ18)</f>
        <v/>
      </c>
      <c r="AG24" s="93" t="str">
        <f>IFERROR(VLOOKUP(AH24,法术数据!B:P,15,FALSE),"")</f>
        <v/>
      </c>
      <c r="AH24" s="94"/>
      <c r="AI24" s="95" t="str">
        <f>IF(AK24="","",法术数据!AJ68)</f>
        <v/>
      </c>
      <c r="AJ24" s="96" t="str">
        <f>IFERROR(VLOOKUP(AK24,法术数据!B:P,15,FALSE),"")</f>
        <v/>
      </c>
      <c r="AK24" s="97"/>
    </row>
    <row r="25" spans="2:37" ht="17.5" customHeight="1" x14ac:dyDescent="0.25">
      <c r="B25" s="996"/>
      <c r="C25" s="1007"/>
      <c r="D25" s="1008"/>
      <c r="E25" s="1008"/>
      <c r="F25" s="1008"/>
      <c r="G25" s="1008"/>
      <c r="H25" s="1008"/>
      <c r="I25" s="1008"/>
      <c r="J25" s="1008"/>
      <c r="K25" s="1008"/>
      <c r="L25" s="1008"/>
      <c r="M25" s="1008"/>
      <c r="N25" s="1008"/>
      <c r="O25" s="1008"/>
      <c r="P25" s="1008"/>
      <c r="Q25" s="1008"/>
      <c r="R25" s="1009"/>
      <c r="S25" s="1002"/>
      <c r="T25" s="98" t="str">
        <f>IF(V25="","",法术数据!AJ19)</f>
        <v/>
      </c>
      <c r="U25" s="99" t="str">
        <f>IFERROR(VLOOKUP(V25,法术数据!B:P,15,FALSE),"")</f>
        <v/>
      </c>
      <c r="V25" s="100"/>
      <c r="W25" s="98" t="str">
        <f>IF(Y25="","",法术数据!AJ69)</f>
        <v/>
      </c>
      <c r="X25" s="99" t="str">
        <f>IFERROR(VLOOKUP(Y25,法术数据!B:P,15,FALSE),"")</f>
        <v/>
      </c>
      <c r="Y25" s="100"/>
      <c r="Z25" s="98" t="str">
        <f>IF(AB25="","",法术数据!AJ19)</f>
        <v/>
      </c>
      <c r="AA25" s="99" t="str">
        <f>IFERROR(VLOOKUP(AB25,法术数据!B:P,15,FALSE),"")</f>
        <v/>
      </c>
      <c r="AB25" s="100"/>
      <c r="AC25" s="101" t="str">
        <f>IF(AE25="","",法术数据!AV69)</f>
        <v/>
      </c>
      <c r="AD25" s="102" t="str">
        <f>IFERROR(VLOOKUP(AE25,法术数据!B:P,15,FALSE),"")</f>
        <v/>
      </c>
      <c r="AE25" s="103"/>
      <c r="AF25" s="98" t="str">
        <f>IF(AH25="","",法术数据!AJ19)</f>
        <v/>
      </c>
      <c r="AG25" s="99" t="str">
        <f>IFERROR(VLOOKUP(AH25,法术数据!B:P,15,FALSE),"")</f>
        <v/>
      </c>
      <c r="AH25" s="100"/>
      <c r="AI25" s="101" t="str">
        <f>IF(AK25="","",法术数据!AT69)</f>
        <v/>
      </c>
      <c r="AJ25" s="102" t="str">
        <f>IFERROR(VLOOKUP(AK25,法术数据!B:P,15,FALSE),"")</f>
        <v/>
      </c>
      <c r="AK25" s="103"/>
    </row>
    <row r="26" spans="2:37" ht="17.5" customHeight="1" x14ac:dyDescent="0.25">
      <c r="B26" s="996"/>
      <c r="C26" s="1007"/>
      <c r="D26" s="1008"/>
      <c r="E26" s="1008"/>
      <c r="F26" s="1008"/>
      <c r="G26" s="1008"/>
      <c r="H26" s="1008"/>
      <c r="I26" s="1008"/>
      <c r="J26" s="1008"/>
      <c r="K26" s="1008"/>
      <c r="L26" s="1008"/>
      <c r="M26" s="1008"/>
      <c r="N26" s="1008"/>
      <c r="O26" s="1008"/>
      <c r="P26" s="1008"/>
      <c r="Q26" s="1008"/>
      <c r="R26" s="1009"/>
      <c r="S26" s="1002"/>
      <c r="T26" s="92" t="str">
        <f>IF(V26="","",法术数据!AJ20)</f>
        <v/>
      </c>
      <c r="U26" s="93" t="str">
        <f>IFERROR(VLOOKUP(V26,法术数据!B:P,15,FALSE),"")</f>
        <v/>
      </c>
      <c r="V26" s="94"/>
      <c r="W26" s="92" t="str">
        <f>IF(Y26="","",法术数据!AJ70)</f>
        <v/>
      </c>
      <c r="X26" s="93" t="str">
        <f>IFERROR(VLOOKUP(Y26,法术数据!B:P,15,FALSE),"")</f>
        <v/>
      </c>
      <c r="Y26" s="94"/>
      <c r="Z26" s="92" t="str">
        <f>IF(AB26="","",法术数据!AJ20)</f>
        <v/>
      </c>
      <c r="AA26" s="93" t="str">
        <f>IFERROR(VLOOKUP(AB26,法术数据!B:P,15,FALSE),"")</f>
        <v/>
      </c>
      <c r="AB26" s="94"/>
      <c r="AC26" s="95" t="str">
        <f>IF(AE26="","",法术数据!AJ70)</f>
        <v/>
      </c>
      <c r="AD26" s="96" t="str">
        <f>IFERROR(VLOOKUP(AE26,法术数据!B:P,15,FALSE),"")</f>
        <v/>
      </c>
      <c r="AE26" s="97"/>
      <c r="AF26" s="92" t="str">
        <f>IF(AH26="","",法术数据!AJ20)</f>
        <v/>
      </c>
      <c r="AG26" s="93" t="str">
        <f>IFERROR(VLOOKUP(AH26,法术数据!B:P,15,FALSE),"")</f>
        <v/>
      </c>
      <c r="AH26" s="94"/>
      <c r="AI26" s="95" t="str">
        <f>IF(AK26="","",法术数据!AJ70)</f>
        <v/>
      </c>
      <c r="AJ26" s="96" t="str">
        <f>IFERROR(VLOOKUP(AK26,法术数据!B:P,15,FALSE),"")</f>
        <v/>
      </c>
      <c r="AK26" s="97"/>
    </row>
    <row r="27" spans="2:37" ht="17.5" customHeight="1" x14ac:dyDescent="0.25">
      <c r="B27" s="996"/>
      <c r="C27" s="1007"/>
      <c r="D27" s="1008"/>
      <c r="E27" s="1008"/>
      <c r="F27" s="1008"/>
      <c r="G27" s="1008"/>
      <c r="H27" s="1008"/>
      <c r="I27" s="1008"/>
      <c r="J27" s="1008"/>
      <c r="K27" s="1008"/>
      <c r="L27" s="1008"/>
      <c r="M27" s="1008"/>
      <c r="N27" s="1008"/>
      <c r="O27" s="1008"/>
      <c r="P27" s="1008"/>
      <c r="Q27" s="1008"/>
      <c r="R27" s="1009"/>
      <c r="S27" s="1002"/>
      <c r="T27" s="98" t="str">
        <f>IF(V27="","",法术数据!AJ21)</f>
        <v/>
      </c>
      <c r="U27" s="99" t="str">
        <f>IFERROR(VLOOKUP(V27,法术数据!B:P,15,FALSE),"")</f>
        <v/>
      </c>
      <c r="V27" s="100"/>
      <c r="W27" s="98" t="str">
        <f>IF(Y27="","",法术数据!AJ71)</f>
        <v/>
      </c>
      <c r="X27" s="99" t="str">
        <f>IFERROR(VLOOKUP(Y27,法术数据!B:P,15,FALSE),"")</f>
        <v/>
      </c>
      <c r="Y27" s="100"/>
      <c r="Z27" s="98" t="str">
        <f>IF(AB27="","",法术数据!AJ21)</f>
        <v/>
      </c>
      <c r="AA27" s="99" t="str">
        <f>IFERROR(VLOOKUP(AB27,法术数据!B:P,15,FALSE),"")</f>
        <v/>
      </c>
      <c r="AB27" s="100"/>
      <c r="AC27" s="101" t="str">
        <f>IF(AE27="","",法术数据!AV71)</f>
        <v/>
      </c>
      <c r="AD27" s="102" t="str">
        <f>IFERROR(VLOOKUP(AE27,法术数据!B:P,15,FALSE),"")</f>
        <v/>
      </c>
      <c r="AE27" s="103"/>
      <c r="AF27" s="98" t="str">
        <f>IF(AH27="","",法术数据!AJ21)</f>
        <v/>
      </c>
      <c r="AG27" s="99" t="str">
        <f>IFERROR(VLOOKUP(AH27,法术数据!B:P,15,FALSE),"")</f>
        <v/>
      </c>
      <c r="AH27" s="100"/>
      <c r="AI27" s="101" t="str">
        <f>IF(AK27="","",法术数据!AT71)</f>
        <v/>
      </c>
      <c r="AJ27" s="102" t="str">
        <f>IFERROR(VLOOKUP(AK27,法术数据!B:P,15,FALSE),"")</f>
        <v/>
      </c>
      <c r="AK27" s="103"/>
    </row>
    <row r="28" spans="2:37" ht="17.5" customHeight="1" x14ac:dyDescent="0.25">
      <c r="B28" s="996"/>
      <c r="C28" s="1007"/>
      <c r="D28" s="1008"/>
      <c r="E28" s="1008"/>
      <c r="F28" s="1008"/>
      <c r="G28" s="1008"/>
      <c r="H28" s="1008"/>
      <c r="I28" s="1008"/>
      <c r="J28" s="1008"/>
      <c r="K28" s="1008"/>
      <c r="L28" s="1008"/>
      <c r="M28" s="1008"/>
      <c r="N28" s="1008"/>
      <c r="O28" s="1008"/>
      <c r="P28" s="1008"/>
      <c r="Q28" s="1008"/>
      <c r="R28" s="1009"/>
      <c r="S28" s="1002"/>
      <c r="T28" s="92" t="str">
        <f>IF(V28="","",法术数据!AJ22)</f>
        <v/>
      </c>
      <c r="U28" s="93" t="str">
        <f>IFERROR(VLOOKUP(V28,法术数据!B:P,15,FALSE),"")</f>
        <v/>
      </c>
      <c r="V28" s="94"/>
      <c r="W28" s="92" t="str">
        <f>IF(Y28="","",法术数据!AJ72)</f>
        <v/>
      </c>
      <c r="X28" s="93" t="str">
        <f>IFERROR(VLOOKUP(Y28,法术数据!B:P,15,FALSE),"")</f>
        <v/>
      </c>
      <c r="Y28" s="94"/>
      <c r="Z28" s="92" t="str">
        <f>IF(AB28="","",法术数据!AJ22)</f>
        <v/>
      </c>
      <c r="AA28" s="93" t="str">
        <f>IFERROR(VLOOKUP(AB28,法术数据!B:P,15,FALSE),"")</f>
        <v/>
      </c>
      <c r="AB28" s="94"/>
      <c r="AC28" s="95" t="str">
        <f>IF(AE28="","",法术数据!AJ72)</f>
        <v/>
      </c>
      <c r="AD28" s="96" t="str">
        <f>IFERROR(VLOOKUP(AE28,法术数据!B:P,15,FALSE),"")</f>
        <v/>
      </c>
      <c r="AE28" s="97"/>
      <c r="AF28" s="92" t="str">
        <f>IF(AH28="","",法术数据!AJ22)</f>
        <v/>
      </c>
      <c r="AG28" s="93" t="str">
        <f>IFERROR(VLOOKUP(AH28,法术数据!B:P,15,FALSE),"")</f>
        <v/>
      </c>
      <c r="AH28" s="94"/>
      <c r="AI28" s="95" t="str">
        <f>IF(AK28="","",法术数据!AJ72)</f>
        <v/>
      </c>
      <c r="AJ28" s="96" t="str">
        <f>IFERROR(VLOOKUP(AK28,法术数据!B:P,15,FALSE),"")</f>
        <v/>
      </c>
      <c r="AK28" s="97"/>
    </row>
    <row r="29" spans="2:37" ht="17.5" customHeight="1" x14ac:dyDescent="0.25">
      <c r="B29" s="996"/>
      <c r="C29" s="1007"/>
      <c r="D29" s="1008"/>
      <c r="E29" s="1008"/>
      <c r="F29" s="1008"/>
      <c r="G29" s="1008"/>
      <c r="H29" s="1008"/>
      <c r="I29" s="1008"/>
      <c r="J29" s="1008"/>
      <c r="K29" s="1008"/>
      <c r="L29" s="1008"/>
      <c r="M29" s="1008"/>
      <c r="N29" s="1008"/>
      <c r="O29" s="1008"/>
      <c r="P29" s="1008"/>
      <c r="Q29" s="1008"/>
      <c r="R29" s="1009"/>
      <c r="S29" s="1002"/>
      <c r="T29" s="98" t="str">
        <f>IF(V29="","",法术数据!AJ23)</f>
        <v/>
      </c>
      <c r="U29" s="99" t="str">
        <f>IFERROR(VLOOKUP(V29,法术数据!B:P,15,FALSE),"")</f>
        <v/>
      </c>
      <c r="V29" s="100"/>
      <c r="W29" s="98" t="str">
        <f>IF(Y29="","",法术数据!AJ73)</f>
        <v/>
      </c>
      <c r="X29" s="99" t="str">
        <f>IFERROR(VLOOKUP(Y29,法术数据!B:P,15,FALSE),"")</f>
        <v/>
      </c>
      <c r="Y29" s="100"/>
      <c r="Z29" s="98" t="str">
        <f>IF(AB29="","",法术数据!AJ23)</f>
        <v/>
      </c>
      <c r="AA29" s="99" t="str">
        <f>IFERROR(VLOOKUP(AB29,法术数据!B:P,15,FALSE),"")</f>
        <v/>
      </c>
      <c r="AB29" s="100"/>
      <c r="AC29" s="101" t="str">
        <f>IF(AE29="","",法术数据!AV73)</f>
        <v/>
      </c>
      <c r="AD29" s="102" t="str">
        <f>IFERROR(VLOOKUP(AE29,法术数据!B:P,15,FALSE),"")</f>
        <v/>
      </c>
      <c r="AE29" s="103"/>
      <c r="AF29" s="98" t="str">
        <f>IF(AH29="","",法术数据!AJ23)</f>
        <v/>
      </c>
      <c r="AG29" s="99" t="str">
        <f>IFERROR(VLOOKUP(AH29,法术数据!B:P,15,FALSE),"")</f>
        <v/>
      </c>
      <c r="AH29" s="100"/>
      <c r="AI29" s="101" t="str">
        <f>IF(AK29="","",法术数据!AT73)</f>
        <v/>
      </c>
      <c r="AJ29" s="102" t="str">
        <f>IFERROR(VLOOKUP(AK29,法术数据!B:P,15,FALSE),"")</f>
        <v/>
      </c>
      <c r="AK29" s="103"/>
    </row>
    <row r="30" spans="2:37" ht="17.5" customHeight="1" x14ac:dyDescent="0.25">
      <c r="B30" s="996"/>
      <c r="C30" s="1007"/>
      <c r="D30" s="1008"/>
      <c r="E30" s="1008"/>
      <c r="F30" s="1008"/>
      <c r="G30" s="1008"/>
      <c r="H30" s="1008"/>
      <c r="I30" s="1008"/>
      <c r="J30" s="1008"/>
      <c r="K30" s="1008"/>
      <c r="L30" s="1008"/>
      <c r="M30" s="1008"/>
      <c r="N30" s="1008"/>
      <c r="O30" s="1008"/>
      <c r="P30" s="1008"/>
      <c r="Q30" s="1008"/>
      <c r="R30" s="1009"/>
      <c r="S30" s="1002"/>
      <c r="T30" s="92" t="str">
        <f>IF(V30="","",法术数据!AJ24)</f>
        <v/>
      </c>
      <c r="U30" s="93" t="str">
        <f>IFERROR(VLOOKUP(V30,法术数据!B:P,15,FALSE),"")</f>
        <v/>
      </c>
      <c r="V30" s="94"/>
      <c r="W30" s="92" t="str">
        <f>IF(Y30="","",法术数据!AJ74)</f>
        <v/>
      </c>
      <c r="X30" s="93" t="str">
        <f>IFERROR(VLOOKUP(Y30,法术数据!B:P,15,FALSE),"")</f>
        <v/>
      </c>
      <c r="Y30" s="94"/>
      <c r="Z30" s="92" t="str">
        <f>IF(AB30="","",法术数据!AJ24)</f>
        <v/>
      </c>
      <c r="AA30" s="93" t="str">
        <f>IFERROR(VLOOKUP(AB30,法术数据!B:P,15,FALSE),"")</f>
        <v/>
      </c>
      <c r="AB30" s="94"/>
      <c r="AC30" s="95" t="str">
        <f>IF(AE30="","",法术数据!AJ74)</f>
        <v/>
      </c>
      <c r="AD30" s="96" t="str">
        <f>IFERROR(VLOOKUP(AE30,法术数据!B:P,15,FALSE),"")</f>
        <v/>
      </c>
      <c r="AE30" s="97"/>
      <c r="AF30" s="92" t="str">
        <f>IF(AH30="","",法术数据!AJ24)</f>
        <v/>
      </c>
      <c r="AG30" s="93" t="str">
        <f>IFERROR(VLOOKUP(AH30,法术数据!B:P,15,FALSE),"")</f>
        <v/>
      </c>
      <c r="AH30" s="94"/>
      <c r="AI30" s="95" t="str">
        <f>IF(AK30="","",法术数据!AJ74)</f>
        <v/>
      </c>
      <c r="AJ30" s="96" t="str">
        <f>IFERROR(VLOOKUP(AK30,法术数据!B:P,15,FALSE),"")</f>
        <v/>
      </c>
      <c r="AK30" s="97"/>
    </row>
    <row r="31" spans="2:37" ht="17.5" customHeight="1" x14ac:dyDescent="0.25">
      <c r="B31" s="996"/>
      <c r="C31" s="1007"/>
      <c r="D31" s="1008"/>
      <c r="E31" s="1008"/>
      <c r="F31" s="1008"/>
      <c r="G31" s="1008"/>
      <c r="H31" s="1008"/>
      <c r="I31" s="1008"/>
      <c r="J31" s="1008"/>
      <c r="K31" s="1008"/>
      <c r="L31" s="1008"/>
      <c r="M31" s="1008"/>
      <c r="N31" s="1008"/>
      <c r="O31" s="1008"/>
      <c r="P31" s="1008"/>
      <c r="Q31" s="1008"/>
      <c r="R31" s="1009"/>
      <c r="S31" s="1002"/>
      <c r="T31" s="98" t="str">
        <f>IF(V31="","",法术数据!AJ25)</f>
        <v/>
      </c>
      <c r="U31" s="99" t="str">
        <f>IFERROR(VLOOKUP(V31,法术数据!B:P,15,FALSE),"")</f>
        <v/>
      </c>
      <c r="V31" s="100"/>
      <c r="W31" s="98" t="str">
        <f>IF(Y31="","",法术数据!AJ75)</f>
        <v/>
      </c>
      <c r="X31" s="99" t="str">
        <f>IFERROR(VLOOKUP(Y31,法术数据!B:P,15,FALSE),"")</f>
        <v/>
      </c>
      <c r="Y31" s="100"/>
      <c r="Z31" s="98" t="str">
        <f>IF(AB31="","",法术数据!AJ25)</f>
        <v/>
      </c>
      <c r="AA31" s="99" t="str">
        <f>IFERROR(VLOOKUP(AB31,法术数据!B:P,15,FALSE),"")</f>
        <v/>
      </c>
      <c r="AB31" s="100"/>
      <c r="AC31" s="101" t="str">
        <f>IF(AE31="","",法术数据!AV75)</f>
        <v/>
      </c>
      <c r="AD31" s="102" t="str">
        <f>IFERROR(VLOOKUP(AE31,法术数据!B:P,15,FALSE),"")</f>
        <v/>
      </c>
      <c r="AE31" s="103"/>
      <c r="AF31" s="98" t="str">
        <f>IF(AH31="","",法术数据!AJ25)</f>
        <v/>
      </c>
      <c r="AG31" s="99" t="str">
        <f>IFERROR(VLOOKUP(AH31,法术数据!B:P,15,FALSE),"")</f>
        <v/>
      </c>
      <c r="AH31" s="100"/>
      <c r="AI31" s="101" t="str">
        <f>IF(AK31="","",法术数据!AT75)</f>
        <v/>
      </c>
      <c r="AJ31" s="102" t="str">
        <f>IFERROR(VLOOKUP(AK31,法术数据!B:P,15,FALSE),"")</f>
        <v/>
      </c>
      <c r="AK31" s="103"/>
    </row>
    <row r="32" spans="2:37" ht="17.5" customHeight="1" x14ac:dyDescent="0.25">
      <c r="B32" s="996"/>
      <c r="C32" s="1007"/>
      <c r="D32" s="1008"/>
      <c r="E32" s="1008"/>
      <c r="F32" s="1008"/>
      <c r="G32" s="1008"/>
      <c r="H32" s="1008"/>
      <c r="I32" s="1008"/>
      <c r="J32" s="1008"/>
      <c r="K32" s="1008"/>
      <c r="L32" s="1008"/>
      <c r="M32" s="1008"/>
      <c r="N32" s="1008"/>
      <c r="O32" s="1008"/>
      <c r="P32" s="1008"/>
      <c r="Q32" s="1008"/>
      <c r="R32" s="1009"/>
      <c r="S32" s="1002"/>
      <c r="T32" s="92" t="str">
        <f>IF(V32="","",法术数据!AJ26)</f>
        <v/>
      </c>
      <c r="U32" s="93" t="str">
        <f>IFERROR(VLOOKUP(V32,法术数据!B:P,15,FALSE),"")</f>
        <v/>
      </c>
      <c r="V32" s="94"/>
      <c r="W32" s="92" t="str">
        <f>IF(Y32="","",法术数据!AJ76)</f>
        <v/>
      </c>
      <c r="X32" s="93" t="str">
        <f>IFERROR(VLOOKUP(Y32,法术数据!B:P,15,FALSE),"")</f>
        <v/>
      </c>
      <c r="Y32" s="94"/>
      <c r="Z32" s="92" t="str">
        <f>IF(AB32="","",法术数据!AJ26)</f>
        <v/>
      </c>
      <c r="AA32" s="93" t="str">
        <f>IFERROR(VLOOKUP(AB32,法术数据!B:P,15,FALSE),"")</f>
        <v/>
      </c>
      <c r="AB32" s="94"/>
      <c r="AC32" s="95" t="str">
        <f>IF(AE32="","",法术数据!AJ76)</f>
        <v/>
      </c>
      <c r="AD32" s="96" t="str">
        <f>IFERROR(VLOOKUP(AE32,法术数据!B:P,15,FALSE),"")</f>
        <v/>
      </c>
      <c r="AE32" s="97"/>
      <c r="AF32" s="92" t="str">
        <f>IF(AH32="","",法术数据!AJ26)</f>
        <v/>
      </c>
      <c r="AG32" s="93" t="str">
        <f>IFERROR(VLOOKUP(AH32,法术数据!B:P,15,FALSE),"")</f>
        <v/>
      </c>
      <c r="AH32" s="94"/>
      <c r="AI32" s="95" t="str">
        <f>IF(AK32="","",法术数据!AJ76)</f>
        <v/>
      </c>
      <c r="AJ32" s="96" t="str">
        <f>IFERROR(VLOOKUP(AK32,法术数据!B:P,15,FALSE),"")</f>
        <v/>
      </c>
      <c r="AK32" s="97"/>
    </row>
    <row r="33" spans="2:37" ht="17.5" customHeight="1" x14ac:dyDescent="0.25">
      <c r="B33" s="996"/>
      <c r="C33" s="1007"/>
      <c r="D33" s="1008"/>
      <c r="E33" s="1008"/>
      <c r="F33" s="1008"/>
      <c r="G33" s="1008"/>
      <c r="H33" s="1008"/>
      <c r="I33" s="1008"/>
      <c r="J33" s="1008"/>
      <c r="K33" s="1008"/>
      <c r="L33" s="1008"/>
      <c r="M33" s="1008"/>
      <c r="N33" s="1008"/>
      <c r="O33" s="1008"/>
      <c r="P33" s="1008"/>
      <c r="Q33" s="1008"/>
      <c r="R33" s="1009"/>
      <c r="S33" s="1002"/>
      <c r="T33" s="98" t="str">
        <f>IF(V33="","",法术数据!AJ27)</f>
        <v/>
      </c>
      <c r="U33" s="99" t="str">
        <f>IFERROR(VLOOKUP(V33,法术数据!B:P,15,FALSE),"")</f>
        <v/>
      </c>
      <c r="V33" s="100"/>
      <c r="W33" s="98" t="str">
        <f>IF(Y33="","",法术数据!AJ77)</f>
        <v/>
      </c>
      <c r="X33" s="99" t="str">
        <f>IFERROR(VLOOKUP(Y33,法术数据!B:P,15,FALSE),"")</f>
        <v/>
      </c>
      <c r="Y33" s="100"/>
      <c r="Z33" s="98" t="str">
        <f>IF(AB33="","",法术数据!AJ27)</f>
        <v/>
      </c>
      <c r="AA33" s="99" t="str">
        <f>IFERROR(VLOOKUP(AB33,法术数据!B:P,15,FALSE),"")</f>
        <v/>
      </c>
      <c r="AB33" s="100"/>
      <c r="AC33" s="101" t="str">
        <f>IF(AE33="","",法术数据!AV77)</f>
        <v/>
      </c>
      <c r="AD33" s="102" t="str">
        <f>IFERROR(VLOOKUP(AE33,法术数据!B:P,15,FALSE),"")</f>
        <v/>
      </c>
      <c r="AE33" s="103"/>
      <c r="AF33" s="98" t="str">
        <f>IF(AH33="","",法术数据!AJ27)</f>
        <v/>
      </c>
      <c r="AG33" s="99" t="str">
        <f>IFERROR(VLOOKUP(AH33,法术数据!B:P,15,FALSE),"")</f>
        <v/>
      </c>
      <c r="AH33" s="100"/>
      <c r="AI33" s="101" t="str">
        <f>IF(AK33="","",法术数据!AT77)</f>
        <v/>
      </c>
      <c r="AJ33" s="102" t="str">
        <f>IFERROR(VLOOKUP(AK33,法术数据!B:P,15,FALSE),"")</f>
        <v/>
      </c>
      <c r="AK33" s="103"/>
    </row>
    <row r="34" spans="2:37" ht="17.5" customHeight="1" x14ac:dyDescent="0.25">
      <c r="B34" s="996"/>
      <c r="C34" s="1007"/>
      <c r="D34" s="1008"/>
      <c r="E34" s="1008"/>
      <c r="F34" s="1008"/>
      <c r="G34" s="1008"/>
      <c r="H34" s="1008"/>
      <c r="I34" s="1008"/>
      <c r="J34" s="1008"/>
      <c r="K34" s="1008"/>
      <c r="L34" s="1008"/>
      <c r="M34" s="1008"/>
      <c r="N34" s="1008"/>
      <c r="O34" s="1008"/>
      <c r="P34" s="1008"/>
      <c r="Q34" s="1008"/>
      <c r="R34" s="1009"/>
      <c r="S34" s="1002"/>
      <c r="T34" s="92" t="str">
        <f>IF(V34="","",法术数据!AJ28)</f>
        <v/>
      </c>
      <c r="U34" s="93" t="str">
        <f>IFERROR(VLOOKUP(V34,法术数据!B:P,15,FALSE),"")</f>
        <v/>
      </c>
      <c r="V34" s="94"/>
      <c r="W34" s="92" t="str">
        <f>IF(Y34="","",法术数据!AJ78)</f>
        <v/>
      </c>
      <c r="X34" s="93" t="str">
        <f>IFERROR(VLOOKUP(Y34,法术数据!B:P,15,FALSE),"")</f>
        <v/>
      </c>
      <c r="Y34" s="94"/>
      <c r="Z34" s="92" t="str">
        <f>IF(AB34="","",法术数据!AJ28)</f>
        <v/>
      </c>
      <c r="AA34" s="93" t="str">
        <f>IFERROR(VLOOKUP(AB34,法术数据!B:P,15,FALSE),"")</f>
        <v/>
      </c>
      <c r="AB34" s="94"/>
      <c r="AC34" s="95" t="str">
        <f>IF(AE34="","",法术数据!AJ78)</f>
        <v/>
      </c>
      <c r="AD34" s="96" t="str">
        <f>IFERROR(VLOOKUP(AE34,法术数据!B:P,15,FALSE),"")</f>
        <v/>
      </c>
      <c r="AE34" s="97"/>
      <c r="AF34" s="92" t="str">
        <f>IF(AH34="","",法术数据!AJ28)</f>
        <v/>
      </c>
      <c r="AG34" s="93" t="str">
        <f>IFERROR(VLOOKUP(AH34,法术数据!B:P,15,FALSE),"")</f>
        <v/>
      </c>
      <c r="AH34" s="94"/>
      <c r="AI34" s="95" t="str">
        <f>IF(AK34="","",法术数据!AJ78)</f>
        <v/>
      </c>
      <c r="AJ34" s="96" t="str">
        <f>IFERROR(VLOOKUP(AK34,法术数据!B:P,15,FALSE),"")</f>
        <v/>
      </c>
      <c r="AK34" s="97"/>
    </row>
    <row r="35" spans="2:37" ht="17.5" customHeight="1" x14ac:dyDescent="0.25">
      <c r="B35" s="996"/>
      <c r="C35" s="1007"/>
      <c r="D35" s="1008"/>
      <c r="E35" s="1008"/>
      <c r="F35" s="1008"/>
      <c r="G35" s="1008"/>
      <c r="H35" s="1008"/>
      <c r="I35" s="1008"/>
      <c r="J35" s="1008"/>
      <c r="K35" s="1008"/>
      <c r="L35" s="1008"/>
      <c r="M35" s="1008"/>
      <c r="N35" s="1008"/>
      <c r="O35" s="1008"/>
      <c r="P35" s="1008"/>
      <c r="Q35" s="1008"/>
      <c r="R35" s="1009"/>
      <c r="S35" s="1002"/>
      <c r="T35" s="98" t="str">
        <f>IF(V35="","",法术数据!AJ29)</f>
        <v/>
      </c>
      <c r="U35" s="99" t="str">
        <f>IFERROR(VLOOKUP(V35,法术数据!B:P,15,FALSE),"")</f>
        <v/>
      </c>
      <c r="V35" s="100"/>
      <c r="W35" s="98" t="str">
        <f>IF(Y35="","",法术数据!AJ79)</f>
        <v/>
      </c>
      <c r="X35" s="99" t="str">
        <f>IFERROR(VLOOKUP(Y35,法术数据!B:P,15,FALSE),"")</f>
        <v/>
      </c>
      <c r="Y35" s="100"/>
      <c r="Z35" s="98" t="str">
        <f>IF(AB35="","",法术数据!AJ29)</f>
        <v/>
      </c>
      <c r="AA35" s="99" t="str">
        <f>IFERROR(VLOOKUP(AB35,法术数据!B:P,15,FALSE),"")</f>
        <v/>
      </c>
      <c r="AB35" s="100"/>
      <c r="AC35" s="101" t="str">
        <f>IF(AE35="","",法术数据!AV79)</f>
        <v/>
      </c>
      <c r="AD35" s="102" t="str">
        <f>IFERROR(VLOOKUP(AE35,法术数据!B:P,15,FALSE),"")</f>
        <v/>
      </c>
      <c r="AE35" s="103"/>
      <c r="AF35" s="98" t="str">
        <f>IF(AH35="","",法术数据!AJ29)</f>
        <v/>
      </c>
      <c r="AG35" s="99" t="str">
        <f>IFERROR(VLOOKUP(AH35,法术数据!B:P,15,FALSE),"")</f>
        <v/>
      </c>
      <c r="AH35" s="100"/>
      <c r="AI35" s="101" t="str">
        <f>IF(AK35="","",法术数据!AT79)</f>
        <v/>
      </c>
      <c r="AJ35" s="102" t="str">
        <f>IFERROR(VLOOKUP(AK35,法术数据!B:P,15,FALSE),"")</f>
        <v/>
      </c>
      <c r="AK35" s="103"/>
    </row>
    <row r="36" spans="2:37" ht="17.5" customHeight="1" x14ac:dyDescent="0.25">
      <c r="B36" s="996"/>
      <c r="C36" s="1007"/>
      <c r="D36" s="1008"/>
      <c r="E36" s="1008"/>
      <c r="F36" s="1008"/>
      <c r="G36" s="1008"/>
      <c r="H36" s="1008"/>
      <c r="I36" s="1008"/>
      <c r="J36" s="1008"/>
      <c r="K36" s="1008"/>
      <c r="L36" s="1008"/>
      <c r="M36" s="1008"/>
      <c r="N36" s="1008"/>
      <c r="O36" s="1008"/>
      <c r="P36" s="1008"/>
      <c r="Q36" s="1008"/>
      <c r="R36" s="1009"/>
      <c r="S36" s="1002"/>
      <c r="T36" s="92" t="str">
        <f>IF(V36="","",法术数据!AJ30)</f>
        <v/>
      </c>
      <c r="U36" s="93" t="str">
        <f>IFERROR(VLOOKUP(V36,法术数据!B:P,15,FALSE),"")</f>
        <v/>
      </c>
      <c r="V36" s="94"/>
      <c r="W36" s="92" t="str">
        <f>IF(Y36="","",法术数据!AJ80)</f>
        <v/>
      </c>
      <c r="X36" s="93" t="str">
        <f>IFERROR(VLOOKUP(Y36,法术数据!B:P,15,FALSE),"")</f>
        <v/>
      </c>
      <c r="Y36" s="94"/>
      <c r="Z36" s="92" t="str">
        <f>IF(AB36="","",法术数据!AJ30)</f>
        <v/>
      </c>
      <c r="AA36" s="93" t="str">
        <f>IFERROR(VLOOKUP(AB36,法术数据!B:P,15,FALSE),"")</f>
        <v/>
      </c>
      <c r="AB36" s="94"/>
      <c r="AC36" s="95" t="str">
        <f>IF(AE36="","",法术数据!AJ80)</f>
        <v/>
      </c>
      <c r="AD36" s="96" t="str">
        <f>IFERROR(VLOOKUP(AE36,法术数据!B:P,15,FALSE),"")</f>
        <v/>
      </c>
      <c r="AE36" s="97"/>
      <c r="AF36" s="92" t="str">
        <f>IF(AH36="","",法术数据!AJ30)</f>
        <v/>
      </c>
      <c r="AG36" s="93" t="str">
        <f>IFERROR(VLOOKUP(AH36,法术数据!B:P,15,FALSE),"")</f>
        <v/>
      </c>
      <c r="AH36" s="94"/>
      <c r="AI36" s="95" t="str">
        <f>IF(AK36="","",法术数据!AJ80)</f>
        <v/>
      </c>
      <c r="AJ36" s="96" t="str">
        <f>IFERROR(VLOOKUP(AK36,法术数据!B:P,15,FALSE),"")</f>
        <v/>
      </c>
      <c r="AK36" s="97"/>
    </row>
    <row r="37" spans="2:37" ht="17.5" customHeight="1" x14ac:dyDescent="0.25">
      <c r="B37" s="996"/>
      <c r="C37" s="1007"/>
      <c r="D37" s="1008"/>
      <c r="E37" s="1008"/>
      <c r="F37" s="1008"/>
      <c r="G37" s="1008"/>
      <c r="H37" s="1008"/>
      <c r="I37" s="1008"/>
      <c r="J37" s="1008"/>
      <c r="K37" s="1008"/>
      <c r="L37" s="1008"/>
      <c r="M37" s="1008"/>
      <c r="N37" s="1008"/>
      <c r="O37" s="1008"/>
      <c r="P37" s="1008"/>
      <c r="Q37" s="1008"/>
      <c r="R37" s="1009"/>
      <c r="S37" s="1002"/>
      <c r="T37" s="98" t="str">
        <f>IF(V37="","",法术数据!AJ31)</f>
        <v/>
      </c>
      <c r="U37" s="99" t="str">
        <f>IFERROR(VLOOKUP(V37,法术数据!B:P,15,FALSE),"")</f>
        <v/>
      </c>
      <c r="V37" s="100"/>
      <c r="W37" s="98" t="str">
        <f>IF(Y37="","",法术数据!AJ81)</f>
        <v/>
      </c>
      <c r="X37" s="99" t="str">
        <f>IFERROR(VLOOKUP(Y37,法术数据!B:P,15,FALSE),"")</f>
        <v/>
      </c>
      <c r="Y37" s="100"/>
      <c r="Z37" s="98" t="str">
        <f>IF(AB37="","",法术数据!AJ31)</f>
        <v/>
      </c>
      <c r="AA37" s="99" t="str">
        <f>IFERROR(VLOOKUP(AB37,法术数据!B:P,15,FALSE),"")</f>
        <v/>
      </c>
      <c r="AB37" s="100"/>
      <c r="AC37" s="101" t="str">
        <f>IF(AE37="","",法术数据!AV81)</f>
        <v/>
      </c>
      <c r="AD37" s="102" t="str">
        <f>IFERROR(VLOOKUP(AE37,法术数据!B:P,15,FALSE),"")</f>
        <v/>
      </c>
      <c r="AE37" s="103"/>
      <c r="AF37" s="98" t="str">
        <f>IF(AH37="","",法术数据!AJ31)</f>
        <v/>
      </c>
      <c r="AG37" s="99" t="str">
        <f>IFERROR(VLOOKUP(AH37,法术数据!B:P,15,FALSE),"")</f>
        <v/>
      </c>
      <c r="AH37" s="100"/>
      <c r="AI37" s="101" t="str">
        <f>IF(AK37="","",法术数据!AT81)</f>
        <v/>
      </c>
      <c r="AJ37" s="102" t="str">
        <f>IFERROR(VLOOKUP(AK37,法术数据!B:P,15,FALSE),"")</f>
        <v/>
      </c>
      <c r="AK37" s="103"/>
    </row>
    <row r="38" spans="2:37" ht="17.5" customHeight="1" x14ac:dyDescent="0.25">
      <c r="B38" s="996"/>
      <c r="C38" s="1007"/>
      <c r="D38" s="1008"/>
      <c r="E38" s="1008"/>
      <c r="F38" s="1008"/>
      <c r="G38" s="1008"/>
      <c r="H38" s="1008"/>
      <c r="I38" s="1008"/>
      <c r="J38" s="1008"/>
      <c r="K38" s="1008"/>
      <c r="L38" s="1008"/>
      <c r="M38" s="1008"/>
      <c r="N38" s="1008"/>
      <c r="O38" s="1008"/>
      <c r="P38" s="1008"/>
      <c r="Q38" s="1008"/>
      <c r="R38" s="1009"/>
      <c r="S38" s="1002"/>
      <c r="T38" s="92" t="str">
        <f>IF(V38="","",法术数据!AJ32)</f>
        <v/>
      </c>
      <c r="U38" s="93" t="str">
        <f>IFERROR(VLOOKUP(V38,法术数据!B:P,15,FALSE),"")</f>
        <v/>
      </c>
      <c r="V38" s="94"/>
      <c r="W38" s="92" t="str">
        <f>IF(Y38="","",法术数据!AJ82)</f>
        <v/>
      </c>
      <c r="X38" s="93" t="str">
        <f>IFERROR(VLOOKUP(Y38,法术数据!B:P,15,FALSE),"")</f>
        <v/>
      </c>
      <c r="Y38" s="94"/>
      <c r="Z38" s="92" t="str">
        <f>IF(AB38="","",法术数据!AJ32)</f>
        <v/>
      </c>
      <c r="AA38" s="93" t="str">
        <f>IFERROR(VLOOKUP(AB38,法术数据!B:P,15,FALSE),"")</f>
        <v/>
      </c>
      <c r="AB38" s="94"/>
      <c r="AC38" s="95" t="str">
        <f>IF(AE38="","",法术数据!AJ82)</f>
        <v/>
      </c>
      <c r="AD38" s="96" t="str">
        <f>IFERROR(VLOOKUP(AE38,法术数据!B:P,15,FALSE),"")</f>
        <v/>
      </c>
      <c r="AE38" s="97"/>
      <c r="AF38" s="92" t="str">
        <f>IF(AH38="","",法术数据!AJ32)</f>
        <v/>
      </c>
      <c r="AG38" s="93" t="str">
        <f>IFERROR(VLOOKUP(AH38,法术数据!B:P,15,FALSE),"")</f>
        <v/>
      </c>
      <c r="AH38" s="94"/>
      <c r="AI38" s="95" t="str">
        <f>IF(AK38="","",法术数据!AJ82)</f>
        <v/>
      </c>
      <c r="AJ38" s="96" t="str">
        <f>IFERROR(VLOOKUP(AK38,法术数据!B:P,15,FALSE),"")</f>
        <v/>
      </c>
      <c r="AK38" s="97"/>
    </row>
    <row r="39" spans="2:37" ht="17.5" customHeight="1" x14ac:dyDescent="0.25">
      <c r="B39" s="996"/>
      <c r="C39" s="1007"/>
      <c r="D39" s="1008"/>
      <c r="E39" s="1008"/>
      <c r="F39" s="1008"/>
      <c r="G39" s="1008"/>
      <c r="H39" s="1008"/>
      <c r="I39" s="1008"/>
      <c r="J39" s="1008"/>
      <c r="K39" s="1008"/>
      <c r="L39" s="1008"/>
      <c r="M39" s="1008"/>
      <c r="N39" s="1008"/>
      <c r="O39" s="1008"/>
      <c r="P39" s="1008"/>
      <c r="Q39" s="1008"/>
      <c r="R39" s="1009"/>
      <c r="S39" s="1002"/>
      <c r="T39" s="98" t="str">
        <f>IF(V39="","",法术数据!AJ33)</f>
        <v/>
      </c>
      <c r="U39" s="99" t="str">
        <f>IFERROR(VLOOKUP(V39,法术数据!B:P,15,FALSE),"")</f>
        <v/>
      </c>
      <c r="V39" s="100"/>
      <c r="W39" s="98" t="str">
        <f>IF(Y39="","",法术数据!AJ83)</f>
        <v/>
      </c>
      <c r="X39" s="99" t="str">
        <f>IFERROR(VLOOKUP(Y39,法术数据!B:P,15,FALSE),"")</f>
        <v/>
      </c>
      <c r="Y39" s="100"/>
      <c r="Z39" s="98" t="str">
        <f>IF(AB39="","",法术数据!AJ33)</f>
        <v/>
      </c>
      <c r="AA39" s="99" t="str">
        <f>IFERROR(VLOOKUP(AB39,法术数据!B:P,15,FALSE),"")</f>
        <v/>
      </c>
      <c r="AB39" s="100"/>
      <c r="AC39" s="101" t="str">
        <f>IF(AE39="","",法术数据!AV83)</f>
        <v/>
      </c>
      <c r="AD39" s="102" t="str">
        <f>IFERROR(VLOOKUP(AE39,法术数据!B:P,15,FALSE),"")</f>
        <v/>
      </c>
      <c r="AE39" s="103"/>
      <c r="AF39" s="98" t="str">
        <f>IF(AH39="","",法术数据!AJ33)</f>
        <v/>
      </c>
      <c r="AG39" s="99" t="str">
        <f>IFERROR(VLOOKUP(AH39,法术数据!B:P,15,FALSE),"")</f>
        <v/>
      </c>
      <c r="AH39" s="100"/>
      <c r="AI39" s="101" t="str">
        <f>IF(AK39="","",法术数据!AT83)</f>
        <v/>
      </c>
      <c r="AJ39" s="102" t="str">
        <f>IFERROR(VLOOKUP(AK39,法术数据!B:P,15,FALSE),"")</f>
        <v/>
      </c>
      <c r="AK39" s="103"/>
    </row>
    <row r="40" spans="2:37" ht="17.5" customHeight="1" x14ac:dyDescent="0.25">
      <c r="B40" s="996"/>
      <c r="C40" s="1007"/>
      <c r="D40" s="1008"/>
      <c r="E40" s="1008"/>
      <c r="F40" s="1008"/>
      <c r="G40" s="1008"/>
      <c r="H40" s="1008"/>
      <c r="I40" s="1008"/>
      <c r="J40" s="1008"/>
      <c r="K40" s="1008"/>
      <c r="L40" s="1008"/>
      <c r="M40" s="1008"/>
      <c r="N40" s="1008"/>
      <c r="O40" s="1008"/>
      <c r="P40" s="1008"/>
      <c r="Q40" s="1008"/>
      <c r="R40" s="1009"/>
      <c r="S40" s="1002"/>
      <c r="T40" s="92" t="str">
        <f>IF(V40="","",法术数据!AJ34)</f>
        <v/>
      </c>
      <c r="U40" s="93" t="str">
        <f>IFERROR(VLOOKUP(V40,法术数据!B:P,15,FALSE),"")</f>
        <v/>
      </c>
      <c r="V40" s="94"/>
      <c r="W40" s="92" t="str">
        <f>IF(Y40="","",法术数据!AJ84)</f>
        <v/>
      </c>
      <c r="X40" s="93" t="str">
        <f>IFERROR(VLOOKUP(Y40,法术数据!B:P,15,FALSE),"")</f>
        <v/>
      </c>
      <c r="Y40" s="94"/>
      <c r="Z40" s="92" t="str">
        <f>IF(AB40="","",法术数据!AJ34)</f>
        <v/>
      </c>
      <c r="AA40" s="93" t="str">
        <f>IFERROR(VLOOKUP(AB40,法术数据!B:P,15,FALSE),"")</f>
        <v/>
      </c>
      <c r="AB40" s="94"/>
      <c r="AC40" s="95" t="str">
        <f>IF(AE40="","",法术数据!AJ84)</f>
        <v/>
      </c>
      <c r="AD40" s="96" t="str">
        <f>IFERROR(VLOOKUP(AE40,法术数据!B:P,15,FALSE),"")</f>
        <v/>
      </c>
      <c r="AE40" s="97"/>
      <c r="AF40" s="92" t="str">
        <f>IF(AH40="","",法术数据!AJ34)</f>
        <v/>
      </c>
      <c r="AG40" s="93" t="str">
        <f>IFERROR(VLOOKUP(AH40,法术数据!B:P,15,FALSE),"")</f>
        <v/>
      </c>
      <c r="AH40" s="94"/>
      <c r="AI40" s="95" t="str">
        <f>IF(AK40="","",法术数据!AJ84)</f>
        <v/>
      </c>
      <c r="AJ40" s="96" t="str">
        <f>IFERROR(VLOOKUP(AK40,法术数据!B:P,15,FALSE),"")</f>
        <v/>
      </c>
      <c r="AK40" s="97"/>
    </row>
    <row r="41" spans="2:37" ht="17.5" customHeight="1" x14ac:dyDescent="0.25">
      <c r="B41" s="996"/>
      <c r="C41" s="1007"/>
      <c r="D41" s="1008"/>
      <c r="E41" s="1008"/>
      <c r="F41" s="1008"/>
      <c r="G41" s="1008"/>
      <c r="H41" s="1008"/>
      <c r="I41" s="1008"/>
      <c r="J41" s="1008"/>
      <c r="K41" s="1008"/>
      <c r="L41" s="1008"/>
      <c r="M41" s="1008"/>
      <c r="N41" s="1008"/>
      <c r="O41" s="1008"/>
      <c r="P41" s="1008"/>
      <c r="Q41" s="1008"/>
      <c r="R41" s="1009"/>
      <c r="S41" s="1002"/>
      <c r="T41" s="98" t="str">
        <f>IF(V41="","",法术数据!AJ35)</f>
        <v/>
      </c>
      <c r="U41" s="99" t="str">
        <f>IFERROR(VLOOKUP(V41,法术数据!B:P,15,FALSE),"")</f>
        <v/>
      </c>
      <c r="V41" s="100"/>
      <c r="W41" s="98" t="str">
        <f>IF(Y41="","",法术数据!AJ85)</f>
        <v/>
      </c>
      <c r="X41" s="99" t="str">
        <f>IFERROR(VLOOKUP(Y41,法术数据!B:P,15,FALSE),"")</f>
        <v/>
      </c>
      <c r="Y41" s="100"/>
      <c r="Z41" s="98" t="str">
        <f>IF(AB41="","",法术数据!AJ35)</f>
        <v/>
      </c>
      <c r="AA41" s="99" t="str">
        <f>IFERROR(VLOOKUP(AB41,法术数据!B:P,15,FALSE),"")</f>
        <v/>
      </c>
      <c r="AB41" s="100"/>
      <c r="AC41" s="101" t="str">
        <f>IF(AE41="","",法术数据!AV85)</f>
        <v/>
      </c>
      <c r="AD41" s="102" t="str">
        <f>IFERROR(VLOOKUP(AE41,法术数据!B:P,15,FALSE),"")</f>
        <v/>
      </c>
      <c r="AE41" s="103"/>
      <c r="AF41" s="98" t="str">
        <f>IF(AH41="","",法术数据!AJ35)</f>
        <v/>
      </c>
      <c r="AG41" s="99" t="str">
        <f>IFERROR(VLOOKUP(AH41,法术数据!B:P,15,FALSE),"")</f>
        <v/>
      </c>
      <c r="AH41" s="100"/>
      <c r="AI41" s="101" t="str">
        <f>IF(AK41="","",法术数据!AT85)</f>
        <v/>
      </c>
      <c r="AJ41" s="102" t="str">
        <f>IFERROR(VLOOKUP(AK41,法术数据!B:P,15,FALSE),"")</f>
        <v/>
      </c>
      <c r="AK41" s="103"/>
    </row>
    <row r="42" spans="2:37" ht="17.5" customHeight="1" x14ac:dyDescent="0.25">
      <c r="B42" s="996"/>
      <c r="C42" s="1007"/>
      <c r="D42" s="1008"/>
      <c r="E42" s="1008"/>
      <c r="F42" s="1008"/>
      <c r="G42" s="1008"/>
      <c r="H42" s="1008"/>
      <c r="I42" s="1008"/>
      <c r="J42" s="1008"/>
      <c r="K42" s="1008"/>
      <c r="L42" s="1008"/>
      <c r="M42" s="1008"/>
      <c r="N42" s="1008"/>
      <c r="O42" s="1008"/>
      <c r="P42" s="1008"/>
      <c r="Q42" s="1008"/>
      <c r="R42" s="1009"/>
      <c r="S42" s="1002"/>
      <c r="T42" s="92" t="str">
        <f>IF(V42="","",法术数据!AJ36)</f>
        <v/>
      </c>
      <c r="U42" s="93" t="str">
        <f>IFERROR(VLOOKUP(V42,法术数据!B:P,15,FALSE),"")</f>
        <v/>
      </c>
      <c r="V42" s="94"/>
      <c r="W42" s="92" t="str">
        <f>IF(Y42="","",法术数据!AJ86)</f>
        <v/>
      </c>
      <c r="X42" s="93" t="str">
        <f>IFERROR(VLOOKUP(Y42,法术数据!B:P,15,FALSE),"")</f>
        <v/>
      </c>
      <c r="Y42" s="94"/>
      <c r="Z42" s="92" t="str">
        <f>IF(AB42="","",法术数据!AJ36)</f>
        <v/>
      </c>
      <c r="AA42" s="93" t="str">
        <f>IFERROR(VLOOKUP(AB42,法术数据!B:P,15,FALSE),"")</f>
        <v/>
      </c>
      <c r="AB42" s="94"/>
      <c r="AC42" s="95" t="str">
        <f>IF(AE42="","",法术数据!AJ86)</f>
        <v/>
      </c>
      <c r="AD42" s="96" t="str">
        <f>IFERROR(VLOOKUP(AE42,法术数据!B:P,15,FALSE),"")</f>
        <v/>
      </c>
      <c r="AE42" s="97"/>
      <c r="AF42" s="92" t="str">
        <f>IF(AH42="","",法术数据!AJ36)</f>
        <v/>
      </c>
      <c r="AG42" s="93" t="str">
        <f>IFERROR(VLOOKUP(AH42,法术数据!B:P,15,FALSE),"")</f>
        <v/>
      </c>
      <c r="AH42" s="94"/>
      <c r="AI42" s="95" t="str">
        <f>IF(AK42="","",法术数据!AJ86)</f>
        <v/>
      </c>
      <c r="AJ42" s="96" t="str">
        <f>IFERROR(VLOOKUP(AK42,法术数据!B:P,15,FALSE),"")</f>
        <v/>
      </c>
      <c r="AK42" s="97"/>
    </row>
    <row r="43" spans="2:37" ht="17.5" customHeight="1" x14ac:dyDescent="0.25">
      <c r="B43" s="996"/>
      <c r="C43" s="1007"/>
      <c r="D43" s="1008"/>
      <c r="E43" s="1008"/>
      <c r="F43" s="1008"/>
      <c r="G43" s="1008"/>
      <c r="H43" s="1008"/>
      <c r="I43" s="1008"/>
      <c r="J43" s="1008"/>
      <c r="K43" s="1008"/>
      <c r="L43" s="1008"/>
      <c r="M43" s="1008"/>
      <c r="N43" s="1008"/>
      <c r="O43" s="1008"/>
      <c r="P43" s="1008"/>
      <c r="Q43" s="1008"/>
      <c r="R43" s="1009"/>
      <c r="S43" s="1002"/>
      <c r="T43" s="98" t="str">
        <f>IF(V43="","",法术数据!AJ37)</f>
        <v/>
      </c>
      <c r="U43" s="99" t="str">
        <f>IFERROR(VLOOKUP(V43,法术数据!B:P,15,FALSE),"")</f>
        <v/>
      </c>
      <c r="V43" s="100"/>
      <c r="W43" s="98" t="str">
        <f>IF(Y43="","",法术数据!AJ87)</f>
        <v/>
      </c>
      <c r="X43" s="99" t="str">
        <f>IFERROR(VLOOKUP(Y43,法术数据!B:P,15,FALSE),"")</f>
        <v/>
      </c>
      <c r="Y43" s="100"/>
      <c r="Z43" s="98" t="str">
        <f>IF(AB43="","",法术数据!AJ37)</f>
        <v/>
      </c>
      <c r="AA43" s="99" t="str">
        <f>IFERROR(VLOOKUP(AB43,法术数据!B:P,15,FALSE),"")</f>
        <v/>
      </c>
      <c r="AB43" s="100"/>
      <c r="AC43" s="101" t="str">
        <f>IF(AE43="","",法术数据!AV87)</f>
        <v/>
      </c>
      <c r="AD43" s="102" t="str">
        <f>IFERROR(VLOOKUP(AE43,法术数据!B:P,15,FALSE),"")</f>
        <v/>
      </c>
      <c r="AE43" s="103"/>
      <c r="AF43" s="98" t="str">
        <f>IF(AH43="","",法术数据!AJ37)</f>
        <v/>
      </c>
      <c r="AG43" s="99" t="str">
        <f>IFERROR(VLOOKUP(AH43,法术数据!B:P,15,FALSE),"")</f>
        <v/>
      </c>
      <c r="AH43" s="100"/>
      <c r="AI43" s="101" t="str">
        <f>IF(AK43="","",法术数据!AT87)</f>
        <v/>
      </c>
      <c r="AJ43" s="102" t="str">
        <f>IFERROR(VLOOKUP(AK43,法术数据!B:P,15,FALSE),"")</f>
        <v/>
      </c>
      <c r="AK43" s="103"/>
    </row>
    <row r="44" spans="2:37" ht="17.5" customHeight="1" x14ac:dyDescent="0.25">
      <c r="B44" s="996"/>
      <c r="C44" s="1007"/>
      <c r="D44" s="1008"/>
      <c r="E44" s="1008"/>
      <c r="F44" s="1008"/>
      <c r="G44" s="1008"/>
      <c r="H44" s="1008"/>
      <c r="I44" s="1008"/>
      <c r="J44" s="1008"/>
      <c r="K44" s="1008"/>
      <c r="L44" s="1008"/>
      <c r="M44" s="1008"/>
      <c r="N44" s="1008"/>
      <c r="O44" s="1008"/>
      <c r="P44" s="1008"/>
      <c r="Q44" s="1008"/>
      <c r="R44" s="1009"/>
      <c r="S44" s="1002"/>
      <c r="T44" s="92" t="str">
        <f>IF(V44="","",法术数据!AJ38)</f>
        <v/>
      </c>
      <c r="U44" s="93" t="str">
        <f>IFERROR(VLOOKUP(V44,法术数据!B:P,15,FALSE),"")</f>
        <v/>
      </c>
      <c r="V44" s="94"/>
      <c r="W44" s="92" t="str">
        <f>IF(Y44="","",法术数据!AJ88)</f>
        <v/>
      </c>
      <c r="X44" s="93" t="str">
        <f>IFERROR(VLOOKUP(Y44,法术数据!B:P,15,FALSE),"")</f>
        <v/>
      </c>
      <c r="Y44" s="94"/>
      <c r="Z44" s="92" t="str">
        <f>IF(AB44="","",法术数据!AJ38)</f>
        <v/>
      </c>
      <c r="AA44" s="93" t="str">
        <f>IFERROR(VLOOKUP(AB44,法术数据!B:P,15,FALSE),"")</f>
        <v/>
      </c>
      <c r="AB44" s="94"/>
      <c r="AC44" s="95" t="str">
        <f>IF(AE44="","",法术数据!AJ88)</f>
        <v/>
      </c>
      <c r="AD44" s="96" t="str">
        <f>IFERROR(VLOOKUP(AE44,法术数据!B:P,15,FALSE),"")</f>
        <v/>
      </c>
      <c r="AE44" s="97"/>
      <c r="AF44" s="92" t="str">
        <f>IF(AH44="","",法术数据!AJ38)</f>
        <v/>
      </c>
      <c r="AG44" s="93" t="str">
        <f>IFERROR(VLOOKUP(AH44,法术数据!B:P,15,FALSE),"")</f>
        <v/>
      </c>
      <c r="AH44" s="94"/>
      <c r="AI44" s="95" t="str">
        <f>IF(AK44="","",法术数据!AJ88)</f>
        <v/>
      </c>
      <c r="AJ44" s="96" t="str">
        <f>IFERROR(VLOOKUP(AK44,法术数据!B:P,15,FALSE),"")</f>
        <v/>
      </c>
      <c r="AK44" s="97"/>
    </row>
    <row r="45" spans="2:37" ht="17.5" customHeight="1" x14ac:dyDescent="0.25">
      <c r="B45" s="996"/>
      <c r="C45" s="1007"/>
      <c r="D45" s="1008"/>
      <c r="E45" s="1008"/>
      <c r="F45" s="1008"/>
      <c r="G45" s="1008"/>
      <c r="H45" s="1008"/>
      <c r="I45" s="1008"/>
      <c r="J45" s="1008"/>
      <c r="K45" s="1008"/>
      <c r="L45" s="1008"/>
      <c r="M45" s="1008"/>
      <c r="N45" s="1008"/>
      <c r="O45" s="1008"/>
      <c r="P45" s="1008"/>
      <c r="Q45" s="1008"/>
      <c r="R45" s="1009"/>
      <c r="S45" s="1002"/>
      <c r="T45" s="98" t="str">
        <f>IF(V45="","",法术数据!AJ39)</f>
        <v/>
      </c>
      <c r="U45" s="99" t="str">
        <f>IFERROR(VLOOKUP(V45,法术数据!B:P,15,FALSE),"")</f>
        <v/>
      </c>
      <c r="V45" s="100"/>
      <c r="W45" s="98" t="str">
        <f>IF(Y45="","",法术数据!AJ89)</f>
        <v/>
      </c>
      <c r="X45" s="99" t="str">
        <f>IFERROR(VLOOKUP(Y45,法术数据!B:P,15,FALSE),"")</f>
        <v/>
      </c>
      <c r="Y45" s="100"/>
      <c r="Z45" s="98" t="str">
        <f>IF(AB45="","",法术数据!AJ39)</f>
        <v/>
      </c>
      <c r="AA45" s="99" t="str">
        <f>IFERROR(VLOOKUP(AB45,法术数据!B:P,15,FALSE),"")</f>
        <v/>
      </c>
      <c r="AB45" s="100"/>
      <c r="AC45" s="101" t="str">
        <f>IF(AE45="","",法术数据!AV89)</f>
        <v/>
      </c>
      <c r="AD45" s="102" t="str">
        <f>IFERROR(VLOOKUP(AE45,法术数据!B:P,15,FALSE),"")</f>
        <v/>
      </c>
      <c r="AE45" s="103"/>
      <c r="AF45" s="98" t="str">
        <f>IF(AH45="","",法术数据!AJ39)</f>
        <v/>
      </c>
      <c r="AG45" s="99" t="str">
        <f>IFERROR(VLOOKUP(AH45,法术数据!B:P,15,FALSE),"")</f>
        <v/>
      </c>
      <c r="AH45" s="100"/>
      <c r="AI45" s="101" t="str">
        <f>IF(AK45="","",法术数据!AT89)</f>
        <v/>
      </c>
      <c r="AJ45" s="102" t="str">
        <f>IFERROR(VLOOKUP(AK45,法术数据!B:P,15,FALSE),"")</f>
        <v/>
      </c>
      <c r="AK45" s="103"/>
    </row>
    <row r="46" spans="2:37" ht="17.5" customHeight="1" x14ac:dyDescent="0.25">
      <c r="B46" s="996"/>
      <c r="C46" s="1007"/>
      <c r="D46" s="1008"/>
      <c r="E46" s="1008"/>
      <c r="F46" s="1008"/>
      <c r="G46" s="1008"/>
      <c r="H46" s="1008"/>
      <c r="I46" s="1008"/>
      <c r="J46" s="1008"/>
      <c r="K46" s="1008"/>
      <c r="L46" s="1008"/>
      <c r="M46" s="1008"/>
      <c r="N46" s="1008"/>
      <c r="O46" s="1008"/>
      <c r="P46" s="1008"/>
      <c r="Q46" s="1008"/>
      <c r="R46" s="1009"/>
      <c r="S46" s="1002"/>
      <c r="T46" s="92" t="str">
        <f>IF(V46="","",法术数据!AJ40)</f>
        <v/>
      </c>
      <c r="U46" s="93" t="str">
        <f>IFERROR(VLOOKUP(V46,法术数据!B:P,15,FALSE),"")</f>
        <v/>
      </c>
      <c r="V46" s="94"/>
      <c r="W46" s="92" t="str">
        <f>IF(Y46="","",法术数据!AJ90)</f>
        <v/>
      </c>
      <c r="X46" s="93" t="str">
        <f>IFERROR(VLOOKUP(Y46,法术数据!B:P,15,FALSE),"")</f>
        <v/>
      </c>
      <c r="Y46" s="94"/>
      <c r="Z46" s="92" t="str">
        <f>IF(AB46="","",法术数据!AJ40)</f>
        <v/>
      </c>
      <c r="AA46" s="93" t="str">
        <f>IFERROR(VLOOKUP(AB46,法术数据!B:P,15,FALSE),"")</f>
        <v/>
      </c>
      <c r="AB46" s="94"/>
      <c r="AC46" s="95" t="str">
        <f>IF(AE46="","",法术数据!AJ90)</f>
        <v/>
      </c>
      <c r="AD46" s="96" t="str">
        <f>IFERROR(VLOOKUP(AE46,法术数据!B:P,15,FALSE),"")</f>
        <v/>
      </c>
      <c r="AE46" s="97"/>
      <c r="AF46" s="92" t="str">
        <f>IF(AH46="","",法术数据!AJ40)</f>
        <v/>
      </c>
      <c r="AG46" s="93" t="str">
        <f>IFERROR(VLOOKUP(AH46,法术数据!B:P,15,FALSE),"")</f>
        <v/>
      </c>
      <c r="AH46" s="94"/>
      <c r="AI46" s="95" t="str">
        <f>IF(AK46="","",法术数据!AJ90)</f>
        <v/>
      </c>
      <c r="AJ46" s="96" t="str">
        <f>IFERROR(VLOOKUP(AK46,法术数据!B:P,15,FALSE),"")</f>
        <v/>
      </c>
      <c r="AK46" s="97"/>
    </row>
    <row r="47" spans="2:37" ht="17.5" customHeight="1" x14ac:dyDescent="0.25">
      <c r="B47" s="996"/>
      <c r="C47" s="1007"/>
      <c r="D47" s="1008"/>
      <c r="E47" s="1008"/>
      <c r="F47" s="1008"/>
      <c r="G47" s="1008"/>
      <c r="H47" s="1008"/>
      <c r="I47" s="1008"/>
      <c r="J47" s="1008"/>
      <c r="K47" s="1008"/>
      <c r="L47" s="1008"/>
      <c r="M47" s="1008"/>
      <c r="N47" s="1008"/>
      <c r="O47" s="1008"/>
      <c r="P47" s="1008"/>
      <c r="Q47" s="1008"/>
      <c r="R47" s="1009"/>
      <c r="S47" s="1002"/>
      <c r="T47" s="98" t="str">
        <f>IF(V47="","",法术数据!AJ41)</f>
        <v/>
      </c>
      <c r="U47" s="99" t="str">
        <f>IFERROR(VLOOKUP(V47,法术数据!B:P,15,FALSE),"")</f>
        <v/>
      </c>
      <c r="V47" s="100"/>
      <c r="W47" s="98" t="str">
        <f>IF(Y47="","",法术数据!AJ91)</f>
        <v/>
      </c>
      <c r="X47" s="99" t="str">
        <f>IFERROR(VLOOKUP(Y47,法术数据!B:P,15,FALSE),"")</f>
        <v/>
      </c>
      <c r="Y47" s="100"/>
      <c r="Z47" s="98" t="str">
        <f>IF(AB47="","",法术数据!AJ41)</f>
        <v/>
      </c>
      <c r="AA47" s="99" t="str">
        <f>IFERROR(VLOOKUP(AB47,法术数据!B:P,15,FALSE),"")</f>
        <v/>
      </c>
      <c r="AB47" s="100"/>
      <c r="AC47" s="101" t="str">
        <f>IF(AE47="","",法术数据!AV91)</f>
        <v/>
      </c>
      <c r="AD47" s="102" t="str">
        <f>IFERROR(VLOOKUP(AE47,法术数据!B:P,15,FALSE),"")</f>
        <v/>
      </c>
      <c r="AE47" s="103"/>
      <c r="AF47" s="98" t="str">
        <f>IF(AH47="","",法术数据!AJ41)</f>
        <v/>
      </c>
      <c r="AG47" s="99" t="str">
        <f>IFERROR(VLOOKUP(AH47,法术数据!B:P,15,FALSE),"")</f>
        <v/>
      </c>
      <c r="AH47" s="100"/>
      <c r="AI47" s="101" t="str">
        <f>IF(AK47="","",法术数据!AT91)</f>
        <v/>
      </c>
      <c r="AJ47" s="102" t="str">
        <f>IFERROR(VLOOKUP(AK47,法术数据!B:P,15,FALSE),"")</f>
        <v/>
      </c>
      <c r="AK47" s="103"/>
    </row>
    <row r="48" spans="2:37" ht="17.5" customHeight="1" x14ac:dyDescent="0.25">
      <c r="B48" s="996"/>
      <c r="C48" s="1007"/>
      <c r="D48" s="1008"/>
      <c r="E48" s="1008"/>
      <c r="F48" s="1008"/>
      <c r="G48" s="1008"/>
      <c r="H48" s="1008"/>
      <c r="I48" s="1008"/>
      <c r="J48" s="1008"/>
      <c r="K48" s="1008"/>
      <c r="L48" s="1008"/>
      <c r="M48" s="1008"/>
      <c r="N48" s="1008"/>
      <c r="O48" s="1008"/>
      <c r="P48" s="1008"/>
      <c r="Q48" s="1008"/>
      <c r="R48" s="1009"/>
      <c r="S48" s="1002"/>
      <c r="T48" s="92" t="str">
        <f>IF(V48="","",法术数据!AJ42)</f>
        <v/>
      </c>
      <c r="U48" s="93" t="str">
        <f>IFERROR(VLOOKUP(V48,法术数据!B:P,15,FALSE),"")</f>
        <v/>
      </c>
      <c r="V48" s="94"/>
      <c r="W48" s="92" t="str">
        <f>IF(Y48="","",法术数据!AJ92)</f>
        <v/>
      </c>
      <c r="X48" s="93" t="str">
        <f>IFERROR(VLOOKUP(Y48,法术数据!B:P,15,FALSE),"")</f>
        <v/>
      </c>
      <c r="Y48" s="94"/>
      <c r="Z48" s="92" t="str">
        <f>IF(AB48="","",法术数据!AJ42)</f>
        <v/>
      </c>
      <c r="AA48" s="93" t="str">
        <f>IFERROR(VLOOKUP(AB48,法术数据!B:P,15,FALSE),"")</f>
        <v/>
      </c>
      <c r="AB48" s="94"/>
      <c r="AC48" s="95" t="str">
        <f>IF(AE48="","",法术数据!AJ92)</f>
        <v/>
      </c>
      <c r="AD48" s="96" t="str">
        <f>IFERROR(VLOOKUP(AE48,法术数据!B:P,15,FALSE),"")</f>
        <v/>
      </c>
      <c r="AE48" s="97"/>
      <c r="AF48" s="92" t="str">
        <f>IF(AH48="","",法术数据!AJ42)</f>
        <v/>
      </c>
      <c r="AG48" s="93" t="str">
        <f>IFERROR(VLOOKUP(AH48,法术数据!B:P,15,FALSE),"")</f>
        <v/>
      </c>
      <c r="AH48" s="94"/>
      <c r="AI48" s="95" t="str">
        <f>IF(AK48="","",法术数据!AJ92)</f>
        <v/>
      </c>
      <c r="AJ48" s="96" t="str">
        <f>IFERROR(VLOOKUP(AK48,法术数据!B:P,15,FALSE),"")</f>
        <v/>
      </c>
      <c r="AK48" s="97"/>
    </row>
    <row r="49" spans="2:37" ht="17.5" customHeight="1" x14ac:dyDescent="0.25">
      <c r="B49" s="996"/>
      <c r="C49" s="1007"/>
      <c r="D49" s="1008"/>
      <c r="E49" s="1008"/>
      <c r="F49" s="1008"/>
      <c r="G49" s="1008"/>
      <c r="H49" s="1008"/>
      <c r="I49" s="1008"/>
      <c r="J49" s="1008"/>
      <c r="K49" s="1008"/>
      <c r="L49" s="1008"/>
      <c r="M49" s="1008"/>
      <c r="N49" s="1008"/>
      <c r="O49" s="1008"/>
      <c r="P49" s="1008"/>
      <c r="Q49" s="1008"/>
      <c r="R49" s="1009"/>
      <c r="S49" s="1002"/>
      <c r="T49" s="98" t="str">
        <f>IF(V49="","",法术数据!AJ43)</f>
        <v/>
      </c>
      <c r="U49" s="99" t="str">
        <f>IFERROR(VLOOKUP(V49,法术数据!B:P,15,FALSE),"")</f>
        <v/>
      </c>
      <c r="V49" s="100"/>
      <c r="W49" s="98" t="str">
        <f>IF(Y49="","",法术数据!AJ93)</f>
        <v/>
      </c>
      <c r="X49" s="99" t="str">
        <f>IFERROR(VLOOKUP(Y49,法术数据!B:P,15,FALSE),"")</f>
        <v/>
      </c>
      <c r="Y49" s="100"/>
      <c r="Z49" s="98" t="str">
        <f>IF(AB49="","",法术数据!AJ43)</f>
        <v/>
      </c>
      <c r="AA49" s="99" t="str">
        <f>IFERROR(VLOOKUP(AB49,法术数据!B:P,15,FALSE),"")</f>
        <v/>
      </c>
      <c r="AB49" s="100"/>
      <c r="AC49" s="101" t="str">
        <f>IF(AE49="","",法术数据!AV93)</f>
        <v/>
      </c>
      <c r="AD49" s="102" t="str">
        <f>IFERROR(VLOOKUP(AE49,法术数据!B:P,15,FALSE),"")</f>
        <v/>
      </c>
      <c r="AE49" s="103"/>
      <c r="AF49" s="98" t="str">
        <f>IF(AH49="","",法术数据!AJ43)</f>
        <v/>
      </c>
      <c r="AG49" s="99" t="str">
        <f>IFERROR(VLOOKUP(AH49,法术数据!B:P,15,FALSE),"")</f>
        <v/>
      </c>
      <c r="AH49" s="100"/>
      <c r="AI49" s="101" t="str">
        <f>IF(AK49="","",法术数据!AT93)</f>
        <v/>
      </c>
      <c r="AJ49" s="102" t="str">
        <f>IFERROR(VLOOKUP(AK49,法术数据!B:P,15,FALSE),"")</f>
        <v/>
      </c>
      <c r="AK49" s="103"/>
    </row>
    <row r="50" spans="2:37" ht="17.5" customHeight="1" x14ac:dyDescent="0.25">
      <c r="B50" s="996"/>
      <c r="C50" s="1007"/>
      <c r="D50" s="1008"/>
      <c r="E50" s="1008"/>
      <c r="F50" s="1008"/>
      <c r="G50" s="1008"/>
      <c r="H50" s="1008"/>
      <c r="I50" s="1008"/>
      <c r="J50" s="1008"/>
      <c r="K50" s="1008"/>
      <c r="L50" s="1008"/>
      <c r="M50" s="1008"/>
      <c r="N50" s="1008"/>
      <c r="O50" s="1008"/>
      <c r="P50" s="1008"/>
      <c r="Q50" s="1008"/>
      <c r="R50" s="1009"/>
      <c r="S50" s="1002"/>
      <c r="T50" s="92" t="str">
        <f>IF(V50="","",法术数据!AJ44)</f>
        <v/>
      </c>
      <c r="U50" s="93" t="str">
        <f>IFERROR(VLOOKUP(V50,法术数据!B:P,15,FALSE),"")</f>
        <v/>
      </c>
      <c r="V50" s="94"/>
      <c r="W50" s="92" t="str">
        <f>IF(Y50="","",法术数据!AJ94)</f>
        <v/>
      </c>
      <c r="X50" s="93" t="str">
        <f>IFERROR(VLOOKUP(Y50,法术数据!B:P,15,FALSE),"")</f>
        <v/>
      </c>
      <c r="Y50" s="94"/>
      <c r="Z50" s="92" t="str">
        <f>IF(AB50="","",法术数据!AJ44)</f>
        <v/>
      </c>
      <c r="AA50" s="93" t="str">
        <f>IFERROR(VLOOKUP(AB50,法术数据!B:P,15,FALSE),"")</f>
        <v/>
      </c>
      <c r="AB50" s="94"/>
      <c r="AC50" s="95" t="str">
        <f>IF(AE50="","",法术数据!AJ94)</f>
        <v/>
      </c>
      <c r="AD50" s="96" t="str">
        <f>IFERROR(VLOOKUP(AE50,法术数据!B:P,15,FALSE),"")</f>
        <v/>
      </c>
      <c r="AE50" s="97"/>
      <c r="AF50" s="92" t="str">
        <f>IF(AH50="","",法术数据!AJ44)</f>
        <v/>
      </c>
      <c r="AG50" s="93" t="str">
        <f>IFERROR(VLOOKUP(AH50,法术数据!B:P,15,FALSE),"")</f>
        <v/>
      </c>
      <c r="AH50" s="94"/>
      <c r="AI50" s="95" t="str">
        <f>IF(AK50="","",法术数据!AJ94)</f>
        <v/>
      </c>
      <c r="AJ50" s="96" t="str">
        <f>IFERROR(VLOOKUP(AK50,法术数据!B:P,15,FALSE),"")</f>
        <v/>
      </c>
      <c r="AK50" s="97"/>
    </row>
    <row r="51" spans="2:37" ht="17.5" customHeight="1" x14ac:dyDescent="0.25">
      <c r="B51" s="996"/>
      <c r="C51" s="1007"/>
      <c r="D51" s="1008"/>
      <c r="E51" s="1008"/>
      <c r="F51" s="1008"/>
      <c r="G51" s="1008"/>
      <c r="H51" s="1008"/>
      <c r="I51" s="1008"/>
      <c r="J51" s="1008"/>
      <c r="K51" s="1008"/>
      <c r="L51" s="1008"/>
      <c r="M51" s="1008"/>
      <c r="N51" s="1008"/>
      <c r="O51" s="1008"/>
      <c r="P51" s="1008"/>
      <c r="Q51" s="1008"/>
      <c r="R51" s="1009"/>
      <c r="S51" s="1002"/>
      <c r="T51" s="98" t="str">
        <f>IF(V51="","",法术数据!AJ45)</f>
        <v/>
      </c>
      <c r="U51" s="99" t="str">
        <f>IFERROR(VLOOKUP(V51,法术数据!B:P,15,FALSE),"")</f>
        <v/>
      </c>
      <c r="V51" s="100"/>
      <c r="W51" s="98" t="str">
        <f>IF(Y51="","",法术数据!AJ95)</f>
        <v/>
      </c>
      <c r="X51" s="99" t="str">
        <f>IFERROR(VLOOKUP(Y51,法术数据!B:P,15,FALSE),"")</f>
        <v/>
      </c>
      <c r="Y51" s="100"/>
      <c r="Z51" s="98" t="str">
        <f>IF(AB51="","",法术数据!AJ45)</f>
        <v/>
      </c>
      <c r="AA51" s="99" t="str">
        <f>IFERROR(VLOOKUP(AB51,法术数据!B:P,15,FALSE),"")</f>
        <v/>
      </c>
      <c r="AB51" s="100"/>
      <c r="AC51" s="101" t="str">
        <f>IF(AE51="","",法术数据!AV95)</f>
        <v/>
      </c>
      <c r="AD51" s="102" t="str">
        <f>IFERROR(VLOOKUP(AE51,法术数据!B:P,15,FALSE),"")</f>
        <v/>
      </c>
      <c r="AE51" s="103"/>
      <c r="AF51" s="98" t="str">
        <f>IF(AH51="","",法术数据!AJ45)</f>
        <v/>
      </c>
      <c r="AG51" s="99" t="str">
        <f>IFERROR(VLOOKUP(AH51,法术数据!B:P,15,FALSE),"")</f>
        <v/>
      </c>
      <c r="AH51" s="100"/>
      <c r="AI51" s="101" t="str">
        <f>IF(AK51="","",法术数据!AT95)</f>
        <v/>
      </c>
      <c r="AJ51" s="102" t="str">
        <f>IFERROR(VLOOKUP(AK51,法术数据!B:P,15,FALSE),"")</f>
        <v/>
      </c>
      <c r="AK51" s="103"/>
    </row>
    <row r="52" spans="2:37" ht="17.5" customHeight="1" x14ac:dyDescent="0.25">
      <c r="B52" s="996"/>
      <c r="C52" s="1007"/>
      <c r="D52" s="1008"/>
      <c r="E52" s="1008"/>
      <c r="F52" s="1008"/>
      <c r="G52" s="1008"/>
      <c r="H52" s="1008"/>
      <c r="I52" s="1008"/>
      <c r="J52" s="1008"/>
      <c r="K52" s="1008"/>
      <c r="L52" s="1008"/>
      <c r="M52" s="1008"/>
      <c r="N52" s="1008"/>
      <c r="O52" s="1008"/>
      <c r="P52" s="1008"/>
      <c r="Q52" s="1008"/>
      <c r="R52" s="1009"/>
      <c r="S52" s="1002"/>
      <c r="T52" s="92" t="str">
        <f>IF(V52="","",法术数据!AJ46)</f>
        <v/>
      </c>
      <c r="U52" s="93" t="str">
        <f>IFERROR(VLOOKUP(V52,法术数据!B:P,15,FALSE),"")</f>
        <v/>
      </c>
      <c r="V52" s="94"/>
      <c r="W52" s="92" t="str">
        <f>IF(Y52="","",法术数据!AJ96)</f>
        <v/>
      </c>
      <c r="X52" s="93" t="str">
        <f>IFERROR(VLOOKUP(Y52,法术数据!B:P,15,FALSE),"")</f>
        <v/>
      </c>
      <c r="Y52" s="94"/>
      <c r="Z52" s="92" t="str">
        <f>IF(AB52="","",法术数据!AJ46)</f>
        <v/>
      </c>
      <c r="AA52" s="93" t="str">
        <f>IFERROR(VLOOKUP(AB52,法术数据!B:P,15,FALSE),"")</f>
        <v/>
      </c>
      <c r="AB52" s="94"/>
      <c r="AC52" s="95" t="str">
        <f>IF(AE52="","",法术数据!AJ96)</f>
        <v/>
      </c>
      <c r="AD52" s="96" t="str">
        <f>IFERROR(VLOOKUP(AE52,法术数据!B:P,15,FALSE),"")</f>
        <v/>
      </c>
      <c r="AE52" s="97"/>
      <c r="AF52" s="92" t="str">
        <f>IF(AH52="","",法术数据!AJ46)</f>
        <v/>
      </c>
      <c r="AG52" s="93" t="str">
        <f>IFERROR(VLOOKUP(AH52,法术数据!B:P,15,FALSE),"")</f>
        <v/>
      </c>
      <c r="AH52" s="94"/>
      <c r="AI52" s="95" t="str">
        <f>IF(AK52="","",法术数据!AJ96)</f>
        <v/>
      </c>
      <c r="AJ52" s="96" t="str">
        <f>IFERROR(VLOOKUP(AK52,法术数据!B:P,15,FALSE),"")</f>
        <v/>
      </c>
      <c r="AK52" s="97"/>
    </row>
    <row r="53" spans="2:37" ht="17.5" customHeight="1" x14ac:dyDescent="0.25">
      <c r="B53" s="996"/>
      <c r="C53" s="1007"/>
      <c r="D53" s="1008"/>
      <c r="E53" s="1008"/>
      <c r="F53" s="1008"/>
      <c r="G53" s="1008"/>
      <c r="H53" s="1008"/>
      <c r="I53" s="1008"/>
      <c r="J53" s="1008"/>
      <c r="K53" s="1008"/>
      <c r="L53" s="1008"/>
      <c r="M53" s="1008"/>
      <c r="N53" s="1008"/>
      <c r="O53" s="1008"/>
      <c r="P53" s="1008"/>
      <c r="Q53" s="1008"/>
      <c r="R53" s="1009"/>
      <c r="S53" s="1002"/>
      <c r="T53" s="98" t="str">
        <f>IF(V53="","",法术数据!AJ47)</f>
        <v/>
      </c>
      <c r="U53" s="99" t="str">
        <f>IFERROR(VLOOKUP(V53,法术数据!B:P,15,FALSE),"")</f>
        <v/>
      </c>
      <c r="V53" s="100"/>
      <c r="W53" s="98" t="str">
        <f>IF(Y53="","",法术数据!AJ97)</f>
        <v/>
      </c>
      <c r="X53" s="99" t="str">
        <f>IFERROR(VLOOKUP(Y53,法术数据!B:P,15,FALSE),"")</f>
        <v/>
      </c>
      <c r="Y53" s="100"/>
      <c r="Z53" s="98" t="str">
        <f>IF(AB53="","",法术数据!AJ47)</f>
        <v/>
      </c>
      <c r="AA53" s="99" t="str">
        <f>IFERROR(VLOOKUP(AB53,法术数据!B:P,15,FALSE),"")</f>
        <v/>
      </c>
      <c r="AB53" s="100"/>
      <c r="AC53" s="101" t="str">
        <f>IF(AE53="","",法术数据!AV97)</f>
        <v/>
      </c>
      <c r="AD53" s="102" t="str">
        <f>IFERROR(VLOOKUP(AE53,法术数据!B:P,15,FALSE),"")</f>
        <v/>
      </c>
      <c r="AE53" s="103"/>
      <c r="AF53" s="98" t="str">
        <f>IF(AH53="","",法术数据!AJ47)</f>
        <v/>
      </c>
      <c r="AG53" s="99" t="str">
        <f>IFERROR(VLOOKUP(AH53,法术数据!B:P,15,FALSE),"")</f>
        <v/>
      </c>
      <c r="AH53" s="100"/>
      <c r="AI53" s="101" t="str">
        <f>IF(AK53="","",法术数据!AT97)</f>
        <v/>
      </c>
      <c r="AJ53" s="102" t="str">
        <f>IFERROR(VLOOKUP(AK53,法术数据!B:P,15,FALSE),"")</f>
        <v/>
      </c>
      <c r="AK53" s="103"/>
    </row>
    <row r="54" spans="2:37" ht="17.5" customHeight="1" x14ac:dyDescent="0.25">
      <c r="B54" s="996"/>
      <c r="C54" s="1007"/>
      <c r="D54" s="1008"/>
      <c r="E54" s="1008"/>
      <c r="F54" s="1008"/>
      <c r="G54" s="1008"/>
      <c r="H54" s="1008"/>
      <c r="I54" s="1008"/>
      <c r="J54" s="1008"/>
      <c r="K54" s="1008"/>
      <c r="L54" s="1008"/>
      <c r="M54" s="1008"/>
      <c r="N54" s="1008"/>
      <c r="O54" s="1008"/>
      <c r="P54" s="1008"/>
      <c r="Q54" s="1008"/>
      <c r="R54" s="1009"/>
      <c r="S54" s="1002"/>
      <c r="T54" s="92" t="str">
        <f>IF(V54="","",法术数据!AJ48)</f>
        <v/>
      </c>
      <c r="U54" s="93" t="str">
        <f>IFERROR(VLOOKUP(V54,法术数据!B:P,15,FALSE),"")</f>
        <v/>
      </c>
      <c r="V54" s="94"/>
      <c r="W54" s="92" t="str">
        <f>IF(Y54="","",法术数据!AJ98)</f>
        <v/>
      </c>
      <c r="X54" s="93" t="str">
        <f>IFERROR(VLOOKUP(Y54,法术数据!B:P,15,FALSE),"")</f>
        <v/>
      </c>
      <c r="Y54" s="94"/>
      <c r="Z54" s="92" t="str">
        <f>IF(AB54="","",法术数据!AJ48)</f>
        <v/>
      </c>
      <c r="AA54" s="93" t="str">
        <f>IFERROR(VLOOKUP(AB54,法术数据!B:P,15,FALSE),"")</f>
        <v/>
      </c>
      <c r="AB54" s="94"/>
      <c r="AC54" s="95" t="str">
        <f>IF(AE54="","",法术数据!AJ98)</f>
        <v/>
      </c>
      <c r="AD54" s="96" t="str">
        <f>IFERROR(VLOOKUP(AE54,法术数据!B:P,15,FALSE),"")</f>
        <v/>
      </c>
      <c r="AE54" s="97"/>
      <c r="AF54" s="92" t="str">
        <f>IF(AH54="","",法术数据!AJ48)</f>
        <v/>
      </c>
      <c r="AG54" s="93" t="str">
        <f>IFERROR(VLOOKUP(AH54,法术数据!B:P,15,FALSE),"")</f>
        <v/>
      </c>
      <c r="AH54" s="94"/>
      <c r="AI54" s="95" t="str">
        <f>IF(AK54="","",法术数据!AJ98)</f>
        <v/>
      </c>
      <c r="AJ54" s="96" t="str">
        <f>IFERROR(VLOOKUP(AK54,法术数据!B:P,15,FALSE),"")</f>
        <v/>
      </c>
      <c r="AK54" s="97"/>
    </row>
    <row r="55" spans="2:37" ht="17.5" customHeight="1" x14ac:dyDescent="0.25">
      <c r="B55" s="996"/>
      <c r="C55" s="1007"/>
      <c r="D55" s="1008"/>
      <c r="E55" s="1008"/>
      <c r="F55" s="1008"/>
      <c r="G55" s="1008"/>
      <c r="H55" s="1008"/>
      <c r="I55" s="1008"/>
      <c r="J55" s="1008"/>
      <c r="K55" s="1008"/>
      <c r="L55" s="1008"/>
      <c r="M55" s="1008"/>
      <c r="N55" s="1008"/>
      <c r="O55" s="1008"/>
      <c r="P55" s="1008"/>
      <c r="Q55" s="1008"/>
      <c r="R55" s="1009"/>
      <c r="S55" s="1002"/>
      <c r="T55" s="98" t="str">
        <f>IF(V55="","",法术数据!AJ49)</f>
        <v/>
      </c>
      <c r="U55" s="99" t="str">
        <f>IFERROR(VLOOKUP(V55,法术数据!B:P,15,FALSE),"")</f>
        <v/>
      </c>
      <c r="V55" s="100"/>
      <c r="W55" s="98" t="str">
        <f>IF(Y55="","",法术数据!AJ99)</f>
        <v/>
      </c>
      <c r="X55" s="99" t="str">
        <f>IFERROR(VLOOKUP(Y55,法术数据!B:P,15,FALSE),"")</f>
        <v/>
      </c>
      <c r="Y55" s="100"/>
      <c r="Z55" s="98" t="str">
        <f>IF(AB55="","",法术数据!AJ49)</f>
        <v/>
      </c>
      <c r="AA55" s="99" t="str">
        <f>IFERROR(VLOOKUP(AB55,法术数据!B:P,15,FALSE),"")</f>
        <v/>
      </c>
      <c r="AB55" s="100"/>
      <c r="AC55" s="101" t="str">
        <f>IF(AE55="","",法术数据!AV99)</f>
        <v/>
      </c>
      <c r="AD55" s="102" t="str">
        <f>IFERROR(VLOOKUP(AE55,法术数据!B:P,15,FALSE),"")</f>
        <v/>
      </c>
      <c r="AE55" s="103"/>
      <c r="AF55" s="98" t="str">
        <f>IF(AH55="","",法术数据!AJ49)</f>
        <v/>
      </c>
      <c r="AG55" s="99" t="str">
        <f>IFERROR(VLOOKUP(AH55,法术数据!B:P,15,FALSE),"")</f>
        <v/>
      </c>
      <c r="AH55" s="100"/>
      <c r="AI55" s="101" t="str">
        <f>IF(AK55="","",法术数据!AT99)</f>
        <v/>
      </c>
      <c r="AJ55" s="102" t="str">
        <f>IFERROR(VLOOKUP(AK55,法术数据!B:P,15,FALSE),"")</f>
        <v/>
      </c>
      <c r="AK55" s="103"/>
    </row>
    <row r="56" spans="2:37" ht="17.5" customHeight="1" x14ac:dyDescent="0.25">
      <c r="B56" s="997"/>
      <c r="C56" s="1010"/>
      <c r="D56" s="1011"/>
      <c r="E56" s="1011"/>
      <c r="F56" s="1011"/>
      <c r="G56" s="1011"/>
      <c r="H56" s="1011"/>
      <c r="I56" s="1011"/>
      <c r="J56" s="1011"/>
      <c r="K56" s="1011"/>
      <c r="L56" s="1011"/>
      <c r="M56" s="1011"/>
      <c r="N56" s="1011"/>
      <c r="O56" s="1011"/>
      <c r="P56" s="1011"/>
      <c r="Q56" s="1011"/>
      <c r="R56" s="1012"/>
      <c r="S56" s="1003"/>
      <c r="T56" s="92" t="str">
        <f>IF(V56="","",法术数据!AJ50)</f>
        <v/>
      </c>
      <c r="U56" s="93" t="str">
        <f>IFERROR(VLOOKUP(V56,法术数据!B:P,15,FALSE),"")</f>
        <v/>
      </c>
      <c r="V56" s="94"/>
      <c r="W56" s="92" t="str">
        <f>IF(Y56="","",法术数据!AJ100)</f>
        <v/>
      </c>
      <c r="X56" s="93" t="str">
        <f>IFERROR(VLOOKUP(Y56,法术数据!B:P,15,FALSE),"")</f>
        <v/>
      </c>
      <c r="Y56" s="94"/>
      <c r="Z56" s="92" t="str">
        <f>IF(AB56="","",法术数据!AJ50)</f>
        <v/>
      </c>
      <c r="AA56" s="93" t="str">
        <f>IFERROR(VLOOKUP(AB56,法术数据!B:P,15,FALSE),"")</f>
        <v/>
      </c>
      <c r="AB56" s="94"/>
      <c r="AC56" s="95" t="str">
        <f>IF(AE56="","",法术数据!AJ100)</f>
        <v/>
      </c>
      <c r="AD56" s="96" t="str">
        <f>IFERROR(VLOOKUP(AE56,法术数据!B:P,15,FALSE),"")</f>
        <v/>
      </c>
      <c r="AE56" s="97"/>
      <c r="AF56" s="92" t="str">
        <f>IF(AH56="","",法术数据!AJ50)</f>
        <v/>
      </c>
      <c r="AG56" s="93" t="str">
        <f>IFERROR(VLOOKUP(AH56,法术数据!B:P,15,FALSE),"")</f>
        <v/>
      </c>
      <c r="AH56" s="94"/>
      <c r="AI56" s="95" t="str">
        <f>IF(AK56="","",法术数据!AJ100)</f>
        <v/>
      </c>
      <c r="AJ56" s="96" t="str">
        <f>IFERROR(VLOOKUP(AK56,法术数据!B:P,15,FALSE),"")</f>
        <v/>
      </c>
      <c r="AK56" s="97"/>
    </row>
    <row r="57" spans="2:37" ht="17.5" customHeight="1" x14ac:dyDescent="0.25">
      <c r="B57" s="998"/>
      <c r="C57" s="999"/>
      <c r="D57" s="999"/>
      <c r="E57" s="999"/>
      <c r="F57" s="999"/>
      <c r="G57" s="999"/>
      <c r="H57" s="999"/>
      <c r="I57" s="999"/>
      <c r="J57" s="999"/>
      <c r="K57" s="999"/>
      <c r="L57" s="999"/>
      <c r="M57" s="999"/>
      <c r="N57" s="999"/>
      <c r="O57" s="999"/>
      <c r="P57" s="999"/>
      <c r="Q57" s="999"/>
      <c r="R57" s="999"/>
      <c r="S57" s="1000"/>
      <c r="T57" s="98" t="str">
        <f>IF(V57="","",法术数据!AJ51)</f>
        <v/>
      </c>
      <c r="U57" s="99" t="str">
        <f>IFERROR(VLOOKUP(V57,法术数据!B:P,15,FALSE),"")</f>
        <v/>
      </c>
      <c r="V57" s="100"/>
      <c r="W57" s="98" t="str">
        <f>IF(Y57="","",法术数据!AJ101)</f>
        <v/>
      </c>
      <c r="X57" s="99" t="str">
        <f>IFERROR(VLOOKUP(Y57,法术数据!B:P,15,FALSE),"")</f>
        <v/>
      </c>
      <c r="Y57" s="100"/>
      <c r="Z57" s="98" t="str">
        <f>IF(AB57="","",法术数据!AJ51)</f>
        <v/>
      </c>
      <c r="AA57" s="99" t="str">
        <f>IFERROR(VLOOKUP(AB57,法术数据!B:P,15,FALSE),"")</f>
        <v/>
      </c>
      <c r="AB57" s="100"/>
      <c r="AC57" s="101" t="str">
        <f>IF(AE57="","",法术数据!AV101)</f>
        <v/>
      </c>
      <c r="AD57" s="102" t="str">
        <f>IFERROR(VLOOKUP(AE57,法术数据!B:P,15,FALSE),"")</f>
        <v/>
      </c>
      <c r="AE57" s="103"/>
      <c r="AF57" s="98" t="str">
        <f>IF(AH57="","",法术数据!AJ51)</f>
        <v/>
      </c>
      <c r="AG57" s="99" t="str">
        <f>IFERROR(VLOOKUP(AH57,法术数据!B:P,15,FALSE),"")</f>
        <v/>
      </c>
      <c r="AH57" s="100"/>
      <c r="AI57" s="101" t="str">
        <f>IF(AK57="","",法术数据!AT101)</f>
        <v/>
      </c>
      <c r="AJ57" s="102" t="str">
        <f>IFERROR(VLOOKUP(AK57,法术数据!B:P,15,FALSE),"")</f>
        <v/>
      </c>
      <c r="AK57" s="103"/>
    </row>
    <row r="58" spans="2:37" ht="15.65" customHeight="1" x14ac:dyDescent="0.25"/>
  </sheetData>
  <mergeCells count="30">
    <mergeCell ref="G22:R22"/>
    <mergeCell ref="B3:B56"/>
    <mergeCell ref="B57:S57"/>
    <mergeCell ref="S3:S56"/>
    <mergeCell ref="C23:R56"/>
    <mergeCell ref="C22:E22"/>
    <mergeCell ref="C13:R18"/>
    <mergeCell ref="O19:R20"/>
    <mergeCell ref="C11:J12"/>
    <mergeCell ref="C8:J8"/>
    <mergeCell ref="K11:R12"/>
    <mergeCell ref="C9:N10"/>
    <mergeCell ref="O8:R8"/>
    <mergeCell ref="L8:N8"/>
    <mergeCell ref="C7:R7"/>
    <mergeCell ref="O9:R10"/>
    <mergeCell ref="AF7:AK7"/>
    <mergeCell ref="C19:N20"/>
    <mergeCell ref="C3:R6"/>
    <mergeCell ref="B2:S2"/>
    <mergeCell ref="C21:R21"/>
    <mergeCell ref="Y5:Y6"/>
    <mergeCell ref="T4:U4"/>
    <mergeCell ref="T2:Y3"/>
    <mergeCell ref="Z7:AE7"/>
    <mergeCell ref="W4:X4"/>
    <mergeCell ref="T7:Y7"/>
    <mergeCell ref="W5:X6"/>
    <mergeCell ref="V5:V6"/>
    <mergeCell ref="T5:T6"/>
  </mergeCells>
  <phoneticPr fontId="83" type="noConversion"/>
  <conditionalFormatting sqref="C9:N10">
    <cfRule type="expression" dxfId="22" priority="16">
      <formula>COUNTIF($C$9,"*仪式）")</formula>
    </cfRule>
  </conditionalFormatting>
  <conditionalFormatting sqref="V8:V57 Y8:Y57">
    <cfRule type="duplicateValues" dxfId="21" priority="6"/>
  </conditionalFormatting>
  <conditionalFormatting sqref="Z1:AE1048576">
    <cfRule type="expression" dxfId="19" priority="15">
      <formula>COUNTA($V$8:$V$57,$Y$8:$Y$57,$AB$8:$AB$57,$AE$8:$AE$57)=0</formula>
    </cfRule>
  </conditionalFormatting>
  <conditionalFormatting sqref="AE8:AE57 AB8:AB57">
    <cfRule type="duplicateValues" dxfId="17" priority="30"/>
  </conditionalFormatting>
  <conditionalFormatting sqref="AF1:AK1048576">
    <cfRule type="expression" dxfId="16" priority="14">
      <formula>COUNTA($AB$8:$AB$57,$AE$8:$AE$57,$AH$8:$AH$57,$AK$8:$AK$57)=0</formula>
    </cfRule>
  </conditionalFormatting>
  <conditionalFormatting sqref="AH8:AH57 AK8:AK57">
    <cfRule type="duplicateValues" dxfId="15" priority="27"/>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expression" priority="743" id="{00000000-000E-0000-0300-0000E7020000}">
            <xm:f>AND(T8=101-法术数据!$AV$10,$V$4="法术书1")</xm:f>
            <x14:dxf>
              <font>
                <b/>
                <color rgb="FF000000"/>
              </font>
            </x14:dxf>
          </x14:cfRule>
          <xm:sqref>V8:V57 Y8:Y57</xm:sqref>
        </x14:conditionalFormatting>
        <x14:conditionalFormatting xmlns:xm="http://schemas.microsoft.com/office/excel/2006/main">
          <x14:cfRule type="expression" priority="739" id="{00000000-000E-0000-0300-0000E3020000}">
            <xm:f>AND(T8=101-法术数据!$AV$10,$V$4="法术书2")</xm:f>
            <x14:dxf>
              <font>
                <b/>
              </font>
            </x14:dxf>
          </x14:cfRule>
          <xm:sqref>AB8:AB57 AE8:AE57</xm:sqref>
        </x14:conditionalFormatting>
        <x14:conditionalFormatting xmlns:xm="http://schemas.microsoft.com/office/excel/2006/main">
          <x14:cfRule type="expression" priority="741" id="{00000000-000E-0000-0300-0000E5020000}">
            <xm:f>AND(Z8=101-法术数据!$AV$10,$V$4="法术书3")</xm:f>
            <x14:dxf>
              <font>
                <b/>
                <color rgb="FF000000"/>
              </font>
            </x14:dxf>
          </x14:cfRule>
          <xm:sqref>AH8:AH57 AK8:AK57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OFFSET(法术数据!$AV$7, , ,SUMPRODUCT(N(LEN(法术数据!$AV$7:$AV$9)&gt;0)), )</xm:f>
          </x14:formula1>
          <xm:sqref>V4</xm:sqref>
        </x14:dataValidation>
        <x14:dataValidation type="list" allowBlank="1" showInputMessage="1" showErrorMessage="1" xr:uid="{00000000-0002-0000-0300-000001000000}">
          <x14:formula1>
            <xm:f>OFFSET(法术数据!$AB$2, , ,SUMPRODUCT(N(LEN(法术数据!$AB$2:$AB$516)&gt;0)), )</xm:f>
          </x14:formula1>
          <xm:sqref>V8:V57 AK8:AK57 AH8:AH57 AE8:AE57 AB8:AB57 Y8:Y57</xm:sqref>
        </x14:dataValidation>
        <x14:dataValidation type="list" allowBlank="1" xr:uid="{00000000-0002-0000-0300-000007000000}">
          <x14:formula1>
            <xm:f>OFFSET(法术数据!$AM$2, , ,SUMPRODUCT(N(LEN(法术数据!$AM$2:$AM$301)&gt;0)), )</xm:f>
          </x14:formula1>
          <xm:sqref>Y5:Y6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6"/>
  <sheetViews>
    <sheetView workbookViewId="0">
      <selection activeCell="H2" sqref="H2"/>
    </sheetView>
  </sheetViews>
  <sheetFormatPr defaultColWidth="8.90625" defaultRowHeight="14.4" customHeight="1" x14ac:dyDescent="0.25"/>
  <cols>
    <col min="1" max="1" width="8.90625" style="105"/>
    <col min="2" max="16384" width="8.90625" style="106"/>
  </cols>
  <sheetData>
    <row r="1" spans="1:21" ht="14.4" customHeight="1" x14ac:dyDescent="0.25">
      <c r="A1" s="1026" t="s">
        <v>278</v>
      </c>
      <c r="B1" s="1027"/>
      <c r="C1" s="1026" t="s">
        <v>218</v>
      </c>
      <c r="D1" s="1027"/>
      <c r="E1" s="1028"/>
      <c r="F1" s="110" t="s">
        <v>279</v>
      </c>
      <c r="G1" s="111" t="s">
        <v>280</v>
      </c>
      <c r="H1" s="106">
        <f>主要!Y3</f>
        <v>1</v>
      </c>
      <c r="I1" s="107" t="s">
        <v>63</v>
      </c>
      <c r="J1" s="112" t="b">
        <v>0</v>
      </c>
      <c r="K1" s="112" t="b">
        <v>0</v>
      </c>
      <c r="L1" s="112" t="b">
        <v>0</v>
      </c>
      <c r="M1" s="112" t="b">
        <v>0</v>
      </c>
      <c r="N1" s="112" t="b">
        <v>0</v>
      </c>
      <c r="O1" s="113" t="b">
        <v>0</v>
      </c>
      <c r="P1" s="1026" t="s">
        <v>103</v>
      </c>
      <c r="Q1" s="1027"/>
      <c r="R1" s="1028"/>
      <c r="S1" s="114" t="s">
        <v>281</v>
      </c>
      <c r="T1" s="1026" t="s">
        <v>282</v>
      </c>
      <c r="U1" s="1028"/>
    </row>
    <row r="2" spans="1:21" ht="14.4" customHeight="1" x14ac:dyDescent="0.25">
      <c r="A2" s="115" t="s">
        <v>242</v>
      </c>
      <c r="B2" s="106" t="b">
        <v>1</v>
      </c>
      <c r="C2" s="115" t="s">
        <v>218</v>
      </c>
      <c r="D2" s="106" t="s">
        <v>25</v>
      </c>
      <c r="E2" s="116" t="s">
        <v>55</v>
      </c>
      <c r="F2" s="117">
        <f>IF(种族数据!V4=种族数据!B2,1,0)+IF(种族数据!V4=种族数据!K5,2,0)+IF(COUNTIF(专长数据!E2:E7,专长数据!A36),2,0)</f>
        <v>0</v>
      </c>
      <c r="G2" s="106">
        <f>主要!R3</f>
        <v>0</v>
      </c>
      <c r="H2" s="106">
        <f>IFERROR(IF(H1=20,IF(H1=20,MOD((G2-D22),30000)/30000),(G2-VLOOKUP(H1,C3:D21,2,0))/((VLOOKUP(H1+1,C3:D21,2,0)-VLOOKUP(H1,C3:D21,2,0)))),0)</f>
        <v>0</v>
      </c>
      <c r="I2" s="118">
        <v>1</v>
      </c>
      <c r="J2" s="119" t="s">
        <v>283</v>
      </c>
      <c r="K2" s="119" t="s">
        <v>284</v>
      </c>
      <c r="L2" s="119" t="s">
        <v>285</v>
      </c>
      <c r="M2" s="119" t="s">
        <v>286</v>
      </c>
      <c r="N2" s="119" t="s">
        <v>287</v>
      </c>
      <c r="O2" s="120" t="s">
        <v>288</v>
      </c>
      <c r="P2" s="115" t="s">
        <v>115</v>
      </c>
      <c r="Q2" s="106">
        <f>主要!I39</f>
        <v>-1</v>
      </c>
      <c r="R2" s="121" t="b">
        <v>0</v>
      </c>
      <c r="S2" s="117" t="s">
        <v>289</v>
      </c>
      <c r="T2" s="115">
        <v>8</v>
      </c>
      <c r="U2" s="116">
        <v>0</v>
      </c>
    </row>
    <row r="3" spans="1:21" ht="14.4" customHeight="1" x14ac:dyDescent="0.25">
      <c r="A3" s="115" t="s">
        <v>243</v>
      </c>
      <c r="B3" s="122" t="b">
        <v>1</v>
      </c>
      <c r="C3" s="115">
        <v>1</v>
      </c>
      <c r="D3" s="106">
        <v>0</v>
      </c>
      <c r="E3" s="116">
        <v>2</v>
      </c>
      <c r="F3" s="117">
        <f>IF(主要!AW4="",0,主要!AW4+主要!$R$16+F2)</f>
        <v>9</v>
      </c>
      <c r="G3" s="106">
        <v>0</v>
      </c>
      <c r="H3" s="106">
        <f t="shared" ref="H3:H21" si="0">D4-G3</f>
        <v>300</v>
      </c>
      <c r="I3" s="118">
        <v>2</v>
      </c>
      <c r="J3" s="119" t="s">
        <v>290</v>
      </c>
      <c r="K3" s="119" t="s">
        <v>291</v>
      </c>
      <c r="L3" s="119" t="s">
        <v>292</v>
      </c>
      <c r="M3" s="119" t="s">
        <v>293</v>
      </c>
      <c r="N3" s="119" t="s">
        <v>294</v>
      </c>
      <c r="O3" s="120" t="s">
        <v>295</v>
      </c>
      <c r="P3" s="115" t="s">
        <v>126</v>
      </c>
      <c r="Q3" s="106">
        <f>主要!I41</f>
        <v>4</v>
      </c>
      <c r="R3" s="121" t="b">
        <v>0</v>
      </c>
      <c r="S3" s="117" t="s">
        <v>296</v>
      </c>
      <c r="T3" s="115">
        <v>9</v>
      </c>
      <c r="U3" s="116">
        <v>1</v>
      </c>
    </row>
    <row r="4" spans="1:21" ht="14.4" customHeight="1" x14ac:dyDescent="0.25">
      <c r="A4" s="115" t="s">
        <v>244</v>
      </c>
      <c r="B4" s="122" t="b">
        <v>1</v>
      </c>
      <c r="C4" s="115">
        <v>2</v>
      </c>
      <c r="D4" s="106">
        <v>300</v>
      </c>
      <c r="E4" s="116">
        <v>2</v>
      </c>
      <c r="F4" s="117">
        <f>IF(主要!AY4="",0,MAX(主要!AY4+主要!$R$16,1)+F2)</f>
        <v>0</v>
      </c>
      <c r="G4" s="106">
        <f t="shared" ref="G4:G21" si="1">D4+1</f>
        <v>301</v>
      </c>
      <c r="H4" s="106">
        <f t="shared" si="0"/>
        <v>599</v>
      </c>
      <c r="I4" s="118">
        <v>3</v>
      </c>
      <c r="J4" s="119" t="s">
        <v>297</v>
      </c>
      <c r="K4" s="119" t="s">
        <v>298</v>
      </c>
      <c r="L4" s="119" t="s">
        <v>299</v>
      </c>
      <c r="M4" s="119" t="s">
        <v>300</v>
      </c>
      <c r="N4" s="119" t="s">
        <v>301</v>
      </c>
      <c r="O4" s="120" t="s">
        <v>302</v>
      </c>
      <c r="P4" s="115" t="s">
        <v>129</v>
      </c>
      <c r="Q4" s="106">
        <f>主要!I42</f>
        <v>4</v>
      </c>
      <c r="R4" s="121" t="b">
        <v>0</v>
      </c>
      <c r="S4" s="117" t="s">
        <v>303</v>
      </c>
      <c r="T4" s="115">
        <v>10</v>
      </c>
      <c r="U4" s="116">
        <v>2</v>
      </c>
    </row>
    <row r="5" spans="1:21" ht="14.4" customHeight="1" x14ac:dyDescent="0.25">
      <c r="A5" s="115" t="s">
        <v>245</v>
      </c>
      <c r="B5" s="122" t="b">
        <v>1</v>
      </c>
      <c r="C5" s="115">
        <v>3</v>
      </c>
      <c r="D5" s="106">
        <v>900</v>
      </c>
      <c r="E5" s="116">
        <v>2</v>
      </c>
      <c r="F5" s="117">
        <f>IF(主要!BA4="",0,MAX(主要!BA4+主要!$R$16,1)+F2)</f>
        <v>0</v>
      </c>
      <c r="G5" s="106">
        <f t="shared" si="1"/>
        <v>901</v>
      </c>
      <c r="H5" s="106">
        <f t="shared" si="0"/>
        <v>1799</v>
      </c>
      <c r="I5" s="118">
        <v>4</v>
      </c>
      <c r="J5" s="119" t="s">
        <v>304</v>
      </c>
      <c r="K5" s="119" t="s">
        <v>305</v>
      </c>
      <c r="L5" s="119" t="s">
        <v>306</v>
      </c>
      <c r="M5" s="119" t="s">
        <v>307</v>
      </c>
      <c r="N5" s="119" t="s">
        <v>308</v>
      </c>
      <c r="O5" s="120" t="s">
        <v>309</v>
      </c>
      <c r="P5" s="115" t="s">
        <v>131</v>
      </c>
      <c r="Q5" s="106">
        <f>主要!I43</f>
        <v>6</v>
      </c>
      <c r="R5" s="121" t="b">
        <v>0</v>
      </c>
      <c r="S5" s="117" t="s">
        <v>310</v>
      </c>
      <c r="T5" s="115">
        <v>11</v>
      </c>
      <c r="U5" s="116">
        <v>3</v>
      </c>
    </row>
    <row r="6" spans="1:21" ht="14.4" customHeight="1" x14ac:dyDescent="0.25">
      <c r="A6" s="115" t="s">
        <v>246</v>
      </c>
      <c r="B6" s="122" t="b">
        <v>1</v>
      </c>
      <c r="C6" s="115">
        <v>4</v>
      </c>
      <c r="D6" s="106">
        <v>2700</v>
      </c>
      <c r="E6" s="116">
        <v>2</v>
      </c>
      <c r="F6" s="117">
        <f>IF(主要!BC4="",0,MAX(主要!BC4+主要!$R$16,1)+F2)</f>
        <v>0</v>
      </c>
      <c r="G6" s="106">
        <f t="shared" si="1"/>
        <v>2701</v>
      </c>
      <c r="H6" s="106">
        <f t="shared" si="0"/>
        <v>3799</v>
      </c>
      <c r="I6" s="118">
        <v>5</v>
      </c>
      <c r="J6" s="119" t="s">
        <v>311</v>
      </c>
      <c r="K6" s="119" t="s">
        <v>312</v>
      </c>
      <c r="L6" s="119" t="s">
        <v>313</v>
      </c>
      <c r="M6" s="119" t="s">
        <v>314</v>
      </c>
      <c r="N6" s="119" t="s">
        <v>315</v>
      </c>
      <c r="O6" s="120" t="s">
        <v>316</v>
      </c>
      <c r="P6" s="115" t="s">
        <v>135</v>
      </c>
      <c r="Q6" s="106">
        <f>主要!I45</f>
        <v>4</v>
      </c>
      <c r="R6" s="121" t="b">
        <v>0</v>
      </c>
      <c r="S6" s="117" t="s">
        <v>317</v>
      </c>
      <c r="T6" s="115">
        <v>12</v>
      </c>
      <c r="U6" s="116">
        <v>4</v>
      </c>
    </row>
    <row r="7" spans="1:21" ht="14.4" customHeight="1" x14ac:dyDescent="0.25">
      <c r="A7" s="115" t="s">
        <v>247</v>
      </c>
      <c r="B7" s="122" t="b">
        <v>1</v>
      </c>
      <c r="C7" s="115">
        <v>5</v>
      </c>
      <c r="D7" s="106">
        <v>6500</v>
      </c>
      <c r="E7" s="116">
        <v>3</v>
      </c>
      <c r="F7" s="117">
        <f>IF(主要!BE4="",0,MAX(主要!BE4+主要!$R$16,1)+F2)</f>
        <v>0</v>
      </c>
      <c r="G7" s="106">
        <f t="shared" si="1"/>
        <v>6501</v>
      </c>
      <c r="H7" s="106">
        <f t="shared" si="0"/>
        <v>7499</v>
      </c>
      <c r="I7" s="118">
        <v>6</v>
      </c>
      <c r="J7" s="119" t="s">
        <v>318</v>
      </c>
      <c r="K7" s="119" t="s">
        <v>319</v>
      </c>
      <c r="L7" s="119" t="s">
        <v>320</v>
      </c>
      <c r="M7" s="119" t="s">
        <v>321</v>
      </c>
      <c r="N7" s="119" t="s">
        <v>322</v>
      </c>
      <c r="O7" s="120" t="s">
        <v>323</v>
      </c>
      <c r="P7" s="115" t="s">
        <v>137</v>
      </c>
      <c r="Q7" s="106">
        <f>主要!I46</f>
        <v>2</v>
      </c>
      <c r="R7" s="121" t="b">
        <v>0</v>
      </c>
      <c r="S7" s="117" t="s">
        <v>324</v>
      </c>
      <c r="T7" s="115">
        <v>13</v>
      </c>
      <c r="U7" s="116">
        <v>5</v>
      </c>
    </row>
    <row r="8" spans="1:21" ht="14.4" customHeight="1" x14ac:dyDescent="0.25">
      <c r="A8" s="115" t="s">
        <v>248</v>
      </c>
      <c r="B8" s="122" t="b">
        <v>1</v>
      </c>
      <c r="C8" s="115">
        <v>6</v>
      </c>
      <c r="D8" s="106">
        <v>14000</v>
      </c>
      <c r="E8" s="116">
        <v>3</v>
      </c>
      <c r="F8" s="117">
        <f>IF(主要!BG4="",0,MAX(主要!BG4+主要!$R$16,1)+F2)</f>
        <v>0</v>
      </c>
      <c r="G8" s="106">
        <f t="shared" si="1"/>
        <v>14001</v>
      </c>
      <c r="H8" s="106">
        <f t="shared" si="0"/>
        <v>8999</v>
      </c>
      <c r="I8" s="118">
        <v>7</v>
      </c>
      <c r="J8" s="119" t="s">
        <v>325</v>
      </c>
      <c r="K8" s="119" t="s">
        <v>326</v>
      </c>
      <c r="L8" s="119" t="s">
        <v>327</v>
      </c>
      <c r="M8" s="119" t="s">
        <v>328</v>
      </c>
      <c r="N8" s="119" t="s">
        <v>329</v>
      </c>
      <c r="O8" s="120" t="s">
        <v>330</v>
      </c>
      <c r="P8" s="115" t="s">
        <v>139</v>
      </c>
      <c r="Q8" s="106">
        <f>主要!I47</f>
        <v>6</v>
      </c>
      <c r="R8" s="121" t="b">
        <v>0</v>
      </c>
      <c r="S8" s="117" t="s">
        <v>331</v>
      </c>
      <c r="T8" s="115">
        <v>14</v>
      </c>
      <c r="U8" s="116">
        <v>7</v>
      </c>
    </row>
    <row r="9" spans="1:21" ht="14.4" customHeight="1" x14ac:dyDescent="0.25">
      <c r="A9" s="115" t="s">
        <v>249</v>
      </c>
      <c r="B9" s="122" t="b">
        <v>1</v>
      </c>
      <c r="C9" s="115">
        <v>7</v>
      </c>
      <c r="D9" s="106">
        <v>23000</v>
      </c>
      <c r="E9" s="116">
        <v>3</v>
      </c>
      <c r="F9" s="117">
        <f>IF(主要!BI4="",0,MAX(主要!BI4+主要!$R$16,1)+F2)</f>
        <v>0</v>
      </c>
      <c r="G9" s="106">
        <f t="shared" si="1"/>
        <v>23001</v>
      </c>
      <c r="H9" s="106">
        <f t="shared" si="0"/>
        <v>10999</v>
      </c>
      <c r="I9" s="118">
        <v>8</v>
      </c>
      <c r="J9" s="119" t="s">
        <v>332</v>
      </c>
      <c r="K9" s="119" t="s">
        <v>333</v>
      </c>
      <c r="L9" s="119" t="s">
        <v>334</v>
      </c>
      <c r="M9" s="106" t="s">
        <v>335</v>
      </c>
      <c r="N9" s="119" t="s">
        <v>336</v>
      </c>
      <c r="O9" s="120" t="s">
        <v>337</v>
      </c>
      <c r="P9" s="115" t="s">
        <v>144</v>
      </c>
      <c r="Q9" s="106">
        <f>主要!I48</f>
        <v>4</v>
      </c>
      <c r="R9" s="121" t="b">
        <v>0</v>
      </c>
      <c r="S9" s="117" t="s">
        <v>338</v>
      </c>
      <c r="T9" s="123">
        <v>15</v>
      </c>
      <c r="U9" s="124">
        <v>9</v>
      </c>
    </row>
    <row r="10" spans="1:21" ht="14.4" customHeight="1" x14ac:dyDescent="0.25">
      <c r="A10" s="115" t="s">
        <v>250</v>
      </c>
      <c r="B10" s="122" t="b">
        <v>1</v>
      </c>
      <c r="C10" s="115">
        <v>8</v>
      </c>
      <c r="D10" s="106">
        <v>34000</v>
      </c>
      <c r="E10" s="116">
        <v>3</v>
      </c>
      <c r="F10" s="117">
        <f>IF(主要!BK4="",0,MAX(主要!BK4+主要!$R$16,1)+F2)</f>
        <v>0</v>
      </c>
      <c r="G10" s="106">
        <f t="shared" si="1"/>
        <v>34001</v>
      </c>
      <c r="H10" s="106">
        <f t="shared" si="0"/>
        <v>13999</v>
      </c>
      <c r="I10" s="118">
        <v>9</v>
      </c>
      <c r="J10" s="119" t="s">
        <v>339</v>
      </c>
      <c r="K10" s="119" t="s">
        <v>339</v>
      </c>
      <c r="L10" s="119" t="s">
        <v>339</v>
      </c>
      <c r="M10" s="119" t="s">
        <v>340</v>
      </c>
      <c r="N10" s="119" t="s">
        <v>339</v>
      </c>
      <c r="O10" s="120" t="s">
        <v>339</v>
      </c>
      <c r="P10" s="115" t="s">
        <v>152</v>
      </c>
      <c r="Q10" s="106">
        <f>主要!I49</f>
        <v>4</v>
      </c>
      <c r="R10" s="121" t="b">
        <v>0</v>
      </c>
      <c r="S10" s="117" t="s">
        <v>341</v>
      </c>
    </row>
    <row r="11" spans="1:21" ht="14.4" customHeight="1" x14ac:dyDescent="0.25">
      <c r="A11" s="115" t="s">
        <v>342</v>
      </c>
      <c r="B11" s="122" t="b">
        <v>1</v>
      </c>
      <c r="C11" s="115">
        <v>9</v>
      </c>
      <c r="D11" s="106">
        <v>48000</v>
      </c>
      <c r="E11" s="116">
        <v>4</v>
      </c>
      <c r="F11" s="117">
        <f>IF(主要!BM4="",0,MAX(主要!BM4+主要!$R$16,1)+F2)</f>
        <v>0</v>
      </c>
      <c r="G11" s="106">
        <f t="shared" si="1"/>
        <v>48001</v>
      </c>
      <c r="H11" s="106">
        <f t="shared" si="0"/>
        <v>15999</v>
      </c>
      <c r="I11" s="118">
        <v>10</v>
      </c>
      <c r="J11" s="119" t="s">
        <v>343</v>
      </c>
      <c r="K11" s="119" t="s">
        <v>344</v>
      </c>
      <c r="L11" s="119" t="s">
        <v>345</v>
      </c>
      <c r="M11" s="119" t="s">
        <v>346</v>
      </c>
      <c r="N11" s="119" t="s">
        <v>347</v>
      </c>
      <c r="O11" s="120" t="s">
        <v>348</v>
      </c>
      <c r="P11" s="115" t="s">
        <v>163</v>
      </c>
      <c r="Q11" s="106">
        <f>主要!I51</f>
        <v>4</v>
      </c>
      <c r="R11" s="121" t="b">
        <v>0</v>
      </c>
      <c r="S11" s="117" t="s">
        <v>349</v>
      </c>
    </row>
    <row r="12" spans="1:21" ht="14.4" customHeight="1" x14ac:dyDescent="0.25">
      <c r="A12" s="115" t="s">
        <v>350</v>
      </c>
      <c r="B12" s="122" t="b">
        <v>1</v>
      </c>
      <c r="C12" s="115">
        <v>10</v>
      </c>
      <c r="D12" s="106">
        <v>64000</v>
      </c>
      <c r="E12" s="116">
        <v>4</v>
      </c>
      <c r="F12" s="117">
        <f>IF(主要!BO4="",0,MAX(主要!BO4+主要!$R$16,1)+F2)</f>
        <v>0</v>
      </c>
      <c r="G12" s="106">
        <f t="shared" si="1"/>
        <v>64001</v>
      </c>
      <c r="H12" s="106">
        <f t="shared" si="0"/>
        <v>20999</v>
      </c>
      <c r="I12" s="118">
        <v>11</v>
      </c>
      <c r="J12" s="119" t="s">
        <v>351</v>
      </c>
      <c r="K12" s="119" t="s">
        <v>352</v>
      </c>
      <c r="L12" s="119" t="s">
        <v>353</v>
      </c>
      <c r="M12" s="119" t="s">
        <v>354</v>
      </c>
      <c r="N12" s="119" t="s">
        <v>355</v>
      </c>
      <c r="O12" s="120" t="s">
        <v>356</v>
      </c>
      <c r="P12" s="115" t="s">
        <v>170</v>
      </c>
      <c r="Q12" s="106">
        <f>主要!I52</f>
        <v>6</v>
      </c>
      <c r="R12" s="121" t="b">
        <v>0</v>
      </c>
      <c r="S12" s="117" t="s">
        <v>357</v>
      </c>
    </row>
    <row r="13" spans="1:21" ht="14.4" customHeight="1" x14ac:dyDescent="0.25">
      <c r="A13" s="115" t="s">
        <v>253</v>
      </c>
      <c r="B13" s="122" t="b">
        <v>1</v>
      </c>
      <c r="C13" s="115">
        <v>11</v>
      </c>
      <c r="D13" s="106">
        <v>85000</v>
      </c>
      <c r="E13" s="116">
        <v>4</v>
      </c>
      <c r="F13" s="117">
        <f>IF(主要!AW7="",0,MAX(主要!AW7+主要!$R$16,1)+F2)</f>
        <v>0</v>
      </c>
      <c r="G13" s="106">
        <f t="shared" si="1"/>
        <v>85001</v>
      </c>
      <c r="H13" s="106">
        <f t="shared" si="0"/>
        <v>14999</v>
      </c>
      <c r="I13" s="118">
        <v>12</v>
      </c>
      <c r="J13" s="119" t="s">
        <v>358</v>
      </c>
      <c r="K13" s="119" t="s">
        <v>359</v>
      </c>
      <c r="L13" s="119" t="s">
        <v>360</v>
      </c>
      <c r="M13" s="119" t="s">
        <v>361</v>
      </c>
      <c r="N13" s="119" t="s">
        <v>362</v>
      </c>
      <c r="O13" s="120" t="s">
        <v>363</v>
      </c>
      <c r="P13" s="115" t="s">
        <v>172</v>
      </c>
      <c r="Q13" s="106">
        <f>主要!I53</f>
        <v>6</v>
      </c>
      <c r="R13" s="121" t="b">
        <v>0</v>
      </c>
      <c r="S13" s="117" t="s">
        <v>364</v>
      </c>
    </row>
    <row r="14" spans="1:21" ht="14.4" customHeight="1" x14ac:dyDescent="0.25">
      <c r="A14" s="115" t="s">
        <v>254</v>
      </c>
      <c r="B14" s="122" t="b">
        <v>1</v>
      </c>
      <c r="C14" s="115">
        <v>12</v>
      </c>
      <c r="D14" s="106">
        <v>100000</v>
      </c>
      <c r="E14" s="116">
        <v>4</v>
      </c>
      <c r="F14" s="117">
        <f>IF(主要!AY7="",0,MAX(主要!AY7+主要!$R$16,1)+F2)</f>
        <v>0</v>
      </c>
      <c r="G14" s="106">
        <f t="shared" si="1"/>
        <v>100001</v>
      </c>
      <c r="H14" s="106">
        <f t="shared" si="0"/>
        <v>19999</v>
      </c>
      <c r="I14" s="118">
        <v>13</v>
      </c>
      <c r="J14" s="119" t="s">
        <v>365</v>
      </c>
      <c r="K14" s="119" t="s">
        <v>366</v>
      </c>
      <c r="L14" s="119" t="s">
        <v>367</v>
      </c>
      <c r="M14" s="119" t="s">
        <v>368</v>
      </c>
      <c r="N14" s="119" t="s">
        <v>369</v>
      </c>
      <c r="O14" s="120" t="s">
        <v>370</v>
      </c>
      <c r="P14" s="115" t="s">
        <v>174</v>
      </c>
      <c r="Q14" s="106">
        <f>主要!I54</f>
        <v>6</v>
      </c>
      <c r="R14" s="121" t="b">
        <v>0</v>
      </c>
      <c r="S14" s="117" t="s">
        <v>371</v>
      </c>
    </row>
    <row r="15" spans="1:21" ht="14.4" customHeight="1" x14ac:dyDescent="0.25">
      <c r="A15" s="106" t="s">
        <v>255</v>
      </c>
      <c r="B15" s="122" t="b">
        <v>1</v>
      </c>
      <c r="C15" s="115">
        <v>13</v>
      </c>
      <c r="D15" s="106">
        <v>120000</v>
      </c>
      <c r="E15" s="116">
        <v>5</v>
      </c>
      <c r="F15" s="117">
        <f>IF(主要!BA7="",0,MAX(主要!BA7+主要!$R$16,1)+F2)</f>
        <v>0</v>
      </c>
      <c r="G15" s="106">
        <f t="shared" si="1"/>
        <v>120001</v>
      </c>
      <c r="H15" s="106">
        <f t="shared" si="0"/>
        <v>19999</v>
      </c>
      <c r="I15" s="118">
        <v>14</v>
      </c>
      <c r="J15" s="119" t="str">
        <f t="shared" ref="J15:O15" si="2">J14</f>
        <v>一拳一个小朋友</v>
      </c>
      <c r="K15" s="119" t="str">
        <f t="shared" si="2"/>
        <v>很不错的反应能力，可以在旋转的硬币落下的一瞬间看出是哪面落地</v>
      </c>
      <c r="L15" s="119" t="str">
        <f t="shared" si="2"/>
        <v>一般的磕磕碰碰都不放在眼里</v>
      </c>
      <c r="M15" s="119" t="str">
        <f t="shared" si="2"/>
        <v>可以很轻松地取得别人要刻苦努力才能得到的成绩</v>
      </c>
      <c r="N15" s="119" t="str">
        <f t="shared" si="2"/>
        <v>可以推断出一些别人不知道的东西</v>
      </c>
      <c r="O15" s="120" t="str">
        <f t="shared" si="2"/>
        <v>人们更容易接受你的意见</v>
      </c>
      <c r="P15" s="115" t="s">
        <v>176</v>
      </c>
      <c r="Q15" s="106">
        <f>主要!I55</f>
        <v>4</v>
      </c>
      <c r="R15" s="121" t="b">
        <v>0</v>
      </c>
      <c r="S15" s="125" t="s">
        <v>372</v>
      </c>
    </row>
    <row r="16" spans="1:21" ht="14.4" customHeight="1" x14ac:dyDescent="0.25">
      <c r="A16" s="106" t="s">
        <v>256</v>
      </c>
      <c r="B16" s="122" t="b">
        <v>1</v>
      </c>
      <c r="C16" s="115">
        <v>14</v>
      </c>
      <c r="D16" s="106">
        <v>140000</v>
      </c>
      <c r="E16" s="116">
        <v>5</v>
      </c>
      <c r="F16" s="117">
        <f>IF(主要!BC7="",0,MAX(主要!BC7+主要!$R$16,1)+F2)</f>
        <v>0</v>
      </c>
      <c r="G16" s="106">
        <f t="shared" si="1"/>
        <v>140001</v>
      </c>
      <c r="H16" s="106">
        <f t="shared" si="0"/>
        <v>24999</v>
      </c>
      <c r="I16" s="118">
        <v>15</v>
      </c>
      <c r="J16" s="119" t="str">
        <f t="shared" ref="J16:O16" si="3">J17</f>
        <v>超乎常人的力度</v>
      </c>
      <c r="K16" s="119" t="str">
        <f t="shared" si="3"/>
        <v>左右横跳</v>
      </c>
      <c r="L16" s="119" t="str">
        <f t="shared" si="3"/>
        <v>你从来就不知道什么叫生病</v>
      </c>
      <c r="M16" s="119" t="str">
        <f t="shared" si="3"/>
        <v>就是个天才</v>
      </c>
      <c r="N16" s="119" t="str">
        <f t="shared" si="3"/>
        <v>身边的一切风吹草动都逃不出您的敏锐的目光</v>
      </c>
      <c r="O16" s="120" t="str">
        <f t="shared" si="3"/>
        <v>您不经意间的一举一动都有可能吸引着其他人</v>
      </c>
      <c r="P16" s="115" t="s">
        <v>184</v>
      </c>
      <c r="Q16" s="106">
        <f>主要!I57</f>
        <v>0</v>
      </c>
      <c r="R16" s="121" t="b">
        <v>0</v>
      </c>
    </row>
    <row r="17" spans="1:18" ht="14.4" customHeight="1" x14ac:dyDescent="0.25">
      <c r="A17" s="106" t="s">
        <v>257</v>
      </c>
      <c r="B17" s="122" t="b">
        <v>1</v>
      </c>
      <c r="C17" s="115">
        <v>15</v>
      </c>
      <c r="D17" s="106">
        <v>165000</v>
      </c>
      <c r="E17" s="116">
        <v>5</v>
      </c>
      <c r="F17" s="117">
        <f>IF(主要!BE7="",0,MAX(主要!BE7+主要!$R$16,1)+F2)</f>
        <v>0</v>
      </c>
      <c r="G17" s="106">
        <f t="shared" si="1"/>
        <v>165001</v>
      </c>
      <c r="H17" s="106">
        <f t="shared" si="0"/>
        <v>29999</v>
      </c>
      <c r="I17" s="118">
        <v>16</v>
      </c>
      <c r="J17" s="119" t="s">
        <v>373</v>
      </c>
      <c r="K17" s="119" t="s">
        <v>374</v>
      </c>
      <c r="L17" s="119" t="s">
        <v>375</v>
      </c>
      <c r="M17" s="119" t="s">
        <v>376</v>
      </c>
      <c r="N17" s="119" t="s">
        <v>377</v>
      </c>
      <c r="O17" s="120" t="s">
        <v>378</v>
      </c>
      <c r="P17" s="115" t="s">
        <v>192</v>
      </c>
      <c r="Q17" s="106">
        <f>主要!I58</f>
        <v>0</v>
      </c>
      <c r="R17" s="121" t="b">
        <v>0</v>
      </c>
    </row>
    <row r="18" spans="1:18" ht="14.4" customHeight="1" x14ac:dyDescent="0.25">
      <c r="A18" s="106" t="s">
        <v>258</v>
      </c>
      <c r="B18" s="122" t="b">
        <v>1</v>
      </c>
      <c r="C18" s="115">
        <v>16</v>
      </c>
      <c r="D18" s="106">
        <v>195000</v>
      </c>
      <c r="E18" s="116">
        <v>5</v>
      </c>
      <c r="F18" s="117">
        <f>IF(主要!BG7="",0,MAX(主要!BG7+主要!$R$16,1)+F2)</f>
        <v>0</v>
      </c>
      <c r="G18" s="106">
        <f t="shared" si="1"/>
        <v>195001</v>
      </c>
      <c r="H18" s="106">
        <f t="shared" si="0"/>
        <v>29999</v>
      </c>
      <c r="I18" s="118">
        <v>17</v>
      </c>
      <c r="J18" s="119" t="str">
        <f t="shared" ref="J18:O18" si="4">J17</f>
        <v>超乎常人的力度</v>
      </c>
      <c r="K18" s="119" t="str">
        <f t="shared" si="4"/>
        <v>左右横跳</v>
      </c>
      <c r="L18" s="119" t="str">
        <f t="shared" si="4"/>
        <v>你从来就不知道什么叫生病</v>
      </c>
      <c r="M18" s="119" t="str">
        <f t="shared" si="4"/>
        <v>就是个天才</v>
      </c>
      <c r="N18" s="119" t="str">
        <f t="shared" si="4"/>
        <v>身边的一切风吹草动都逃不出您的敏锐的目光</v>
      </c>
      <c r="O18" s="120" t="str">
        <f t="shared" si="4"/>
        <v>您不经意间的一举一动都有可能吸引着其他人</v>
      </c>
      <c r="P18" s="115" t="s">
        <v>196</v>
      </c>
      <c r="Q18" s="106">
        <f>主要!I59</f>
        <v>0</v>
      </c>
      <c r="R18" s="121" t="b">
        <v>0</v>
      </c>
    </row>
    <row r="19" spans="1:18" ht="14.4" customHeight="1" x14ac:dyDescent="0.25">
      <c r="A19" s="123" t="s">
        <v>379</v>
      </c>
      <c r="B19" s="126" t="b">
        <v>0</v>
      </c>
      <c r="C19" s="115">
        <v>17</v>
      </c>
      <c r="D19" s="106">
        <v>225000</v>
      </c>
      <c r="E19" s="116">
        <v>6</v>
      </c>
      <c r="F19" s="117">
        <f>IF(主要!BI7="",0,MAX(主要!BI7+主要!$R$16,1)+F2)</f>
        <v>0</v>
      </c>
      <c r="G19" s="106">
        <f t="shared" si="1"/>
        <v>225001</v>
      </c>
      <c r="H19" s="106">
        <f t="shared" si="0"/>
        <v>39999</v>
      </c>
      <c r="I19" s="118">
        <v>18</v>
      </c>
      <c r="J19" s="119" t="s">
        <v>380</v>
      </c>
      <c r="K19" s="119" t="s">
        <v>381</v>
      </c>
      <c r="L19" s="119" t="s">
        <v>382</v>
      </c>
      <c r="M19" s="119" t="s">
        <v>383</v>
      </c>
      <c r="N19" s="119" t="s">
        <v>384</v>
      </c>
      <c r="O19" s="120" t="s">
        <v>385</v>
      </c>
      <c r="P19" s="123" t="s">
        <v>201</v>
      </c>
      <c r="Q19" s="126">
        <f>主要!I60</f>
        <v>0</v>
      </c>
      <c r="R19" s="127" t="b">
        <v>0</v>
      </c>
    </row>
    <row r="20" spans="1:18" ht="14.4" customHeight="1" x14ac:dyDescent="0.25">
      <c r="C20" s="115">
        <v>18</v>
      </c>
      <c r="D20" s="106">
        <v>265000</v>
      </c>
      <c r="E20" s="116">
        <v>6</v>
      </c>
      <c r="F20" s="117">
        <f>IF(主要!BK7="",0,MAX(主要!BK7+主要!$R$16,1)+F2)</f>
        <v>0</v>
      </c>
      <c r="G20" s="106">
        <f t="shared" si="1"/>
        <v>265001</v>
      </c>
      <c r="H20" s="106">
        <f t="shared" si="0"/>
        <v>39999</v>
      </c>
      <c r="I20" s="118">
        <v>19</v>
      </c>
      <c r="J20" s="119" t="s">
        <v>386</v>
      </c>
      <c r="K20" s="119" t="s">
        <v>387</v>
      </c>
      <c r="L20" s="119" t="s">
        <v>388</v>
      </c>
      <c r="M20" s="119" t="s">
        <v>389</v>
      </c>
      <c r="N20" s="119" t="s">
        <v>390</v>
      </c>
      <c r="O20" s="119" t="s">
        <v>391</v>
      </c>
      <c r="P20" s="117" t="s">
        <v>392</v>
      </c>
      <c r="Q20" s="106" t="s">
        <v>393</v>
      </c>
      <c r="R20" s="122" t="b">
        <v>1</v>
      </c>
    </row>
    <row r="21" spans="1:18" ht="14.4" customHeight="1" x14ac:dyDescent="0.25">
      <c r="C21" s="115">
        <v>19</v>
      </c>
      <c r="D21" s="106">
        <v>305000</v>
      </c>
      <c r="E21" s="116">
        <v>6</v>
      </c>
      <c r="F21" s="117">
        <f>IF(主要!BM7="",0,MAX(主要!BM7+主要!$R$16,1)+F2)</f>
        <v>0</v>
      </c>
      <c r="G21" s="126">
        <f t="shared" si="1"/>
        <v>305001</v>
      </c>
      <c r="H21" s="126">
        <f t="shared" si="0"/>
        <v>49999</v>
      </c>
      <c r="I21" s="118">
        <v>20</v>
      </c>
      <c r="J21" s="119" t="s">
        <v>394</v>
      </c>
      <c r="K21" s="119" t="s">
        <v>395</v>
      </c>
      <c r="L21" s="119" t="s">
        <v>396</v>
      </c>
      <c r="M21" s="119" t="s">
        <v>397</v>
      </c>
      <c r="N21" s="119" t="s">
        <v>398</v>
      </c>
      <c r="O21" s="119" t="s">
        <v>399</v>
      </c>
      <c r="P21" s="117">
        <f>IFERROR(IF(主要!H62=P22,主要!B62/100,IF(主要!H62=P23,主要!B62/10,IF(主要!H62=P24,主要!B62/2,IF(主要!H62=P25,主要!B62,IF(主要!H62=P26,主要!B62*10,""))))),"")</f>
        <v>0</v>
      </c>
      <c r="Q21" s="106" t="s">
        <v>400</v>
      </c>
      <c r="R21" s="122" t="b">
        <v>1</v>
      </c>
    </row>
    <row r="22" spans="1:18" ht="14.4" customHeight="1" x14ac:dyDescent="0.25">
      <c r="C22" s="123">
        <v>20</v>
      </c>
      <c r="D22" s="126">
        <v>355000</v>
      </c>
      <c r="E22" s="124">
        <v>6</v>
      </c>
      <c r="F22" s="125">
        <f>IF(主要!BO7="",0,MAX(主要!BO7+主要!$R$16,1)+F2)</f>
        <v>0</v>
      </c>
      <c r="I22" s="118">
        <v>21</v>
      </c>
      <c r="J22" s="119" t="s">
        <v>401</v>
      </c>
      <c r="K22" s="119" t="s">
        <v>402</v>
      </c>
      <c r="L22" s="119" t="s">
        <v>403</v>
      </c>
      <c r="M22" s="119" t="s">
        <v>404</v>
      </c>
      <c r="N22" s="119" t="s">
        <v>405</v>
      </c>
      <c r="O22" s="119" t="s">
        <v>406</v>
      </c>
      <c r="P22" s="117" t="s">
        <v>205</v>
      </c>
    </row>
    <row r="23" spans="1:18" ht="14.4" customHeight="1" x14ac:dyDescent="0.25">
      <c r="I23" s="118">
        <v>22</v>
      </c>
      <c r="J23" s="119" t="s">
        <v>407</v>
      </c>
      <c r="K23" s="119" t="s">
        <v>408</v>
      </c>
      <c r="L23" s="119" t="s">
        <v>409</v>
      </c>
      <c r="M23" s="119" t="s">
        <v>410</v>
      </c>
      <c r="N23" s="119" t="s">
        <v>411</v>
      </c>
      <c r="O23" s="119" t="s">
        <v>412</v>
      </c>
      <c r="P23" s="117" t="s">
        <v>206</v>
      </c>
    </row>
    <row r="24" spans="1:18" ht="14.4" customHeight="1" x14ac:dyDescent="0.25">
      <c r="I24" s="118">
        <v>23</v>
      </c>
      <c r="J24" s="119" t="s">
        <v>413</v>
      </c>
      <c r="K24" s="119" t="s">
        <v>414</v>
      </c>
      <c r="L24" s="119" t="s">
        <v>415</v>
      </c>
      <c r="M24" s="119" t="s">
        <v>416</v>
      </c>
      <c r="N24" s="119" t="s">
        <v>417</v>
      </c>
      <c r="O24" s="119" t="s">
        <v>418</v>
      </c>
      <c r="P24" s="117" t="s">
        <v>207</v>
      </c>
    </row>
    <row r="25" spans="1:18" ht="14.4" customHeight="1" x14ac:dyDescent="0.25">
      <c r="I25" s="118">
        <v>24</v>
      </c>
      <c r="J25" s="119" t="s">
        <v>419</v>
      </c>
      <c r="K25" s="119" t="s">
        <v>420</v>
      </c>
      <c r="L25" s="119" t="s">
        <v>421</v>
      </c>
      <c r="M25" s="119" t="s">
        <v>422</v>
      </c>
      <c r="N25" s="119" t="s">
        <v>423</v>
      </c>
      <c r="O25" s="119" t="s">
        <v>424</v>
      </c>
      <c r="P25" s="117" t="s">
        <v>208</v>
      </c>
    </row>
    <row r="26" spans="1:18" ht="14.4" customHeight="1" x14ac:dyDescent="0.25">
      <c r="I26" s="128">
        <v>25</v>
      </c>
      <c r="J26" s="129" t="s">
        <v>425</v>
      </c>
      <c r="K26" s="129" t="s">
        <v>426</v>
      </c>
      <c r="L26" s="129" t="s">
        <v>427</v>
      </c>
      <c r="M26" s="129" t="s">
        <v>428</v>
      </c>
      <c r="N26" s="129" t="s">
        <v>429</v>
      </c>
      <c r="O26" s="129" t="s">
        <v>430</v>
      </c>
      <c r="P26" s="125" t="s">
        <v>209</v>
      </c>
    </row>
  </sheetData>
  <sheetProtection sheet="1" objects="1" scenarios="1"/>
  <mergeCells count="4">
    <mergeCell ref="A1:B1"/>
    <mergeCell ref="C1:E1"/>
    <mergeCell ref="P1:R1"/>
    <mergeCell ref="T1:U1"/>
  </mergeCells>
  <phoneticPr fontId="8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145"/>
  <sheetViews>
    <sheetView workbookViewId="0">
      <pane ySplit="1" topLeftCell="A2" activePane="bottomLeft" state="frozen"/>
      <selection pane="bottomLeft" activeCell="F47" sqref="F47"/>
    </sheetView>
  </sheetViews>
  <sheetFormatPr defaultColWidth="8.90625" defaultRowHeight="14.4" customHeight="1" x14ac:dyDescent="0.25"/>
  <cols>
    <col min="1" max="1" width="8.90625" style="130"/>
    <col min="2" max="2" width="8.90625" style="130" customWidth="1"/>
    <col min="3" max="17" width="8.90625" style="130"/>
    <col min="18" max="18" width="8.90625" style="130" customWidth="1"/>
    <col min="19" max="34" width="8.90625" style="130"/>
    <col min="35" max="35" width="8.90625" style="131"/>
    <col min="36" max="37" width="8.90625" style="131" customWidth="1"/>
    <col min="38" max="38" width="8.90625" style="132" customWidth="1"/>
    <col min="39" max="39" width="8.90625" style="131" customWidth="1"/>
    <col min="40" max="16384" width="8.90625" style="131"/>
  </cols>
  <sheetData>
    <row r="1" spans="1:72" ht="14.4" customHeight="1" x14ac:dyDescent="0.25">
      <c r="A1" s="133"/>
      <c r="B1" s="108" t="s">
        <v>51</v>
      </c>
      <c r="C1" s="134" t="s">
        <v>242</v>
      </c>
      <c r="D1" s="135" t="s">
        <v>245</v>
      </c>
      <c r="E1" s="136" t="s">
        <v>246</v>
      </c>
      <c r="F1" s="137" t="s">
        <v>248</v>
      </c>
      <c r="G1" s="138" t="s">
        <v>249</v>
      </c>
      <c r="H1" s="139" t="s">
        <v>250</v>
      </c>
      <c r="I1" s="140" t="s">
        <v>342</v>
      </c>
      <c r="J1" s="141" t="s">
        <v>431</v>
      </c>
      <c r="K1" s="142" t="s">
        <v>253</v>
      </c>
      <c r="L1" s="143" t="s">
        <v>255</v>
      </c>
      <c r="M1" s="144" t="s">
        <v>256</v>
      </c>
      <c r="N1" s="145" t="s">
        <v>257</v>
      </c>
      <c r="O1" s="146" t="s">
        <v>258</v>
      </c>
      <c r="P1" s="147" t="s">
        <v>379</v>
      </c>
      <c r="R1" s="133" t="s">
        <v>97</v>
      </c>
      <c r="S1" s="114" t="s">
        <v>432</v>
      </c>
      <c r="T1" s="1027" t="s">
        <v>433</v>
      </c>
      <c r="U1" s="1028"/>
      <c r="V1" s="1026" t="s">
        <v>229</v>
      </c>
      <c r="W1" s="1027"/>
      <c r="X1" s="1027"/>
      <c r="Y1" s="1028"/>
      <c r="Z1" s="1027" t="s">
        <v>434</v>
      </c>
      <c r="AA1" s="1029"/>
      <c r="AB1" s="1030" t="s">
        <v>435</v>
      </c>
      <c r="AC1" s="1031"/>
      <c r="AD1" s="1032"/>
      <c r="AE1" s="108" t="s">
        <v>38</v>
      </c>
      <c r="AF1" s="108" t="s">
        <v>436</v>
      </c>
      <c r="AG1" s="108" t="s">
        <v>437</v>
      </c>
      <c r="AH1" s="108" t="s">
        <v>438</v>
      </c>
      <c r="AI1" s="149" t="s">
        <v>439</v>
      </c>
      <c r="AJ1" s="150" t="s">
        <v>232</v>
      </c>
      <c r="AK1" s="150" t="s">
        <v>97</v>
      </c>
      <c r="AL1" s="150" t="s">
        <v>98</v>
      </c>
      <c r="AM1" s="151" t="s">
        <v>21</v>
      </c>
      <c r="AN1" s="131" t="s">
        <v>440</v>
      </c>
      <c r="AO1" s="131" t="s">
        <v>441</v>
      </c>
      <c r="AP1" s="131" t="s">
        <v>442</v>
      </c>
      <c r="AQ1" s="131" t="s">
        <v>443</v>
      </c>
      <c r="AR1" s="131" t="s">
        <v>444</v>
      </c>
      <c r="AS1" s="131" t="s">
        <v>445</v>
      </c>
      <c r="AT1" s="131" t="s">
        <v>446</v>
      </c>
      <c r="AU1" s="131" t="s">
        <v>447</v>
      </c>
      <c r="AV1" s="131" t="s">
        <v>448</v>
      </c>
      <c r="AW1" s="131" t="s">
        <v>449</v>
      </c>
      <c r="AX1" s="131" t="s">
        <v>450</v>
      </c>
      <c r="AY1" s="131" t="s">
        <v>451</v>
      </c>
      <c r="AZ1" s="131" t="s">
        <v>452</v>
      </c>
      <c r="BA1" s="131" t="s">
        <v>453</v>
      </c>
      <c r="BB1" s="131" t="s">
        <v>454</v>
      </c>
      <c r="BC1" s="131" t="s">
        <v>455</v>
      </c>
      <c r="BD1" s="131" t="s">
        <v>456</v>
      </c>
      <c r="BE1" s="131" t="s">
        <v>457</v>
      </c>
      <c r="BF1" s="131" t="s">
        <v>458</v>
      </c>
      <c r="BG1" s="131" t="s">
        <v>459</v>
      </c>
      <c r="BH1" s="131" t="s">
        <v>460</v>
      </c>
      <c r="BI1" s="131" t="s">
        <v>461</v>
      </c>
      <c r="BJ1" s="132" t="s">
        <v>462</v>
      </c>
      <c r="BK1" s="132" t="s">
        <v>463</v>
      </c>
      <c r="BL1" s="132" t="s">
        <v>464</v>
      </c>
      <c r="BM1" s="132" t="s">
        <v>465</v>
      </c>
      <c r="BN1" s="132" t="s">
        <v>466</v>
      </c>
      <c r="BO1" s="131" t="s">
        <v>467</v>
      </c>
      <c r="BP1" s="131" t="s">
        <v>468</v>
      </c>
      <c r="BQ1" s="131" t="s">
        <v>469</v>
      </c>
      <c r="BR1" s="131" t="s">
        <v>470</v>
      </c>
      <c r="BS1" s="131" t="s">
        <v>471</v>
      </c>
      <c r="BT1" s="131" t="s">
        <v>472</v>
      </c>
    </row>
    <row r="2" spans="1:72" ht="14.4" customHeight="1" x14ac:dyDescent="0.25">
      <c r="A2" s="152" t="s">
        <v>473</v>
      </c>
      <c r="B2" s="131" t="s">
        <v>474</v>
      </c>
      <c r="C2" s="131" t="s">
        <v>475</v>
      </c>
      <c r="D2" s="153" t="str">
        <f>IF(OR(综合数据!B8=TRUE,综合数据!B18=TRUE),"灰矮人","")</f>
        <v>灰矮人</v>
      </c>
      <c r="E2" s="154" t="str">
        <f>IF(综合数据!B10=TRUE,"警戒龙纹","")</f>
        <v>警戒龙纹</v>
      </c>
      <c r="F2" s="130" t="str">
        <f t="shared" ref="F2:O2" si="0">""</f>
        <v/>
      </c>
      <c r="G2" s="130" t="str">
        <f t="shared" si="0"/>
        <v/>
      </c>
      <c r="H2" s="130" t="str">
        <f t="shared" si="0"/>
        <v/>
      </c>
      <c r="I2" s="130" t="str">
        <f t="shared" si="0"/>
        <v/>
      </c>
      <c r="J2" s="130" t="str">
        <f t="shared" si="0"/>
        <v/>
      </c>
      <c r="K2" s="130" t="str">
        <f t="shared" si="0"/>
        <v/>
      </c>
      <c r="L2" s="130" t="str">
        <f t="shared" si="0"/>
        <v/>
      </c>
      <c r="M2" s="130" t="str">
        <f t="shared" si="0"/>
        <v/>
      </c>
      <c r="N2" s="130" t="str">
        <f t="shared" si="0"/>
        <v/>
      </c>
      <c r="O2" s="155" t="str">
        <f t="shared" si="0"/>
        <v/>
      </c>
      <c r="R2" s="156" t="s">
        <v>476</v>
      </c>
      <c r="S2" s="157" t="str">
        <f t="array" ref="S2">INDEX(A:A,SMALL(IF($A$2:$A$45&lt;&gt;"",ROW($2:$45),46),ROW(A1)))&amp;""</f>
        <v>矮人</v>
      </c>
      <c r="T2" s="130" t="e">
        <f>VLOOKUP(V3,AE2:AF125,2,0)</f>
        <v>#N/A</v>
      </c>
      <c r="U2" s="130" t="e">
        <f t="array" ref="U2">INDEX(T:T,SMALL(IF($T$3:$T$15&lt;&gt;"",ROW($3:$15),16),ROW(T1)))&amp;""</f>
        <v>#N/A</v>
      </c>
      <c r="V2" s="158">
        <f>IF(主要!Y3="",0,主要!Y3)</f>
        <v>1</v>
      </c>
      <c r="W2" s="106" t="s">
        <v>436</v>
      </c>
      <c r="X2" s="106" t="s">
        <v>437</v>
      </c>
      <c r="Y2" s="116" t="s">
        <v>438</v>
      </c>
      <c r="Z2" s="130" t="str">
        <f>IFERROR(IF(COUNTIF($AB$2:$AB$15,$W6),"",W6),"")</f>
        <v/>
      </c>
      <c r="AA2" s="130" t="str">
        <f t="array" ref="AA2">INDEX(Z:Z,SMALL(IF($Z$2:$Z$16&lt;&gt;"",ROW($2:$16),17),ROW(Z1)))&amp;""</f>
        <v>语言</v>
      </c>
      <c r="AB2" s="159" t="str">
        <f>IF(主要!$Z84="",0,主要!$Z84)</f>
        <v>属性值加成</v>
      </c>
      <c r="AC2" s="132" t="str">
        <f t="shared" ref="AC2:AC15" si="1">IFERROR(VLOOKUP($AB2,$W$6:$X$27,2,0),"")</f>
        <v/>
      </c>
      <c r="AD2" s="160">
        <f>IF($AB2=0,"",COUNTIF($AB$2:$AB$15,$AB2))</f>
        <v>1</v>
      </c>
      <c r="AE2" s="161" t="s">
        <v>473</v>
      </c>
      <c r="AF2" s="161">
        <v>1</v>
      </c>
      <c r="AG2" s="161">
        <v>1</v>
      </c>
      <c r="AH2" s="161">
        <v>5</v>
      </c>
      <c r="AI2" s="152" t="s">
        <v>474</v>
      </c>
      <c r="AJ2" s="162" t="s">
        <v>477</v>
      </c>
      <c r="AK2" s="162" t="s">
        <v>478</v>
      </c>
      <c r="AL2" s="162" t="s">
        <v>479</v>
      </c>
      <c r="AM2" s="163" t="s">
        <v>480</v>
      </c>
      <c r="AN2" s="132" t="s">
        <v>481</v>
      </c>
      <c r="AO2" s="164" t="s">
        <v>482</v>
      </c>
      <c r="AP2" s="132" t="s">
        <v>483</v>
      </c>
      <c r="AQ2" s="132" t="s">
        <v>484</v>
      </c>
      <c r="AR2" s="132" t="s">
        <v>485</v>
      </c>
      <c r="AS2" s="132" t="s">
        <v>486</v>
      </c>
      <c r="AT2" s="132" t="s">
        <v>487</v>
      </c>
      <c r="AU2" s="132" t="s">
        <v>488</v>
      </c>
      <c r="AV2" s="132" t="s">
        <v>489</v>
      </c>
      <c r="AW2" s="132" t="s">
        <v>490</v>
      </c>
      <c r="AX2" s="132" t="s">
        <v>491</v>
      </c>
      <c r="AY2" s="132" t="s">
        <v>492</v>
      </c>
      <c r="AZ2" s="132" t="s">
        <v>493</v>
      </c>
      <c r="BA2" s="132" t="s">
        <v>494</v>
      </c>
      <c r="BB2" s="132" t="s">
        <v>495</v>
      </c>
      <c r="BC2" s="132" t="s">
        <v>496</v>
      </c>
      <c r="BD2" s="132" t="s">
        <v>497</v>
      </c>
      <c r="BE2" s="132" t="s">
        <v>498</v>
      </c>
      <c r="BF2" s="132" t="s">
        <v>499</v>
      </c>
      <c r="BG2" s="132" t="s">
        <v>500</v>
      </c>
      <c r="BH2" s="132" t="s">
        <v>501</v>
      </c>
      <c r="BI2" s="132" t="s">
        <v>502</v>
      </c>
      <c r="BJ2" s="132" t="s">
        <v>503</v>
      </c>
      <c r="BK2" s="132" t="s">
        <v>504</v>
      </c>
      <c r="BL2" s="132" t="s">
        <v>505</v>
      </c>
      <c r="BM2" s="132" t="s">
        <v>506</v>
      </c>
      <c r="BN2" s="132" t="s">
        <v>507</v>
      </c>
      <c r="BO2" s="132" t="s">
        <v>508</v>
      </c>
      <c r="BP2" s="132" t="s">
        <v>509</v>
      </c>
      <c r="BQ2" s="132" t="s">
        <v>510</v>
      </c>
      <c r="BR2" s="132" t="s">
        <v>511</v>
      </c>
      <c r="BS2" s="132" t="s">
        <v>512</v>
      </c>
      <c r="BT2" s="132" t="s">
        <v>513</v>
      </c>
    </row>
    <row r="3" spans="1:72" ht="14.4" customHeight="1" x14ac:dyDescent="0.25">
      <c r="A3" s="152" t="s">
        <v>514</v>
      </c>
      <c r="B3" s="131" t="s">
        <v>515</v>
      </c>
      <c r="C3" s="131" t="s">
        <v>516</v>
      </c>
      <c r="D3" s="131" t="s">
        <v>517</v>
      </c>
      <c r="E3" s="153" t="str">
        <f>IF(OR(综合数据!B8=TRUE,综合数据!B18=TRUE),"雅灵","")</f>
        <v>雅灵</v>
      </c>
      <c r="F3" s="153" t="str">
        <f>IF(OR(综合数据!B8=TRUE,综合数据!B18=TRUE),"海精灵","")</f>
        <v>海精灵</v>
      </c>
      <c r="G3" s="153" t="str">
        <f>IF(OR(综合数据!B8=TRUE,综合数据!B18=TRUE),"影灵","")</f>
        <v>影灵</v>
      </c>
      <c r="H3" s="154" t="str">
        <f>IF(综合数据!B10=TRUE,"阴影龙纹","")</f>
        <v>阴影龙纹</v>
      </c>
      <c r="I3" s="165" t="str">
        <f>IF(综合数据!B11=TRUE,"苍白精灵","")</f>
        <v>苍白精灵</v>
      </c>
      <c r="J3" s="130" t="str">
        <f t="shared" ref="J3:O3" si="2">""</f>
        <v/>
      </c>
      <c r="K3" s="130" t="str">
        <f t="shared" si="2"/>
        <v/>
      </c>
      <c r="L3" s="130" t="str">
        <f t="shared" si="2"/>
        <v/>
      </c>
      <c r="M3" s="130" t="str">
        <f t="shared" si="2"/>
        <v/>
      </c>
      <c r="N3" s="130" t="str">
        <f t="shared" si="2"/>
        <v/>
      </c>
      <c r="O3" s="155" t="str">
        <f t="shared" si="2"/>
        <v/>
      </c>
      <c r="R3" s="156" t="s">
        <v>518</v>
      </c>
      <c r="S3" s="157" t="str">
        <f t="array" ref="S3">INDEX(A:A,SMALL(IF($A$2:$A$45&lt;&gt;"",ROW($2:$45),46),ROW(A2)))&amp;""</f>
        <v>精灵</v>
      </c>
      <c r="T3" s="130" t="e">
        <f>INDEX($B$2:$K$45,$T$2,1)</f>
        <v>#N/A</v>
      </c>
      <c r="U3" s="130" t="e">
        <f t="array" ref="U3">INDEX(T:T,SMALL(IF($T$3:$T$15&lt;&gt;"",ROW($3:$15),16),ROW(T2)))&amp;""</f>
        <v>#N/A</v>
      </c>
      <c r="V3" s="158" t="str">
        <f>IF(主要!$D6="",0,主要!$D6)</f>
        <v>拉文克劳</v>
      </c>
      <c r="W3" s="106" t="e">
        <f>IF(COUNTIF(T13:T15,V4)=0,VLOOKUP(V3,AE:AF,2,0)*2,VLOOKUP(V4,AE:AF,2,0)*2)</f>
        <v>#N/A</v>
      </c>
      <c r="X3" s="106"/>
      <c r="Y3" s="116" t="e">
        <f>IF(COUNTIF(T13:T15,V4)=0,VLOOKUP(V3,AE:AH,4,0),VLOOKUP(V4,AE:AH,4,0))</f>
        <v>#N/A</v>
      </c>
      <c r="Z3" s="130" t="str">
        <f>IFERROR(IF(COUNTIF($AB$2:$AB$15,$W7),"",W7),"")</f>
        <v/>
      </c>
      <c r="AA3" s="130" t="str">
        <f t="array" ref="AA3">INDEX(Z:Z,SMALL(IF($Z$2:$Z$16&lt;&gt;"",ROW($2:$16),17),ROW(Z2)))&amp;""</f>
        <v/>
      </c>
      <c r="AB3" s="159" t="str">
        <f>IF(主要!$Z85="",0,主要!$Z85)</f>
        <v>速度</v>
      </c>
      <c r="AC3" s="132" t="str">
        <f t="shared" si="1"/>
        <v/>
      </c>
      <c r="AD3" s="160">
        <f>IF($AB3=0,"",COUNTIF($AB$2:$AB$15,$AB3))</f>
        <v>1</v>
      </c>
      <c r="AE3" s="131" t="s">
        <v>474</v>
      </c>
      <c r="AF3" s="131"/>
      <c r="AG3" s="131">
        <v>6</v>
      </c>
      <c r="AH3" s="131">
        <v>6</v>
      </c>
      <c r="AI3" s="152" t="s">
        <v>475</v>
      </c>
      <c r="AJ3" s="162" t="s">
        <v>519</v>
      </c>
      <c r="AK3" s="162" t="str">
        <f t="shared" ref="AK3:AM5" si="3">AK$2</f>
        <v>中型</v>
      </c>
      <c r="AL3" s="162" t="str">
        <f t="shared" si="3"/>
        <v>基础步行速度为25尺，你的速度不会因穿着重甲而减慢</v>
      </c>
      <c r="AM3" s="163" t="str">
        <f t="shared" si="3"/>
        <v>和矮人语</v>
      </c>
      <c r="AN3" s="132" t="s">
        <v>520</v>
      </c>
      <c r="AO3" s="164" t="s">
        <v>521</v>
      </c>
      <c r="AP3" s="132" t="s">
        <v>522</v>
      </c>
      <c r="AQ3" s="132" t="s">
        <v>523</v>
      </c>
      <c r="AR3" s="132" t="s">
        <v>524</v>
      </c>
      <c r="AS3" s="132" t="s">
        <v>525</v>
      </c>
      <c r="AT3" s="132" t="s">
        <v>526</v>
      </c>
      <c r="AU3" s="132" t="s">
        <v>527</v>
      </c>
      <c r="AV3" s="132" t="s">
        <v>528</v>
      </c>
      <c r="AW3" s="132" t="s">
        <v>529</v>
      </c>
      <c r="AX3" s="132" t="s">
        <v>530</v>
      </c>
      <c r="AY3" s="132" t="s">
        <v>531</v>
      </c>
      <c r="AZ3" s="132" t="s">
        <v>532</v>
      </c>
      <c r="BA3" s="132" t="s">
        <v>533</v>
      </c>
      <c r="BB3" s="132" t="s">
        <v>534</v>
      </c>
      <c r="BC3" s="132" t="s">
        <v>535</v>
      </c>
      <c r="BD3" s="132" t="s">
        <v>536</v>
      </c>
      <c r="BE3" s="132" t="s">
        <v>537</v>
      </c>
      <c r="BF3" s="132" t="s">
        <v>538</v>
      </c>
      <c r="BG3" s="132" t="s">
        <v>539</v>
      </c>
      <c r="BH3" s="132" t="s">
        <v>540</v>
      </c>
      <c r="BI3" s="132" t="s">
        <v>541</v>
      </c>
      <c r="BJ3" s="132" t="s">
        <v>542</v>
      </c>
      <c r="BK3" s="132" t="s">
        <v>543</v>
      </c>
      <c r="BL3" s="132" t="s">
        <v>544</v>
      </c>
      <c r="BM3" s="132" t="s">
        <v>545</v>
      </c>
      <c r="BN3" s="132" t="s">
        <v>546</v>
      </c>
      <c r="BO3" s="132" t="s">
        <v>547</v>
      </c>
      <c r="BP3" s="132" t="s">
        <v>548</v>
      </c>
      <c r="BQ3" s="132" t="s">
        <v>549</v>
      </c>
      <c r="BR3" s="132" t="s">
        <v>550</v>
      </c>
      <c r="BS3" s="132" t="s">
        <v>551</v>
      </c>
      <c r="BT3" s="132" t="s">
        <v>552</v>
      </c>
    </row>
    <row r="4" spans="1:72" ht="14.4" customHeight="1" x14ac:dyDescent="0.25">
      <c r="A4" s="152" t="s">
        <v>553</v>
      </c>
      <c r="B4" s="131" t="s">
        <v>554</v>
      </c>
      <c r="C4" s="131" t="s">
        <v>555</v>
      </c>
      <c r="D4" s="166" t="str">
        <f>IF(综合数据!B5=TRUE,"鬼智半身人","")</f>
        <v>鬼智半身人</v>
      </c>
      <c r="E4" s="154" t="str">
        <f>IF(综合数据!B10=TRUE,"医疗龙纹","")</f>
        <v>医疗龙纹</v>
      </c>
      <c r="F4" s="154" t="str">
        <f>IF(综合数据!B10=TRUE,"招待龙纹","")</f>
        <v>招待龙纹</v>
      </c>
      <c r="G4" s="165" t="str">
        <f>IF(综合数据!B11=TRUE,"莲源半身人","")</f>
        <v>莲源半身人</v>
      </c>
      <c r="H4" s="130" t="str">
        <f t="shared" ref="H4:O4" si="4">""</f>
        <v/>
      </c>
      <c r="I4" s="130" t="str">
        <f t="shared" si="4"/>
        <v/>
      </c>
      <c r="J4" s="130" t="str">
        <f t="shared" si="4"/>
        <v/>
      </c>
      <c r="K4" s="130" t="str">
        <f t="shared" si="4"/>
        <v/>
      </c>
      <c r="L4" s="130" t="str">
        <f t="shared" si="4"/>
        <v/>
      </c>
      <c r="M4" s="130" t="str">
        <f t="shared" si="4"/>
        <v/>
      </c>
      <c r="N4" s="130" t="str">
        <f t="shared" si="4"/>
        <v/>
      </c>
      <c r="O4" s="155" t="str">
        <f t="shared" si="4"/>
        <v/>
      </c>
      <c r="R4" s="156" t="s">
        <v>478</v>
      </c>
      <c r="S4" s="157" t="str">
        <f t="array" ref="S4">INDEX(A:A,SMALL(IF($A$2:$A$45&lt;&gt;"",ROW($2:$45),46),ROW(A3)))&amp;""</f>
        <v>半身人</v>
      </c>
      <c r="T4" s="130" t="e">
        <f>INDEX($B$2:$K$45,$T$2,2)</f>
        <v>#N/A</v>
      </c>
      <c r="U4" s="130" t="e">
        <f t="array" ref="U4">INDEX(T:T,SMALL(IF($T$3:$T$15&lt;&gt;"",ROW($3:$15),16),ROW(T3)))&amp;""</f>
        <v>#N/A</v>
      </c>
      <c r="V4" s="158">
        <f>IF(主要!$D7="",0,主要!$D7)</f>
        <v>0</v>
      </c>
      <c r="W4" s="106" t="e">
        <f>W3-1</f>
        <v>#N/A</v>
      </c>
      <c r="X4" s="106" t="e">
        <f>IF(COUNTIF(T13:T15,V4)=0,VLOOKUP(V4,AE:AG,3,0),0/0)</f>
        <v>#N/A</v>
      </c>
      <c r="Y4" s="116" t="e">
        <f>VLOOKUP(V4,AE:AH,4,0)</f>
        <v>#N/A</v>
      </c>
      <c r="Z4" s="130" t="str">
        <f>IFERROR(IF(COUNTIF($AB$2:$AB$15,$W8),"",W8),"")</f>
        <v/>
      </c>
      <c r="AA4" s="130" t="str">
        <f t="array" ref="AA4">INDEX(Z:Z,SMALL(IF($Z$2:$Z$16&lt;&gt;"",ROW($2:$16),17),ROW(Z3)))&amp;""</f>
        <v/>
      </c>
      <c r="AB4" s="159" t="str">
        <f>IF(主要!$Z86="",0,主要!$Z86)</f>
        <v>体型</v>
      </c>
      <c r="AC4" s="132" t="str">
        <f t="shared" si="1"/>
        <v/>
      </c>
      <c r="AD4" s="160">
        <f t="shared" ref="AD4:AD15" si="5">IF($AB4=0,"",COUNTIF($AB$2:$AB$15,$AB4))</f>
        <v>1</v>
      </c>
      <c r="AE4" s="131" t="s">
        <v>475</v>
      </c>
      <c r="AF4" s="131"/>
      <c r="AG4" s="131">
        <v>7</v>
      </c>
      <c r="AH4" s="131">
        <v>7</v>
      </c>
      <c r="AI4" s="167" t="s">
        <v>556</v>
      </c>
      <c r="AJ4" s="162" t="s">
        <v>557</v>
      </c>
      <c r="AK4" s="162" t="str">
        <f t="shared" si="3"/>
        <v>中型</v>
      </c>
      <c r="AL4" s="162" t="s">
        <v>558</v>
      </c>
      <c r="AM4" s="163" t="s">
        <v>559</v>
      </c>
      <c r="AN4" s="132" t="s">
        <v>560</v>
      </c>
      <c r="AO4" s="164" t="s">
        <v>561</v>
      </c>
      <c r="AP4" s="132" t="s">
        <v>562</v>
      </c>
      <c r="AQ4" s="132" t="s">
        <v>563</v>
      </c>
      <c r="AR4" s="132" t="s">
        <v>564</v>
      </c>
      <c r="AS4" s="132" t="s">
        <v>565</v>
      </c>
      <c r="AT4" s="132" t="s">
        <v>566</v>
      </c>
      <c r="AU4" s="132" t="s">
        <v>567</v>
      </c>
      <c r="AV4" s="132" t="s">
        <v>568</v>
      </c>
      <c r="AW4" s="132" t="s">
        <v>569</v>
      </c>
      <c r="AX4" s="132" t="s">
        <v>570</v>
      </c>
      <c r="AY4" s="132" t="s">
        <v>571</v>
      </c>
      <c r="AZ4" s="132" t="s">
        <v>572</v>
      </c>
      <c r="BA4" s="132" t="s">
        <v>573</v>
      </c>
      <c r="BB4" s="132" t="s">
        <v>574</v>
      </c>
      <c r="BC4" s="132" t="s">
        <v>575</v>
      </c>
      <c r="BD4" s="132" t="s">
        <v>576</v>
      </c>
      <c r="BE4" s="132" t="s">
        <v>577</v>
      </c>
      <c r="BF4" s="132" t="s">
        <v>578</v>
      </c>
      <c r="BG4" s="132" t="s">
        <v>579</v>
      </c>
      <c r="BH4" s="132" t="s">
        <v>580</v>
      </c>
      <c r="BI4" s="132" t="s">
        <v>581</v>
      </c>
      <c r="BJ4" s="132" t="s">
        <v>582</v>
      </c>
      <c r="BK4" s="132" t="s">
        <v>583</v>
      </c>
      <c r="BL4" s="132" t="s">
        <v>584</v>
      </c>
      <c r="BM4" s="132" t="s">
        <v>585</v>
      </c>
      <c r="BN4" s="132" t="s">
        <v>586</v>
      </c>
      <c r="BO4" s="132" t="s">
        <v>587</v>
      </c>
      <c r="BP4" s="132" t="s">
        <v>588</v>
      </c>
      <c r="BQ4" s="132" t="s">
        <v>589</v>
      </c>
      <c r="BR4" s="132" t="s">
        <v>590</v>
      </c>
      <c r="BS4" s="132" t="s">
        <v>591</v>
      </c>
      <c r="BT4" s="132" t="s">
        <v>592</v>
      </c>
    </row>
    <row r="5" spans="1:72" ht="14.4" customHeight="1" x14ac:dyDescent="0.25">
      <c r="A5" s="152" t="s">
        <v>593</v>
      </c>
      <c r="B5" s="131" t="s">
        <v>594</v>
      </c>
      <c r="C5" s="154" t="str">
        <f>IF(综合数据!B10=TRUE,"探索龙纹","")</f>
        <v>探索龙纹</v>
      </c>
      <c r="D5" s="154" t="str">
        <f>IF(综合数据!B10=TRUE,"畜牧龙纹","")</f>
        <v>畜牧龙纹</v>
      </c>
      <c r="E5" s="154" t="str">
        <f>IF(综合数据!B10=TRUE,"创造龙纹","")</f>
        <v>创造龙纹</v>
      </c>
      <c r="F5" s="154" t="str">
        <f>IF(综合数据!B10=TRUE,"通行龙纹","")</f>
        <v>通行龙纹</v>
      </c>
      <c r="G5" s="154" t="str">
        <f>IF(综合数据!B10=TRUE,"守护龙纹","")</f>
        <v>守护龙纹</v>
      </c>
      <c r="H5" s="168" t="str">
        <f>IF(综合数据!B19=TRUE,"加渥尼","")</f>
        <v/>
      </c>
      <c r="I5" s="168" t="str">
        <f>IF(综合数据!B19=TRUE,"凯锡革","")</f>
        <v/>
      </c>
      <c r="J5" s="168" t="str">
        <f>IF(综合数据!B19=TRUE,"涅非利亚","")</f>
        <v/>
      </c>
      <c r="K5" s="168" t="str">
        <f>IF(综合数据!B19=TRUE,"史顿襄","")</f>
        <v/>
      </c>
      <c r="L5" s="130" t="str">
        <f>""</f>
        <v/>
      </c>
      <c r="M5" s="130" t="str">
        <f>""</f>
        <v/>
      </c>
      <c r="N5" s="130" t="str">
        <f>""</f>
        <v/>
      </c>
      <c r="O5" s="155" t="str">
        <f>""</f>
        <v/>
      </c>
      <c r="R5" s="156" t="s">
        <v>595</v>
      </c>
      <c r="S5" s="157" t="str">
        <f t="array" ref="S5">INDEX(A:A,SMALL(IF($A$2:$A$45&lt;&gt;"",ROW($2:$45),46),ROW(A4)))&amp;""</f>
        <v>人类</v>
      </c>
      <c r="T5" s="130" t="e">
        <f>INDEX($B$2:$K$45,$T$2,3)</f>
        <v>#N/A</v>
      </c>
      <c r="U5" s="130" t="e">
        <f t="array" ref="U5">INDEX(T:T,SMALL(IF($T$3:$T$15&lt;&gt;"",ROW($3:$15),16),ROW(T4)))&amp;""</f>
        <v>#N/A</v>
      </c>
      <c r="V5" s="115" t="s">
        <v>596</v>
      </c>
      <c r="W5" s="106" t="s">
        <v>109</v>
      </c>
      <c r="X5" s="106" t="s">
        <v>169</v>
      </c>
      <c r="Y5" s="116" t="s">
        <v>597</v>
      </c>
      <c r="Z5" s="130" t="str">
        <f>IFERROR(IF(COUNTIF($AB$2:$AB$15,$W9),"",W9),"")</f>
        <v>语言</v>
      </c>
      <c r="AA5" s="130" t="str">
        <f t="array" ref="AA5">INDEX(Z:Z,SMALL(IF($Z$2:$Z$16&lt;&gt;"",ROW($2:$16),17),ROW(Z4)))&amp;""</f>
        <v/>
      </c>
      <c r="AB5" s="159" t="str">
        <f>IF(主要!$Z87="",0,主要!$Z87)</f>
        <v>深厚学识</v>
      </c>
      <c r="AC5" s="132" t="str">
        <f t="shared" si="1"/>
        <v/>
      </c>
      <c r="AD5" s="160">
        <f t="shared" si="5"/>
        <v>1</v>
      </c>
      <c r="AE5" s="153" t="s">
        <v>556</v>
      </c>
      <c r="AF5" s="153"/>
      <c r="AG5" s="153">
        <v>8</v>
      </c>
      <c r="AH5" s="153">
        <f>IF(V2&lt;3,9,10)</f>
        <v>9</v>
      </c>
      <c r="AI5" s="169" t="s">
        <v>598</v>
      </c>
      <c r="AJ5" s="162" t="s">
        <v>599</v>
      </c>
      <c r="AK5" s="162" t="str">
        <f t="shared" si="3"/>
        <v>中型</v>
      </c>
      <c r="AL5" s="162" t="str">
        <f t="shared" si="3"/>
        <v>基础步行速度为25尺，你的速度不会因穿着重甲而减慢</v>
      </c>
      <c r="AM5" s="163" t="str">
        <f t="shared" si="3"/>
        <v>和矮人语</v>
      </c>
      <c r="AN5" s="132" t="s">
        <v>600</v>
      </c>
      <c r="AO5" s="164" t="s">
        <v>601</v>
      </c>
      <c r="AP5" s="132" t="s">
        <v>602</v>
      </c>
      <c r="AQ5" s="132" t="s">
        <v>603</v>
      </c>
      <c r="AR5" s="132" t="s">
        <v>604</v>
      </c>
      <c r="AS5" s="132" t="s">
        <v>605</v>
      </c>
      <c r="AT5" s="132" t="s">
        <v>606</v>
      </c>
      <c r="AU5" s="132" t="s">
        <v>607</v>
      </c>
      <c r="AV5" s="132" t="s">
        <v>608</v>
      </c>
      <c r="AW5" s="132" t="s">
        <v>609</v>
      </c>
      <c r="AX5" s="132" t="s">
        <v>610</v>
      </c>
      <c r="AY5" s="132" t="s">
        <v>611</v>
      </c>
      <c r="AZ5" s="132" t="s">
        <v>612</v>
      </c>
      <c r="BA5" s="132" t="s">
        <v>613</v>
      </c>
      <c r="BB5" s="132" t="s">
        <v>614</v>
      </c>
      <c r="BC5" s="132" t="s">
        <v>615</v>
      </c>
      <c r="BD5" s="132" t="s">
        <v>616</v>
      </c>
      <c r="BE5" s="132" t="s">
        <v>617</v>
      </c>
      <c r="BF5" s="132" t="s">
        <v>618</v>
      </c>
      <c r="BG5" s="132" t="s">
        <v>619</v>
      </c>
      <c r="BH5" s="132" t="s">
        <v>620</v>
      </c>
      <c r="BI5" s="132" t="s">
        <v>621</v>
      </c>
      <c r="BJ5" s="132" t="s">
        <v>622</v>
      </c>
      <c r="BK5" s="132" t="s">
        <v>623</v>
      </c>
      <c r="BL5" s="132" t="s">
        <v>624</v>
      </c>
      <c r="BM5" s="132" t="s">
        <v>625</v>
      </c>
      <c r="BN5" s="132" t="s">
        <v>626</v>
      </c>
      <c r="BO5" s="132" t="s">
        <v>627</v>
      </c>
      <c r="BP5" s="132" t="s">
        <v>628</v>
      </c>
      <c r="BQ5" s="132" t="s">
        <v>629</v>
      </c>
      <c r="BR5" s="132" t="s">
        <v>630</v>
      </c>
      <c r="BS5" s="132" t="s">
        <v>631</v>
      </c>
      <c r="BT5" s="132" t="s">
        <v>632</v>
      </c>
    </row>
    <row r="6" spans="1:72" ht="14.4" customHeight="1" x14ac:dyDescent="0.25">
      <c r="A6" s="152" t="s">
        <v>633</v>
      </c>
      <c r="B6" s="165" t="str">
        <f>IF(综合数据!B11=TRUE,"龙国血统","")</f>
        <v>龙国血统</v>
      </c>
      <c r="C6" s="165" t="str">
        <f>IF(综合数据!B11=TRUE,"瑞雯奈特","")</f>
        <v>瑞雯奈特</v>
      </c>
      <c r="D6" s="170" t="str">
        <f>IF(综合数据!B16=TRUE,"色彩龙血统","")</f>
        <v>色彩龙血统</v>
      </c>
      <c r="E6" s="170" t="str">
        <f>IF(综合数据!B16=TRUE,"宝石龙血统","")</f>
        <v>宝石龙血统</v>
      </c>
      <c r="F6" s="170" t="str">
        <f>IF(综合数据!B16=TRUE,"金属龙血统","")</f>
        <v>金属龙血统</v>
      </c>
      <c r="G6" s="130" t="str">
        <f t="shared" ref="G6:O6" si="6">""</f>
        <v/>
      </c>
      <c r="H6" s="130" t="str">
        <f t="shared" si="6"/>
        <v/>
      </c>
      <c r="I6" s="130" t="str">
        <f t="shared" si="6"/>
        <v/>
      </c>
      <c r="J6" s="130" t="str">
        <f t="shared" si="6"/>
        <v/>
      </c>
      <c r="K6" s="130" t="str">
        <f t="shared" si="6"/>
        <v/>
      </c>
      <c r="L6" s="130" t="str">
        <f t="shared" si="6"/>
        <v/>
      </c>
      <c r="M6" s="130" t="str">
        <f t="shared" si="6"/>
        <v/>
      </c>
      <c r="N6" s="130" t="str">
        <f t="shared" si="6"/>
        <v/>
      </c>
      <c r="O6" s="155" t="str">
        <f t="shared" si="6"/>
        <v/>
      </c>
      <c r="R6" s="156" t="s">
        <v>634</v>
      </c>
      <c r="S6" s="157" t="str">
        <f t="array" ref="S6">INDEX(A:A,SMALL(IF($A$2:$A$45&lt;&gt;"",ROW($2:$45),46),ROW(A5)))&amp;""</f>
        <v>龙裔</v>
      </c>
      <c r="T6" s="130" t="e">
        <f>INDEX($B$2:$K$45,$T$2,4)</f>
        <v>#N/A</v>
      </c>
      <c r="U6" s="130" t="e">
        <f t="array" ref="U6">INDEX(T:T,SMALL(IF($T$3:$T$15&lt;&gt;"",ROW($3:$15),16),ROW(T5)))&amp;""</f>
        <v>#N/A</v>
      </c>
      <c r="V6" s="115"/>
      <c r="W6" s="106" t="s">
        <v>232</v>
      </c>
      <c r="X6" s="106" t="e">
        <f>IF(T18=0,"",IF(V4=0,VLOOKUP($V$3,$AI:$AJ,2,0),VLOOKUP($V$4,$AI:$AJ,2,0)))</f>
        <v>#N/A</v>
      </c>
      <c r="Y6" s="116"/>
      <c r="Z6" s="130" t="str">
        <f t="shared" ref="Z6:Z16" si="7">IFERROR(IF(OR($W10="",COUNTIF($AB$2:$AB$15,$W10)),"",W10),"")</f>
        <v/>
      </c>
      <c r="AA6" s="130" t="str">
        <f t="array" ref="AA6">INDEX(Z:Z,SMALL(IF($Z$2:$Z$16&lt;&gt;"",ROW($2:$16),17),ROW(Z5)))&amp;""</f>
        <v/>
      </c>
      <c r="AB6" s="159" t="str">
        <f>IF(主要!$Z88="",0,主要!$Z88)</f>
        <v xml:space="preserve">罗伊纳的图书馆
</v>
      </c>
      <c r="AC6" s="132" t="str">
        <f t="shared" si="1"/>
        <v/>
      </c>
      <c r="AD6" s="160">
        <f t="shared" si="5"/>
        <v>1</v>
      </c>
      <c r="AE6" s="154" t="s">
        <v>598</v>
      </c>
      <c r="AF6" s="154"/>
      <c r="AG6" s="154">
        <v>11</v>
      </c>
      <c r="AH6" s="154">
        <v>13</v>
      </c>
      <c r="AI6" s="152" t="s">
        <v>515</v>
      </c>
      <c r="AJ6" s="162" t="s">
        <v>635</v>
      </c>
      <c r="AK6" s="162" t="s">
        <v>478</v>
      </c>
      <c r="AL6" s="162" t="s">
        <v>558</v>
      </c>
      <c r="AM6" s="163" t="s">
        <v>636</v>
      </c>
      <c r="AN6" s="132" t="s">
        <v>637</v>
      </c>
      <c r="AO6" s="164" t="s">
        <v>638</v>
      </c>
      <c r="AP6" s="132" t="s">
        <v>639</v>
      </c>
      <c r="AQ6" s="132" t="s">
        <v>640</v>
      </c>
      <c r="AR6" s="132" t="s">
        <v>641</v>
      </c>
      <c r="AS6" s="132" t="s">
        <v>642</v>
      </c>
      <c r="AT6" s="132" t="s">
        <v>643</v>
      </c>
      <c r="AU6" s="132" t="s">
        <v>644</v>
      </c>
      <c r="AV6" s="132" t="s">
        <v>645</v>
      </c>
      <c r="AW6" s="132" t="s">
        <v>646</v>
      </c>
      <c r="AX6" s="132"/>
      <c r="AY6" s="132"/>
      <c r="AZ6" s="132"/>
      <c r="BA6" s="132"/>
      <c r="BB6" s="132"/>
      <c r="BC6" s="132"/>
      <c r="BD6" s="132"/>
      <c r="BE6" s="132"/>
      <c r="BF6" s="132"/>
      <c r="BG6" s="132" t="s">
        <v>647</v>
      </c>
      <c r="BH6" s="132" t="s">
        <v>648</v>
      </c>
      <c r="BI6" s="132" t="s">
        <v>649</v>
      </c>
      <c r="BJ6" s="132" t="s">
        <v>650</v>
      </c>
      <c r="BK6" s="132" t="s">
        <v>651</v>
      </c>
      <c r="BL6" s="132" t="s">
        <v>652</v>
      </c>
      <c r="BM6" s="132" t="s">
        <v>653</v>
      </c>
      <c r="BN6" s="132" t="s">
        <v>654</v>
      </c>
      <c r="BO6" s="132" t="s">
        <v>655</v>
      </c>
      <c r="BP6" s="132" t="s">
        <v>656</v>
      </c>
      <c r="BQ6" s="132" t="s">
        <v>657</v>
      </c>
      <c r="BR6" s="132" t="s">
        <v>658</v>
      </c>
      <c r="BS6" s="132" t="s">
        <v>659</v>
      </c>
      <c r="BT6" s="132" t="s">
        <v>660</v>
      </c>
    </row>
    <row r="7" spans="1:72" ht="14.4" customHeight="1" x14ac:dyDescent="0.25">
      <c r="A7" s="152" t="s">
        <v>661</v>
      </c>
      <c r="B7" s="131" t="s">
        <v>662</v>
      </c>
      <c r="C7" s="131" t="s">
        <v>663</v>
      </c>
      <c r="D7" s="153" t="str">
        <f>IF(OR(综合数据!B8=TRUE,综合数据!B18=TRUE),"地底侏儒","")</f>
        <v>地底侏儒</v>
      </c>
      <c r="E7" s="154" t="str">
        <f>IF(综合数据!B10=TRUE,"抄录龙纹","")</f>
        <v>抄录龙纹</v>
      </c>
      <c r="F7" s="130" t="str">
        <f t="shared" ref="F7:O7" si="8">""</f>
        <v/>
      </c>
      <c r="G7" s="130" t="str">
        <f t="shared" si="8"/>
        <v/>
      </c>
      <c r="H7" s="130" t="str">
        <f t="shared" si="8"/>
        <v/>
      </c>
      <c r="I7" s="130" t="str">
        <f t="shared" si="8"/>
        <v/>
      </c>
      <c r="J7" s="130" t="str">
        <f t="shared" si="8"/>
        <v/>
      </c>
      <c r="K7" s="130" t="str">
        <f t="shared" si="8"/>
        <v/>
      </c>
      <c r="L7" s="130" t="str">
        <f t="shared" si="8"/>
        <v/>
      </c>
      <c r="M7" s="130" t="str">
        <f t="shared" si="8"/>
        <v/>
      </c>
      <c r="N7" s="130" t="str">
        <f t="shared" si="8"/>
        <v/>
      </c>
      <c r="O7" s="155" t="str">
        <f t="shared" si="8"/>
        <v/>
      </c>
      <c r="R7" s="171" t="s">
        <v>664</v>
      </c>
      <c r="S7" s="157" t="str">
        <f t="array" ref="S7">INDEX(A:A,SMALL(IF($A$2:$A$45&lt;&gt;"",ROW($2:$45),46),ROW(A6)))&amp;""</f>
        <v>侏儒</v>
      </c>
      <c r="T7" s="130" t="e">
        <f>INDEX($B$2:$K$45,$T$2,5)</f>
        <v>#N/A</v>
      </c>
      <c r="U7" s="130" t="e">
        <f t="array" ref="U7">INDEX(T:T,SMALL(IF($T$3:$T$15&lt;&gt;"",ROW($3:$15),16),ROW(T6)))&amp;""</f>
        <v>#N/A</v>
      </c>
      <c r="V7" s="115"/>
      <c r="W7" s="106" t="s">
        <v>97</v>
      </c>
      <c r="X7" s="106" t="e">
        <f>IF(T18=0,"",IF(V4=0,VLOOKUP($V$3,$AI:$AK,3,0),VLOOKUP($V$4,$AI:$AK,3,0)))</f>
        <v>#N/A</v>
      </c>
      <c r="Y7" s="116"/>
      <c r="Z7" s="130" t="str">
        <f t="shared" si="7"/>
        <v/>
      </c>
      <c r="AA7" s="130" t="str">
        <f t="array" ref="AA7">INDEX(Z:Z,SMALL(IF($Z$2:$Z$16&lt;&gt;"",ROW($2:$16),17),ROW(Z6)))&amp;""</f>
        <v/>
      </c>
      <c r="AB7" s="159" t="str">
        <f>IF(主要!$Z89="",0,主要!$Z89)</f>
        <v>额外专长</v>
      </c>
      <c r="AC7" s="132" t="str">
        <f t="shared" si="1"/>
        <v/>
      </c>
      <c r="AD7" s="160">
        <f t="shared" si="5"/>
        <v>1</v>
      </c>
      <c r="AE7" s="161" t="s">
        <v>514</v>
      </c>
      <c r="AF7" s="161">
        <f>AF2+1</f>
        <v>2</v>
      </c>
      <c r="AG7" s="161">
        <v>1</v>
      </c>
      <c r="AH7" s="161">
        <v>4</v>
      </c>
      <c r="AI7" s="152" t="s">
        <v>516</v>
      </c>
      <c r="AJ7" s="162" t="s">
        <v>665</v>
      </c>
      <c r="AK7" s="162" t="str">
        <f t="shared" ref="AK7:AM9" si="9">AK$6</f>
        <v>中型</v>
      </c>
      <c r="AL7" s="162" t="str">
        <f t="shared" si="9"/>
        <v>基础步行速度为30尺</v>
      </c>
      <c r="AM7" s="163" t="str">
        <f t="shared" si="9"/>
        <v>和精灵语</v>
      </c>
      <c r="AN7" s="132" t="s">
        <v>666</v>
      </c>
      <c r="AO7" s="164" t="s">
        <v>667</v>
      </c>
      <c r="AP7" s="132" t="s">
        <v>668</v>
      </c>
      <c r="AQ7" s="132" t="s">
        <v>669</v>
      </c>
      <c r="AR7" s="132" t="s">
        <v>670</v>
      </c>
      <c r="AS7" s="132" t="s">
        <v>671</v>
      </c>
      <c r="AT7" s="132" t="s">
        <v>672</v>
      </c>
      <c r="AU7" s="132" t="s">
        <v>673</v>
      </c>
      <c r="AV7" s="132" t="s">
        <v>674</v>
      </c>
      <c r="AW7" s="132" t="s">
        <v>675</v>
      </c>
      <c r="AX7" s="132"/>
      <c r="AY7" s="132"/>
      <c r="AZ7" s="132"/>
      <c r="BA7" s="132"/>
      <c r="BB7" s="132"/>
      <c r="BC7" s="132"/>
      <c r="BD7" s="132"/>
      <c r="BE7" s="132"/>
      <c r="BF7" s="132"/>
      <c r="BG7" s="132" t="s">
        <v>676</v>
      </c>
      <c r="BH7" s="132" t="s">
        <v>677</v>
      </c>
      <c r="BI7" s="132" t="s">
        <v>678</v>
      </c>
      <c r="BJ7" s="132" t="s">
        <v>679</v>
      </c>
      <c r="BK7" s="132" t="s">
        <v>680</v>
      </c>
      <c r="BL7" s="132" t="s">
        <v>681</v>
      </c>
      <c r="BM7" s="132" t="s">
        <v>682</v>
      </c>
      <c r="BN7" s="132" t="s">
        <v>683</v>
      </c>
      <c r="BO7" s="132" t="s">
        <v>684</v>
      </c>
      <c r="BP7" s="132" t="s">
        <v>685</v>
      </c>
      <c r="BQ7" s="132" t="s">
        <v>686</v>
      </c>
      <c r="BR7" s="132" t="s">
        <v>687</v>
      </c>
      <c r="BS7" s="132" t="s">
        <v>688</v>
      </c>
      <c r="BT7" s="132" t="s">
        <v>689</v>
      </c>
    </row>
    <row r="8" spans="1:72" ht="14.4" customHeight="1" x14ac:dyDescent="0.25">
      <c r="A8" s="152" t="s">
        <v>690</v>
      </c>
      <c r="B8" s="166" t="str">
        <f>IF(综合数据!B5=TRUE,"半木精灵","")</f>
        <v>半木精灵</v>
      </c>
      <c r="C8" s="166" t="str">
        <f>IF(综合数据!B5=TRUE,"半月精灵","")</f>
        <v>半月精灵</v>
      </c>
      <c r="D8" s="166" t="str">
        <f>IF(综合数据!B5=TRUE,"半日精灵","")</f>
        <v>半日精灵</v>
      </c>
      <c r="E8" s="166" t="str">
        <f>IF(综合数据!B5=TRUE,"半卓尔精灵","")</f>
        <v>半卓尔精灵</v>
      </c>
      <c r="F8" s="166" t="str">
        <f>IF(综合数据!B5=TRUE,"半水生精灵","")</f>
        <v>半水生精灵</v>
      </c>
      <c r="G8" s="154" t="str">
        <f>IF(综合数据!B10=TRUE,"侦测龙纹","")</f>
        <v>侦测龙纹</v>
      </c>
      <c r="H8" s="154" t="str">
        <f>IF(综合数据!B10=TRUE,"暴风龙纹","")</f>
        <v>暴风龙纹</v>
      </c>
      <c r="I8" s="130" t="str">
        <f t="shared" ref="I8:O8" si="10">""</f>
        <v/>
      </c>
      <c r="J8" s="130" t="str">
        <f t="shared" si="10"/>
        <v/>
      </c>
      <c r="K8" s="130" t="str">
        <f t="shared" si="10"/>
        <v/>
      </c>
      <c r="L8" s="130" t="str">
        <f t="shared" si="10"/>
        <v/>
      </c>
      <c r="M8" s="130" t="str">
        <f t="shared" si="10"/>
        <v/>
      </c>
      <c r="N8" s="130" t="str">
        <f t="shared" si="10"/>
        <v/>
      </c>
      <c r="O8" s="155" t="str">
        <f t="shared" si="10"/>
        <v/>
      </c>
      <c r="S8" s="157" t="str">
        <f t="array" ref="S8">INDEX(A:A,SMALL(IF($A$2:$A$45&lt;&gt;"",ROW($2:$45),46),ROW(A7)))&amp;""</f>
        <v>半精灵</v>
      </c>
      <c r="T8" s="130" t="e">
        <f>INDEX($B$2:$K$45,$T$2,6)</f>
        <v>#N/A</v>
      </c>
      <c r="U8" s="130" t="e">
        <f t="array" ref="U8">INDEX(T:T,SMALL(IF($T$3:$T$15&lt;&gt;"",ROW($3:$15),16),ROW(T7)))&amp;""</f>
        <v>#N/A</v>
      </c>
      <c r="V8" s="115"/>
      <c r="W8" s="106" t="s">
        <v>98</v>
      </c>
      <c r="X8" s="106" t="e">
        <f>IF(T18=0,"",IF(V4=0,VLOOKUP($V$3,$AI:$AL,4,0),VLOOKUP($V$4,$AI:$AL,4,0)))</f>
        <v>#N/A</v>
      </c>
      <c r="Y8" s="116"/>
      <c r="Z8" s="130" t="str">
        <f t="shared" si="7"/>
        <v/>
      </c>
      <c r="AA8" s="130" t="str">
        <f t="array" ref="AA8">INDEX(Z:Z,SMALL(IF($Z$2:$Z$16&lt;&gt;"",ROW($2:$16),17),ROW(Z7)))&amp;""</f>
        <v/>
      </c>
      <c r="AB8" s="159">
        <f>IF(主要!$Z90="",0,主要!$Z90)</f>
        <v>0</v>
      </c>
      <c r="AC8" s="132" t="str">
        <f t="shared" si="1"/>
        <v/>
      </c>
      <c r="AD8" s="160" t="str">
        <f t="shared" si="5"/>
        <v/>
      </c>
      <c r="AE8" s="131" t="s">
        <v>515</v>
      </c>
      <c r="AF8" s="131"/>
      <c r="AG8" s="131">
        <v>5</v>
      </c>
      <c r="AH8" s="131">
        <v>7</v>
      </c>
      <c r="AI8" s="152" t="s">
        <v>517</v>
      </c>
      <c r="AJ8" s="162" t="s">
        <v>691</v>
      </c>
      <c r="AK8" s="162" t="str">
        <f t="shared" si="9"/>
        <v>中型</v>
      </c>
      <c r="AL8" s="162" t="str">
        <f t="shared" si="9"/>
        <v>基础步行速度为30尺</v>
      </c>
      <c r="AM8" s="163" t="str">
        <f t="shared" si="9"/>
        <v>和精灵语</v>
      </c>
      <c r="AN8" s="132"/>
      <c r="AO8" s="132"/>
      <c r="AP8" s="132" t="s">
        <v>692</v>
      </c>
      <c r="AQ8" s="132" t="s">
        <v>693</v>
      </c>
      <c r="AR8" s="132" t="s">
        <v>694</v>
      </c>
      <c r="AS8" s="132"/>
      <c r="AT8" s="132" t="s">
        <v>695</v>
      </c>
      <c r="AU8" s="132" t="s">
        <v>696</v>
      </c>
      <c r="AV8" s="132" t="s">
        <v>697</v>
      </c>
      <c r="AW8" s="132" t="s">
        <v>698</v>
      </c>
      <c r="AX8" s="132"/>
      <c r="AY8" s="132"/>
      <c r="AZ8" s="132"/>
      <c r="BA8" s="132"/>
      <c r="BB8" s="132"/>
      <c r="BC8" s="132"/>
      <c r="BD8" s="132"/>
      <c r="BE8" s="132"/>
      <c r="BF8" s="132"/>
      <c r="BG8" s="132" t="s">
        <v>699</v>
      </c>
      <c r="BH8" s="132" t="s">
        <v>700</v>
      </c>
      <c r="BI8" s="132" t="s">
        <v>701</v>
      </c>
      <c r="BJ8" s="132" t="s">
        <v>702</v>
      </c>
      <c r="BK8" s="132" t="s">
        <v>703</v>
      </c>
      <c r="BL8" s="132" t="s">
        <v>704</v>
      </c>
      <c r="BM8" s="132" t="s">
        <v>705</v>
      </c>
      <c r="BN8" s="132" t="s">
        <v>706</v>
      </c>
      <c r="BO8" s="132" t="s">
        <v>707</v>
      </c>
      <c r="BP8" s="132" t="s">
        <v>708</v>
      </c>
      <c r="BQ8" s="132"/>
      <c r="BR8" s="132"/>
      <c r="BS8" s="132" t="s">
        <v>709</v>
      </c>
      <c r="BT8" s="132"/>
    </row>
    <row r="9" spans="1:72" ht="14.4" customHeight="1" x14ac:dyDescent="0.25">
      <c r="A9" s="152" t="s">
        <v>710</v>
      </c>
      <c r="B9" s="154" t="str">
        <f>IF(综合数据!B10=TRUE,"探索龙纹","")</f>
        <v>探索龙纹</v>
      </c>
      <c r="C9" s="168" t="str">
        <f>IF(综合数据!B19=TRUE,"阿芒凯牛头怪","")</f>
        <v/>
      </c>
      <c r="D9" s="130" t="str">
        <f t="shared" ref="D9:O9" si="11">""</f>
        <v/>
      </c>
      <c r="E9" s="130" t="str">
        <f t="shared" si="11"/>
        <v/>
      </c>
      <c r="F9" s="130" t="str">
        <f t="shared" si="11"/>
        <v/>
      </c>
      <c r="G9" s="130" t="str">
        <f t="shared" si="11"/>
        <v/>
      </c>
      <c r="H9" s="130" t="str">
        <f t="shared" si="11"/>
        <v/>
      </c>
      <c r="I9" s="130" t="str">
        <f t="shared" si="11"/>
        <v/>
      </c>
      <c r="J9" s="130" t="str">
        <f t="shared" si="11"/>
        <v/>
      </c>
      <c r="K9" s="130" t="str">
        <f t="shared" si="11"/>
        <v/>
      </c>
      <c r="L9" s="130" t="str">
        <f t="shared" si="11"/>
        <v/>
      </c>
      <c r="M9" s="130" t="str">
        <f t="shared" si="11"/>
        <v/>
      </c>
      <c r="N9" s="130" t="str">
        <f t="shared" si="11"/>
        <v/>
      </c>
      <c r="O9" s="155" t="str">
        <f t="shared" si="11"/>
        <v/>
      </c>
      <c r="S9" s="157" t="str">
        <f t="array" ref="S9">INDEX(A:A,SMALL(IF($A$2:$A$45&lt;&gt;"",ROW($2:$45),46),ROW(A8)))&amp;""</f>
        <v>半兽人</v>
      </c>
      <c r="T9" s="130" t="e">
        <f>INDEX($B$2:$K$45,$T$2,7)</f>
        <v>#N/A</v>
      </c>
      <c r="U9" s="130" t="e">
        <f t="array" ref="U9">INDEX(T:T,SMALL(IF($T$3:$T$15&lt;&gt;"",ROW($3:$15),16),ROW(T8)))&amp;""</f>
        <v>#N/A</v>
      </c>
      <c r="V9" s="115"/>
      <c r="W9" s="106" t="s">
        <v>21</v>
      </c>
      <c r="X9" s="106" t="e">
        <f>IF(T18=0,"","能说、读、写通用语"&amp;IF(V4=0,VLOOKUP($V$3,$AI:$AM,5,0),VLOOKUP($V$4,$AI:$AM,5,0)))</f>
        <v>#N/A</v>
      </c>
      <c r="Y9" s="116"/>
      <c r="Z9" s="130" t="str">
        <f t="shared" si="7"/>
        <v/>
      </c>
      <c r="AA9" s="130" t="str">
        <f t="array" ref="AA9">INDEX(Z:Z,SMALL(IF($Z$2:$Z$16&lt;&gt;"",ROW($2:$16),17),ROW(Z8)))&amp;""</f>
        <v/>
      </c>
      <c r="AB9" s="159">
        <f>IF(主要!$Z91="",0,主要!$Z91)</f>
        <v>0</v>
      </c>
      <c r="AC9" s="132" t="str">
        <f t="shared" si="1"/>
        <v/>
      </c>
      <c r="AD9" s="160" t="str">
        <f t="shared" si="5"/>
        <v/>
      </c>
      <c r="AE9" s="131" t="s">
        <v>516</v>
      </c>
      <c r="AF9" s="131"/>
      <c r="AG9" s="131">
        <v>8</v>
      </c>
      <c r="AH9" s="131">
        <v>10</v>
      </c>
      <c r="AI9" s="167" t="s">
        <v>711</v>
      </c>
      <c r="AJ9" s="162" t="s">
        <v>557</v>
      </c>
      <c r="AK9" s="162" t="str">
        <f t="shared" si="9"/>
        <v>中型</v>
      </c>
      <c r="AL9" s="162" t="str">
        <f t="shared" si="9"/>
        <v>基础步行速度为30尺</v>
      </c>
      <c r="AM9" s="163" t="s">
        <v>559</v>
      </c>
      <c r="AN9" s="132"/>
      <c r="AO9" s="132"/>
      <c r="AP9" s="132" t="s">
        <v>712</v>
      </c>
      <c r="AQ9" s="132" t="s">
        <v>713</v>
      </c>
      <c r="AR9" s="132" t="s">
        <v>714</v>
      </c>
      <c r="AS9" s="132"/>
      <c r="AT9" s="132" t="s">
        <v>715</v>
      </c>
      <c r="AU9" s="132" t="s">
        <v>716</v>
      </c>
      <c r="AV9" s="132" t="s">
        <v>717</v>
      </c>
      <c r="AW9" s="132" t="s">
        <v>718</v>
      </c>
      <c r="AX9" s="132"/>
      <c r="AY9" s="132"/>
      <c r="AZ9" s="132"/>
      <c r="BA9" s="132"/>
      <c r="BB9" s="132"/>
      <c r="BC9" s="132"/>
      <c r="BD9" s="132"/>
      <c r="BE9" s="132"/>
      <c r="BF9" s="132"/>
      <c r="BG9" s="132" t="s">
        <v>719</v>
      </c>
      <c r="BH9" s="132" t="s">
        <v>720</v>
      </c>
      <c r="BI9" s="132" t="s">
        <v>721</v>
      </c>
      <c r="BJ9" s="132" t="s">
        <v>722</v>
      </c>
      <c r="BK9" s="132" t="s">
        <v>723</v>
      </c>
      <c r="BL9" s="132" t="s">
        <v>724</v>
      </c>
      <c r="BM9" s="132" t="s">
        <v>725</v>
      </c>
      <c r="BN9" s="132" t="s">
        <v>726</v>
      </c>
      <c r="BO9" s="132"/>
      <c r="BP9" s="132" t="s">
        <v>727</v>
      </c>
      <c r="BQ9" s="132"/>
      <c r="BR9" s="132"/>
      <c r="BS9" s="132" t="s">
        <v>728</v>
      </c>
      <c r="BT9" s="132"/>
    </row>
    <row r="10" spans="1:72" ht="14.4" customHeight="1" x14ac:dyDescent="0.25">
      <c r="A10" s="152" t="s">
        <v>729</v>
      </c>
      <c r="B10" s="166" t="str">
        <f>IF(综合数据!B5=TRUE,"提夫林变体","")</f>
        <v>提夫林变体</v>
      </c>
      <c r="C10" s="153" t="str">
        <f>IF(综合数据!B8=TRUE,"巴尔泽布","")</f>
        <v>巴尔泽布</v>
      </c>
      <c r="D10" s="153" t="str">
        <f>IF(综合数据!B8=TRUE,"迪斯帕特","")</f>
        <v>迪斯帕特</v>
      </c>
      <c r="E10" s="153" t="str">
        <f>IF(综合数据!B8=TRUE,"菲尔娜","")</f>
        <v>菲尔娜</v>
      </c>
      <c r="F10" s="153" t="str">
        <f>IF(综合数据!B8=TRUE,"格莱西雅","")</f>
        <v>格莱西雅</v>
      </c>
      <c r="G10" s="153" t="str">
        <f>IF(综合数据!B8=TRUE,"莱维斯图斯","")</f>
        <v>莱维斯图斯</v>
      </c>
      <c r="H10" s="153" t="str">
        <f>IF(综合数据!B8=TRUE,"马曼","")</f>
        <v>马曼</v>
      </c>
      <c r="I10" s="153" t="str">
        <f>IF(综合数据!B8=TRUE,"墨菲斯托菲利斯","")</f>
        <v>墨菲斯托菲利斯</v>
      </c>
      <c r="J10" s="153" t="str">
        <f>IF(综合数据!B8=TRUE,"扎瑞尔","")</f>
        <v>扎瑞尔</v>
      </c>
      <c r="K10" s="130" t="str">
        <f>""</f>
        <v/>
      </c>
      <c r="L10" s="130" t="str">
        <f>""</f>
        <v/>
      </c>
      <c r="M10" s="130" t="str">
        <f>""</f>
        <v/>
      </c>
      <c r="N10" s="130" t="str">
        <f>""</f>
        <v/>
      </c>
      <c r="O10" s="155" t="str">
        <f>""</f>
        <v/>
      </c>
      <c r="S10" s="157" t="str">
        <f t="array" ref="S10">INDEX(A:A,SMALL(IF($A$2:$A$45&lt;&gt;"",ROW($2:$45),46),ROW(A9)))&amp;""</f>
        <v>提夫林</v>
      </c>
      <c r="T10" s="130" t="e">
        <f>INDEX($B$2:$K$45,$T$2,8)</f>
        <v>#N/A</v>
      </c>
      <c r="U10" s="130" t="e">
        <f t="array" ref="U10">INDEX(T:T,SMALL(IF($T$3:$T$15&lt;&gt;"",ROW($3:$15),16),ROW(T9)))&amp;""</f>
        <v>#N/A</v>
      </c>
      <c r="V10" s="115" t="e">
        <f>IF($V9+1&gt;$Y$3,IF($X$4+$Y9&gt;$Y$4,"",$X$4+$Y9),$V9+1)</f>
        <v>#N/A</v>
      </c>
      <c r="W10" s="106" t="e">
        <f t="shared" ref="W10:W20" si="12">INDEX($B$52:$AD$147,W$4,$V10)</f>
        <v>#N/A</v>
      </c>
      <c r="X10" s="106" t="e">
        <f t="shared" ref="X10:X20" si="13">INDEX($B$52:$AD$147,W$3,$V10)</f>
        <v>#N/A</v>
      </c>
      <c r="Y10" s="116" t="e">
        <f>IF($V9+1&gt;$Y$3,$Y9+1,0)</f>
        <v>#N/A</v>
      </c>
      <c r="Z10" s="130" t="str">
        <f t="shared" si="7"/>
        <v/>
      </c>
      <c r="AA10" s="130" t="str">
        <f t="array" ref="AA10">INDEX(Z:Z,SMALL(IF($Z$2:$Z$16&lt;&gt;"",ROW($2:$16),17),ROW(Z9)))&amp;""</f>
        <v/>
      </c>
      <c r="AB10" s="159">
        <f>IF(主要!$Z92="",0,主要!$Z92)</f>
        <v>0</v>
      </c>
      <c r="AC10" s="132" t="str">
        <f t="shared" si="1"/>
        <v/>
      </c>
      <c r="AD10" s="160" t="str">
        <f t="shared" si="5"/>
        <v/>
      </c>
      <c r="AE10" s="131" t="s">
        <v>517</v>
      </c>
      <c r="AF10" s="131"/>
      <c r="AG10" s="131">
        <v>11</v>
      </c>
      <c r="AH10" s="131">
        <v>14</v>
      </c>
      <c r="AI10" s="167" t="s">
        <v>730</v>
      </c>
      <c r="AJ10" s="162" t="str">
        <f>AJ9</f>
        <v>自选两项属性分别+2/+1或自选三项属性+1</v>
      </c>
      <c r="AK10" s="162" t="str">
        <f t="shared" ref="AK10:AL13" si="14">AK$6</f>
        <v>中型</v>
      </c>
      <c r="AL10" s="162" t="str">
        <f t="shared" si="14"/>
        <v>基础步行速度为30尺</v>
      </c>
      <c r="AM10" s="163" t="str">
        <f>AM9</f>
        <v>，以及任意一门自选语言</v>
      </c>
      <c r="AN10" s="132"/>
      <c r="AO10" s="132"/>
      <c r="AP10" s="132"/>
      <c r="AQ10" s="132"/>
      <c r="AR10" s="132" t="s">
        <v>731</v>
      </c>
      <c r="AS10" s="132"/>
      <c r="AT10" s="132"/>
      <c r="AU10" s="132"/>
      <c r="AV10" s="132"/>
      <c r="AW10" s="132" t="s">
        <v>173</v>
      </c>
      <c r="AX10" s="132"/>
      <c r="AY10" s="132"/>
      <c r="AZ10" s="132"/>
      <c r="BA10" s="132"/>
      <c r="BB10" s="132"/>
      <c r="BC10" s="132"/>
      <c r="BD10" s="132"/>
      <c r="BE10" s="132"/>
      <c r="BF10" s="132"/>
      <c r="BG10" s="132" t="s">
        <v>732</v>
      </c>
      <c r="BK10" s="132" t="s">
        <v>733</v>
      </c>
      <c r="BL10" s="132" t="s">
        <v>734</v>
      </c>
      <c r="BM10" s="132" t="s">
        <v>735</v>
      </c>
      <c r="BN10" s="132" t="s">
        <v>736</v>
      </c>
    </row>
    <row r="11" spans="1:72" ht="14.4" customHeight="1" x14ac:dyDescent="0.25">
      <c r="A11" s="172" t="str">
        <f>IF(OR(综合数据!B6=TRUE,综合数据!B11=TRUE,综合数据!B18=TRUE),"阿斯莫","")</f>
        <v>阿斯莫</v>
      </c>
      <c r="B11" s="130" t="str">
        <f t="shared" ref="B11:O11" si="15">""</f>
        <v/>
      </c>
      <c r="C11" s="130" t="str">
        <f t="shared" si="15"/>
        <v/>
      </c>
      <c r="D11" s="130" t="str">
        <f t="shared" si="15"/>
        <v/>
      </c>
      <c r="E11" s="130" t="str">
        <f t="shared" si="15"/>
        <v/>
      </c>
      <c r="F11" s="130" t="str">
        <f t="shared" si="15"/>
        <v/>
      </c>
      <c r="G11" s="130" t="str">
        <f t="shared" si="15"/>
        <v/>
      </c>
      <c r="H11" s="130" t="str">
        <f t="shared" si="15"/>
        <v/>
      </c>
      <c r="I11" s="130" t="str">
        <f t="shared" si="15"/>
        <v/>
      </c>
      <c r="J11" s="130" t="str">
        <f t="shared" si="15"/>
        <v/>
      </c>
      <c r="K11" s="130" t="str">
        <f t="shared" si="15"/>
        <v/>
      </c>
      <c r="L11" s="130" t="str">
        <f t="shared" si="15"/>
        <v/>
      </c>
      <c r="M11" s="130" t="str">
        <f t="shared" si="15"/>
        <v/>
      </c>
      <c r="N11" s="130" t="str">
        <f t="shared" si="15"/>
        <v/>
      </c>
      <c r="O11" s="155" t="str">
        <f t="shared" si="15"/>
        <v/>
      </c>
      <c r="S11" s="157" t="str">
        <f t="array" ref="S11">INDEX(A:A,SMALL(IF($A$2:$A$45&lt;&gt;"",ROW($2:$45),46),ROW(A10)))&amp;""</f>
        <v>阿斯莫</v>
      </c>
      <c r="T11" s="130" t="e">
        <f>INDEX($B$2:$K$45,$T$2,9)</f>
        <v>#N/A</v>
      </c>
      <c r="U11" s="130" t="e">
        <f t="array" ref="U11">INDEX(T:T,SMALL(IF($T$3:$T$15&lt;&gt;"",ROW($3:$15),16),ROW(T10)))&amp;""</f>
        <v>#N/A</v>
      </c>
      <c r="V11" s="115" t="e">
        <f t="shared" ref="V11:V20" si="16">IF($V10+1&gt;$Y$3,IF($X$4+$Y10&gt;$Y$4,"",$X$4+$Y10),$V10+1)</f>
        <v>#N/A</v>
      </c>
      <c r="W11" s="106" t="e">
        <f t="shared" si="12"/>
        <v>#N/A</v>
      </c>
      <c r="X11" s="106" t="e">
        <f t="shared" si="13"/>
        <v>#N/A</v>
      </c>
      <c r="Y11" s="116" t="e">
        <f t="shared" ref="Y11:Y16" si="17">IF($V10+1&gt;$Y$3,$Y10+1,0)</f>
        <v>#N/A</v>
      </c>
      <c r="Z11" s="130" t="str">
        <f t="shared" si="7"/>
        <v/>
      </c>
      <c r="AA11" s="130" t="str">
        <f t="array" ref="AA11">INDEX(Z:Z,SMALL(IF($Z$2:$Z$16&lt;&gt;"",ROW($2:$16),17),ROW(Z10)))&amp;""</f>
        <v/>
      </c>
      <c r="AB11" s="159">
        <f>IF(主要!$Z93="",0,主要!$Z93)</f>
        <v>0</v>
      </c>
      <c r="AC11" s="132" t="str">
        <f t="shared" si="1"/>
        <v/>
      </c>
      <c r="AD11" s="160" t="str">
        <f t="shared" si="5"/>
        <v/>
      </c>
      <c r="AE11" s="153" t="s">
        <v>711</v>
      </c>
      <c r="AF11" s="153"/>
      <c r="AG11" s="153">
        <v>15</v>
      </c>
      <c r="AH11" s="153">
        <v>15</v>
      </c>
      <c r="AI11" s="167" t="s">
        <v>737</v>
      </c>
      <c r="AJ11" s="162" t="str">
        <f>AJ9</f>
        <v>自选两项属性分别+2/+1或自选三项属性+1</v>
      </c>
      <c r="AK11" s="162" t="str">
        <f t="shared" si="14"/>
        <v>中型</v>
      </c>
      <c r="AL11" s="162" t="str">
        <f t="shared" si="14"/>
        <v>基础步行速度为30尺</v>
      </c>
      <c r="AM11" s="163" t="str">
        <f>AM9</f>
        <v>，以及任意一门自选语言</v>
      </c>
      <c r="AN11" s="132"/>
      <c r="AO11" s="132"/>
      <c r="AP11" s="132"/>
      <c r="AQ11" s="132"/>
      <c r="AR11" s="132" t="s">
        <v>738</v>
      </c>
      <c r="AS11" s="132"/>
      <c r="AT11" s="132"/>
      <c r="AU11" s="132"/>
      <c r="AV11" s="132"/>
      <c r="AW11" s="132" t="s">
        <v>739</v>
      </c>
      <c r="AX11" s="132"/>
      <c r="AY11" s="132"/>
      <c r="AZ11" s="132"/>
      <c r="BA11" s="132"/>
      <c r="BB11" s="132"/>
      <c r="BC11" s="132"/>
      <c r="BD11" s="132"/>
      <c r="BE11" s="132"/>
      <c r="BF11" s="132"/>
      <c r="BG11" s="132" t="s">
        <v>740</v>
      </c>
      <c r="BK11" s="132" t="s">
        <v>741</v>
      </c>
      <c r="BL11" s="132" t="s">
        <v>742</v>
      </c>
      <c r="BM11" s="132" t="s">
        <v>743</v>
      </c>
      <c r="BN11" s="132" t="s">
        <v>744</v>
      </c>
    </row>
    <row r="12" spans="1:72" ht="14.4" customHeight="1" x14ac:dyDescent="0.25">
      <c r="A12" s="172" t="str">
        <f>IF(OR(综合数据!B6=TRUE,综合数据!B11=TRUE,综合数据!B18=TRUE),"费尔伯格人","")</f>
        <v>费尔伯格人</v>
      </c>
      <c r="B12" s="130" t="str">
        <f t="shared" ref="B12:O12" si="18">""</f>
        <v/>
      </c>
      <c r="C12" s="130" t="str">
        <f t="shared" si="18"/>
        <v/>
      </c>
      <c r="D12" s="130" t="str">
        <f t="shared" si="18"/>
        <v/>
      </c>
      <c r="E12" s="130" t="str">
        <f t="shared" si="18"/>
        <v/>
      </c>
      <c r="F12" s="130" t="str">
        <f t="shared" si="18"/>
        <v/>
      </c>
      <c r="G12" s="130" t="str">
        <f t="shared" si="18"/>
        <v/>
      </c>
      <c r="H12" s="130" t="str">
        <f t="shared" si="18"/>
        <v/>
      </c>
      <c r="I12" s="130" t="str">
        <f t="shared" si="18"/>
        <v/>
      </c>
      <c r="J12" s="130" t="str">
        <f t="shared" si="18"/>
        <v/>
      </c>
      <c r="K12" s="130" t="str">
        <f t="shared" si="18"/>
        <v/>
      </c>
      <c r="L12" s="130" t="str">
        <f t="shared" si="18"/>
        <v/>
      </c>
      <c r="M12" s="130" t="str">
        <f t="shared" si="18"/>
        <v/>
      </c>
      <c r="N12" s="130" t="str">
        <f t="shared" si="18"/>
        <v/>
      </c>
      <c r="O12" s="155" t="str">
        <f t="shared" si="18"/>
        <v/>
      </c>
      <c r="S12" s="157" t="str">
        <f t="array" ref="S12">INDEX(A:A,SMALL(IF($A$2:$A$45&lt;&gt;"",ROW($2:$45),46),ROW(A11)))&amp;""</f>
        <v>费尔伯格人</v>
      </c>
      <c r="T12" s="130" t="e">
        <f>INDEX($B$2:$K$45,$T$2,10)</f>
        <v>#N/A</v>
      </c>
      <c r="U12" s="130" t="e">
        <f t="array" ref="U12">INDEX(T:T,SMALL(IF($T$3:$T$15&lt;&gt;"",ROW($3:$15),16),ROW(T11)))&amp;""</f>
        <v>#N/A</v>
      </c>
      <c r="V12" s="115" t="e">
        <f t="shared" si="16"/>
        <v>#N/A</v>
      </c>
      <c r="W12" s="106" t="e">
        <f t="shared" si="12"/>
        <v>#N/A</v>
      </c>
      <c r="X12" s="106" t="e">
        <f t="shared" si="13"/>
        <v>#N/A</v>
      </c>
      <c r="Y12" s="116" t="e">
        <f t="shared" si="17"/>
        <v>#N/A</v>
      </c>
      <c r="Z12" s="130" t="str">
        <f t="shared" si="7"/>
        <v/>
      </c>
      <c r="AA12" s="130" t="str">
        <f t="array" ref="AA12">INDEX(Z:Z,SMALL(IF($Z$2:$Z$16&lt;&gt;"",ROW($2:$16),17),ROW(Z11)))&amp;""</f>
        <v/>
      </c>
      <c r="AB12" s="159">
        <f>IF(主要!$Z94="",0,主要!$Z94)</f>
        <v>0</v>
      </c>
      <c r="AC12" s="132" t="str">
        <f t="shared" si="1"/>
        <v/>
      </c>
      <c r="AD12" s="160" t="str">
        <f t="shared" si="5"/>
        <v/>
      </c>
      <c r="AE12" s="153" t="s">
        <v>730</v>
      </c>
      <c r="AF12" s="153"/>
      <c r="AG12" s="153">
        <v>16</v>
      </c>
      <c r="AH12" s="153">
        <v>18</v>
      </c>
      <c r="AI12" s="169" t="s">
        <v>745</v>
      </c>
      <c r="AJ12" s="162" t="s">
        <v>691</v>
      </c>
      <c r="AK12" s="162" t="str">
        <f t="shared" si="14"/>
        <v>中型</v>
      </c>
      <c r="AL12" s="162" t="str">
        <f t="shared" si="14"/>
        <v>基础步行速度为30尺</v>
      </c>
      <c r="AM12" s="163" t="str">
        <f>AM$6</f>
        <v>和精灵语</v>
      </c>
    </row>
    <row r="13" spans="1:72" ht="14.4" customHeight="1" x14ac:dyDescent="0.25">
      <c r="A13" s="172" t="str">
        <f>IF(OR(综合数据!B6=TRUE,综合数据!B11=TRUE,综合数据!B18=TRUE),"歌利亚","")</f>
        <v>歌利亚</v>
      </c>
      <c r="B13" s="130" t="str">
        <f t="shared" ref="B13:O13" si="19">""</f>
        <v/>
      </c>
      <c r="C13" s="130" t="str">
        <f t="shared" si="19"/>
        <v/>
      </c>
      <c r="D13" s="130" t="str">
        <f t="shared" si="19"/>
        <v/>
      </c>
      <c r="E13" s="130" t="str">
        <f t="shared" si="19"/>
        <v/>
      </c>
      <c r="F13" s="130" t="str">
        <f t="shared" si="19"/>
        <v/>
      </c>
      <c r="G13" s="130" t="str">
        <f t="shared" si="19"/>
        <v/>
      </c>
      <c r="H13" s="130" t="str">
        <f t="shared" si="19"/>
        <v/>
      </c>
      <c r="I13" s="130" t="str">
        <f t="shared" si="19"/>
        <v/>
      </c>
      <c r="J13" s="130" t="str">
        <f t="shared" si="19"/>
        <v/>
      </c>
      <c r="K13" s="130" t="str">
        <f t="shared" si="19"/>
        <v/>
      </c>
      <c r="L13" s="130" t="str">
        <f t="shared" si="19"/>
        <v/>
      </c>
      <c r="M13" s="130" t="str">
        <f t="shared" si="19"/>
        <v/>
      </c>
      <c r="N13" s="130" t="str">
        <f t="shared" si="19"/>
        <v/>
      </c>
      <c r="O13" s="155" t="str">
        <f t="shared" si="19"/>
        <v/>
      </c>
      <c r="S13" s="157" t="str">
        <f t="array" ref="S13">INDEX(A:A,SMALL(IF($A$2:$A$45&lt;&gt;"",ROW($2:$45),46),ROW(A12)))&amp;""</f>
        <v>歌利亚</v>
      </c>
      <c r="T13" s="173" t="str">
        <f>IF(综合数据!B15=TRUE,"半血裔","")</f>
        <v>半血裔</v>
      </c>
      <c r="U13" s="130" t="e">
        <f t="array" ref="U13">INDEX(T:T,SMALL(IF($T$3:$T$15&lt;&gt;"",ROW($3:$15),16),ROW(T12)))&amp;""</f>
        <v>#N/A</v>
      </c>
      <c r="V13" s="115" t="e">
        <f t="shared" si="16"/>
        <v>#N/A</v>
      </c>
      <c r="W13" s="106" t="e">
        <f t="shared" si="12"/>
        <v>#N/A</v>
      </c>
      <c r="X13" s="106" t="e">
        <f t="shared" si="13"/>
        <v>#N/A</v>
      </c>
      <c r="Y13" s="116" t="e">
        <f t="shared" si="17"/>
        <v>#N/A</v>
      </c>
      <c r="Z13" s="130" t="str">
        <f t="shared" si="7"/>
        <v/>
      </c>
      <c r="AA13" s="130" t="str">
        <f t="array" ref="AA13">INDEX(Z:Z,SMALL(IF($Z$2:$Z$16&lt;&gt;"",ROW($2:$16),17),ROW(Z12)))&amp;""</f>
        <v/>
      </c>
      <c r="AB13" s="159">
        <f>IF(主要!$Z95="",0,主要!$Z95)</f>
        <v>0</v>
      </c>
      <c r="AC13" s="132" t="str">
        <f t="shared" si="1"/>
        <v/>
      </c>
      <c r="AD13" s="160" t="str">
        <f t="shared" si="5"/>
        <v/>
      </c>
      <c r="AE13" s="153" t="s">
        <v>737</v>
      </c>
      <c r="AF13" s="153"/>
      <c r="AG13" s="153">
        <v>19</v>
      </c>
      <c r="AH13" s="153">
        <v>20</v>
      </c>
      <c r="AI13" s="174" t="s">
        <v>746</v>
      </c>
      <c r="AJ13" s="162" t="s">
        <v>665</v>
      </c>
      <c r="AK13" s="162" t="str">
        <f t="shared" si="14"/>
        <v>中型</v>
      </c>
      <c r="AL13" s="162" t="str">
        <f t="shared" si="14"/>
        <v>基础步行速度为30尺</v>
      </c>
      <c r="AM13" s="163" t="str">
        <f>AM$6</f>
        <v>和精灵语</v>
      </c>
    </row>
    <row r="14" spans="1:72" ht="14.4" customHeight="1" x14ac:dyDescent="0.25">
      <c r="A14" s="172" t="str">
        <f>IF(OR(综合数据!B6=TRUE,综合数据!B11=TRUE,综合数据!B18=TRUE),"天狗","")</f>
        <v>天狗</v>
      </c>
      <c r="B14" s="130" t="str">
        <f t="shared" ref="B14:O14" si="20">""</f>
        <v/>
      </c>
      <c r="C14" s="130" t="str">
        <f t="shared" si="20"/>
        <v/>
      </c>
      <c r="D14" s="130" t="str">
        <f t="shared" si="20"/>
        <v/>
      </c>
      <c r="E14" s="130" t="str">
        <f t="shared" si="20"/>
        <v/>
      </c>
      <c r="F14" s="130" t="str">
        <f t="shared" si="20"/>
        <v/>
      </c>
      <c r="G14" s="130" t="str">
        <f t="shared" si="20"/>
        <v/>
      </c>
      <c r="H14" s="130" t="str">
        <f t="shared" si="20"/>
        <v/>
      </c>
      <c r="I14" s="130" t="str">
        <f t="shared" si="20"/>
        <v/>
      </c>
      <c r="J14" s="130" t="str">
        <f t="shared" si="20"/>
        <v/>
      </c>
      <c r="K14" s="130" t="str">
        <f t="shared" si="20"/>
        <v/>
      </c>
      <c r="L14" s="130" t="str">
        <f t="shared" si="20"/>
        <v/>
      </c>
      <c r="M14" s="130" t="str">
        <f t="shared" si="20"/>
        <v/>
      </c>
      <c r="N14" s="130" t="str">
        <f t="shared" si="20"/>
        <v/>
      </c>
      <c r="O14" s="155" t="str">
        <f t="shared" si="20"/>
        <v/>
      </c>
      <c r="S14" s="157" t="str">
        <f t="array" ref="S14">INDEX(A:A,SMALL(IF($A$2:$A$45&lt;&gt;"",ROW($2:$45),46),ROW(A13)))&amp;""</f>
        <v>天狗</v>
      </c>
      <c r="T14" s="173" t="str">
        <f>IF(综合数据!B15=TRUE,"巫咒之子","")</f>
        <v>巫咒之子</v>
      </c>
      <c r="U14" s="130" t="e">
        <f t="array" ref="U14">INDEX(T:T,SMALL(IF($T$3:$T$15&lt;&gt;"",ROW($3:$15),16),ROW(T13)))&amp;""</f>
        <v>#N/A</v>
      </c>
      <c r="V14" s="115" t="e">
        <f t="shared" si="16"/>
        <v>#N/A</v>
      </c>
      <c r="W14" s="106" t="e">
        <f t="shared" si="12"/>
        <v>#N/A</v>
      </c>
      <c r="X14" s="106" t="e">
        <f t="shared" si="13"/>
        <v>#N/A</v>
      </c>
      <c r="Y14" s="116" t="e">
        <f t="shared" si="17"/>
        <v>#N/A</v>
      </c>
      <c r="Z14" s="130" t="str">
        <f t="shared" si="7"/>
        <v/>
      </c>
      <c r="AA14" s="130" t="str">
        <f t="array" ref="AA14">INDEX(Z:Z,SMALL(IF($Z$2:$Z$16&lt;&gt;"",ROW($2:$16),17),ROW(Z13)))&amp;""</f>
        <v/>
      </c>
      <c r="AB14" s="159">
        <f>IF(主要!$Z96="",0,主要!$Z96)</f>
        <v>0</v>
      </c>
      <c r="AC14" s="132" t="str">
        <f t="shared" si="1"/>
        <v/>
      </c>
      <c r="AD14" s="160" t="str">
        <f t="shared" si="5"/>
        <v/>
      </c>
      <c r="AE14" s="154" t="s">
        <v>745</v>
      </c>
      <c r="AF14" s="154"/>
      <c r="AG14" s="154">
        <v>21</v>
      </c>
      <c r="AH14" s="154">
        <v>23</v>
      </c>
      <c r="AI14" s="152" t="s">
        <v>554</v>
      </c>
      <c r="AJ14" s="162" t="s">
        <v>691</v>
      </c>
      <c r="AK14" s="162" t="s">
        <v>518</v>
      </c>
      <c r="AL14" s="162" t="s">
        <v>747</v>
      </c>
      <c r="AM14" s="163" t="s">
        <v>748</v>
      </c>
    </row>
    <row r="15" spans="1:72" ht="14.4" customHeight="1" x14ac:dyDescent="0.25">
      <c r="A15" s="172" t="str">
        <f>IF(OR(综合数据!B6=TRUE,综合数据!B18=TRUE),"蜥蜴人","")</f>
        <v>蜥蜴人</v>
      </c>
      <c r="B15" s="130" t="str">
        <f t="shared" ref="B15:O15" si="21">""</f>
        <v/>
      </c>
      <c r="C15" s="130" t="str">
        <f t="shared" si="21"/>
        <v/>
      </c>
      <c r="D15" s="130" t="str">
        <f t="shared" si="21"/>
        <v/>
      </c>
      <c r="E15" s="130" t="str">
        <f t="shared" si="21"/>
        <v/>
      </c>
      <c r="F15" s="130" t="str">
        <f t="shared" si="21"/>
        <v/>
      </c>
      <c r="G15" s="130" t="str">
        <f t="shared" si="21"/>
        <v/>
      </c>
      <c r="H15" s="130" t="str">
        <f t="shared" si="21"/>
        <v/>
      </c>
      <c r="I15" s="130" t="str">
        <f t="shared" si="21"/>
        <v/>
      </c>
      <c r="J15" s="130" t="str">
        <f t="shared" si="21"/>
        <v/>
      </c>
      <c r="K15" s="130" t="str">
        <f t="shared" si="21"/>
        <v/>
      </c>
      <c r="L15" s="130" t="str">
        <f t="shared" si="21"/>
        <v/>
      </c>
      <c r="M15" s="130" t="str">
        <f t="shared" si="21"/>
        <v/>
      </c>
      <c r="N15" s="130" t="str">
        <f t="shared" si="21"/>
        <v/>
      </c>
      <c r="O15" s="155" t="str">
        <f t="shared" si="21"/>
        <v/>
      </c>
      <c r="S15" s="157" t="str">
        <f t="array" ref="S15">INDEX(A:A,SMALL(IF($A$2:$A$45&lt;&gt;"",ROW($2:$45),46),ROW(A14)))&amp;""</f>
        <v>蜥蜴人</v>
      </c>
      <c r="T15" s="173" t="str">
        <f>IF(综合数据!B15=TRUE,"重生者","")</f>
        <v>重生者</v>
      </c>
      <c r="V15" s="115" t="e">
        <f t="shared" si="16"/>
        <v>#N/A</v>
      </c>
      <c r="W15" s="106" t="e">
        <f t="shared" si="12"/>
        <v>#N/A</v>
      </c>
      <c r="X15" s="106" t="e">
        <f t="shared" si="13"/>
        <v>#N/A</v>
      </c>
      <c r="Y15" s="116" t="e">
        <f t="shared" si="17"/>
        <v>#N/A</v>
      </c>
      <c r="Z15" s="130" t="str">
        <f t="shared" si="7"/>
        <v/>
      </c>
      <c r="AA15" s="130" t="str">
        <f t="array" ref="AA15">INDEX(Z:Z,SMALL(IF($Z$2:$Z$16&lt;&gt;"",ROW($2:$16),17),ROW(Z14)))&amp;""</f>
        <v/>
      </c>
      <c r="AB15" s="159">
        <f>IF(主要!$Z97="",0,主要!$Z97)</f>
        <v>0</v>
      </c>
      <c r="AC15" s="132" t="str">
        <f t="shared" si="1"/>
        <v/>
      </c>
      <c r="AD15" s="160" t="str">
        <f t="shared" si="5"/>
        <v/>
      </c>
      <c r="AE15" s="165" t="s">
        <v>746</v>
      </c>
      <c r="AF15" s="165"/>
      <c r="AG15" s="165">
        <v>24</v>
      </c>
      <c r="AH15" s="165">
        <v>25</v>
      </c>
      <c r="AI15" s="152" t="s">
        <v>555</v>
      </c>
      <c r="AJ15" s="162" t="s">
        <v>749</v>
      </c>
      <c r="AK15" s="162" t="str">
        <f t="shared" ref="AK15:AM19" si="22">AK$14</f>
        <v>小型</v>
      </c>
      <c r="AL15" s="162" t="str">
        <f t="shared" si="22"/>
        <v>基础步行速度为25尺</v>
      </c>
      <c r="AM15" s="163" t="str">
        <f t="shared" si="22"/>
        <v>和半身人语</v>
      </c>
    </row>
    <row r="16" spans="1:72" ht="14.4" customHeight="1" x14ac:dyDescent="0.25">
      <c r="A16" s="172" t="str">
        <f>IF(OR(综合数据!B6=TRUE,综合数据!B11=TRUE,综合数据!B18=TRUE),"斑猫人","")</f>
        <v>斑猫人</v>
      </c>
      <c r="B16" s="130" t="str">
        <f t="shared" ref="B16:O16" si="23">""</f>
        <v/>
      </c>
      <c r="C16" s="130" t="str">
        <f t="shared" si="23"/>
        <v/>
      </c>
      <c r="D16" s="130" t="str">
        <f t="shared" si="23"/>
        <v/>
      </c>
      <c r="E16" s="130" t="str">
        <f t="shared" si="23"/>
        <v/>
      </c>
      <c r="F16" s="130" t="str">
        <f t="shared" si="23"/>
        <v/>
      </c>
      <c r="G16" s="130" t="str">
        <f t="shared" si="23"/>
        <v/>
      </c>
      <c r="H16" s="130" t="str">
        <f t="shared" si="23"/>
        <v/>
      </c>
      <c r="I16" s="130" t="str">
        <f t="shared" si="23"/>
        <v/>
      </c>
      <c r="J16" s="130" t="str">
        <f t="shared" si="23"/>
        <v/>
      </c>
      <c r="K16" s="130" t="str">
        <f t="shared" si="23"/>
        <v/>
      </c>
      <c r="L16" s="130" t="str">
        <f t="shared" si="23"/>
        <v/>
      </c>
      <c r="M16" s="130" t="str">
        <f t="shared" si="23"/>
        <v/>
      </c>
      <c r="N16" s="130" t="str">
        <f t="shared" si="23"/>
        <v/>
      </c>
      <c r="O16" s="155" t="str">
        <f t="shared" si="23"/>
        <v/>
      </c>
      <c r="S16" s="157" t="str">
        <f t="array" ref="S16">INDEX(A:A,SMALL(IF($A$2:$A$45&lt;&gt;"",ROW($2:$45),46),ROW(A15)))&amp;""</f>
        <v>斑猫人</v>
      </c>
      <c r="V16" s="115" t="e">
        <f t="shared" si="16"/>
        <v>#N/A</v>
      </c>
      <c r="W16" s="106" t="e">
        <f t="shared" si="12"/>
        <v>#N/A</v>
      </c>
      <c r="X16" s="106" t="e">
        <f t="shared" si="13"/>
        <v>#N/A</v>
      </c>
      <c r="Y16" s="116" t="e">
        <f t="shared" si="17"/>
        <v>#N/A</v>
      </c>
      <c r="Z16" s="175" t="str">
        <f t="shared" si="7"/>
        <v/>
      </c>
      <c r="AA16" s="175" t="str">
        <f t="array" ref="AA16">INDEX(Z:Z,SMALL(IF($Z$2:$Z$16&lt;&gt;"",ROW($2:$16),17),ROW(Z15)))&amp;""</f>
        <v/>
      </c>
      <c r="AB16" s="159" t="s">
        <v>750</v>
      </c>
      <c r="AC16" s="131">
        <f>COUNTIF(AD2:AD15,"&gt;1")</f>
        <v>0</v>
      </c>
      <c r="AD16" s="176" t="s">
        <v>751</v>
      </c>
      <c r="AE16" s="161" t="s">
        <v>553</v>
      </c>
      <c r="AF16" s="161">
        <f>AF7+1</f>
        <v>3</v>
      </c>
      <c r="AG16" s="161">
        <v>1</v>
      </c>
      <c r="AH16" s="161">
        <v>3</v>
      </c>
      <c r="AI16" s="177" t="s">
        <v>752</v>
      </c>
      <c r="AJ16" s="162" t="s">
        <v>665</v>
      </c>
      <c r="AK16" s="162" t="str">
        <f t="shared" si="22"/>
        <v>小型</v>
      </c>
      <c r="AL16" s="162" t="str">
        <f t="shared" si="22"/>
        <v>基础步行速度为25尺</v>
      </c>
      <c r="AM16" s="163" t="str">
        <f t="shared" si="22"/>
        <v>和半身人语</v>
      </c>
    </row>
    <row r="17" spans="1:39" ht="14.4" customHeight="1" x14ac:dyDescent="0.25">
      <c r="A17" s="172" t="str">
        <f>IF(OR(综合数据!B6=TRUE,综合数据!B18=TRUE),"梭螺鱼人","")</f>
        <v>梭螺鱼人</v>
      </c>
      <c r="B17" s="130" t="str">
        <f t="shared" ref="B17:O17" si="24">""</f>
        <v/>
      </c>
      <c r="C17" s="130" t="str">
        <f t="shared" si="24"/>
        <v/>
      </c>
      <c r="D17" s="130" t="str">
        <f t="shared" si="24"/>
        <v/>
      </c>
      <c r="E17" s="130" t="str">
        <f t="shared" si="24"/>
        <v/>
      </c>
      <c r="F17" s="130" t="str">
        <f t="shared" si="24"/>
        <v/>
      </c>
      <c r="G17" s="130" t="str">
        <f t="shared" si="24"/>
        <v/>
      </c>
      <c r="H17" s="130" t="str">
        <f t="shared" si="24"/>
        <v/>
      </c>
      <c r="I17" s="130" t="str">
        <f t="shared" si="24"/>
        <v/>
      </c>
      <c r="J17" s="130" t="str">
        <f t="shared" si="24"/>
        <v/>
      </c>
      <c r="K17" s="130" t="str">
        <f t="shared" si="24"/>
        <v/>
      </c>
      <c r="L17" s="130" t="str">
        <f t="shared" si="24"/>
        <v/>
      </c>
      <c r="M17" s="130" t="str">
        <f t="shared" si="24"/>
        <v/>
      </c>
      <c r="N17" s="130" t="str">
        <f t="shared" si="24"/>
        <v/>
      </c>
      <c r="O17" s="155" t="str">
        <f t="shared" si="24"/>
        <v/>
      </c>
      <c r="S17" s="157" t="str">
        <f t="array" ref="S17">INDEX(A:A,SMALL(IF($A$2:$A$45&lt;&gt;"",ROW($2:$45),46),ROW(A16)))&amp;""</f>
        <v>梭螺鱼人</v>
      </c>
      <c r="T17" s="106" t="s">
        <v>753</v>
      </c>
      <c r="U17" s="106" t="s">
        <v>754</v>
      </c>
      <c r="V17" s="115" t="e">
        <f t="shared" si="16"/>
        <v>#N/A</v>
      </c>
      <c r="W17" s="106" t="e">
        <f t="shared" si="12"/>
        <v>#N/A</v>
      </c>
      <c r="X17" s="106" t="e">
        <f t="shared" si="13"/>
        <v>#N/A</v>
      </c>
      <c r="Y17" s="116" t="e">
        <f>IF($V16+1&gt;$Y$3,$Y16+1,0)</f>
        <v>#N/A</v>
      </c>
      <c r="AB17" s="159" t="s">
        <v>755</v>
      </c>
      <c r="AC17" s="131">
        <f>COUNTIF(AC18:AC25,"&gt;1")</f>
        <v>0</v>
      </c>
      <c r="AD17" s="176">
        <f>IF(AND(V2&lt;5,AD21&gt;0),2,IF(AD19+AD21&gt;2,2,IF(AD21&gt;1,2,0)))</f>
        <v>0</v>
      </c>
      <c r="AE17" s="131" t="s">
        <v>554</v>
      </c>
      <c r="AF17" s="131"/>
      <c r="AG17" s="131">
        <v>4</v>
      </c>
      <c r="AH17" s="131">
        <v>4</v>
      </c>
      <c r="AI17" s="169" t="s">
        <v>756</v>
      </c>
      <c r="AJ17" s="162" t="s">
        <v>665</v>
      </c>
      <c r="AK17" s="162" t="str">
        <f t="shared" si="22"/>
        <v>小型</v>
      </c>
      <c r="AL17" s="162" t="str">
        <f t="shared" si="22"/>
        <v>基础步行速度为25尺</v>
      </c>
      <c r="AM17" s="163" t="str">
        <f t="shared" si="22"/>
        <v>和半身人语</v>
      </c>
    </row>
    <row r="18" spans="1:39" ht="14.4" customHeight="1" x14ac:dyDescent="0.25">
      <c r="A18" s="172" t="str">
        <f>IF(OR(综合数据!B6=TRUE,综合数据!B11=TRUE,综合数据!B18=TRUE),"地精","")</f>
        <v>地精</v>
      </c>
      <c r="B18" s="178" t="s">
        <v>757</v>
      </c>
      <c r="C18" s="178" t="s">
        <v>758</v>
      </c>
      <c r="D18" s="168" t="str">
        <f>IF(综合数据!B19=TRUE,"依夏兰","")</f>
        <v/>
      </c>
      <c r="E18" s="168" t="str">
        <f>IF(综合数据!B19=TRUE,"赞迪卡","")</f>
        <v/>
      </c>
      <c r="F18" s="130" t="str">
        <f t="shared" ref="F18:O18" si="25">""</f>
        <v/>
      </c>
      <c r="G18" s="130" t="str">
        <f t="shared" si="25"/>
        <v/>
      </c>
      <c r="H18" s="130" t="str">
        <f t="shared" si="25"/>
        <v/>
      </c>
      <c r="I18" s="130" t="str">
        <f t="shared" si="25"/>
        <v/>
      </c>
      <c r="J18" s="130" t="str">
        <f t="shared" si="25"/>
        <v/>
      </c>
      <c r="K18" s="130" t="str">
        <f t="shared" si="25"/>
        <v/>
      </c>
      <c r="L18" s="130" t="str">
        <f t="shared" si="25"/>
        <v/>
      </c>
      <c r="M18" s="130" t="str">
        <f t="shared" si="25"/>
        <v/>
      </c>
      <c r="N18" s="130" t="str">
        <f t="shared" si="25"/>
        <v/>
      </c>
      <c r="O18" s="155" t="str">
        <f t="shared" si="25"/>
        <v/>
      </c>
      <c r="S18" s="157" t="str">
        <f t="array" ref="S18">INDEX(A:A,SMALL(IF($A$2:$A$45&lt;&gt;"",ROW($2:$45),46),ROW(A17)))&amp;""</f>
        <v>地精</v>
      </c>
      <c r="T18" s="175" t="str">
        <f>IF($V4=0,"",COUNTIF($T$3:$T$15,$V4))</f>
        <v/>
      </c>
      <c r="U18" s="175" t="str">
        <f>IF(AND(V4=0,OR(V3=A2,V3=A3,V3=A4,V3=A7,V3=A22,V3=A33,V3=A44,V3=A45)),1,"")</f>
        <v/>
      </c>
      <c r="V18" s="115" t="e">
        <f t="shared" si="16"/>
        <v>#N/A</v>
      </c>
      <c r="W18" s="106" t="e">
        <f t="shared" si="12"/>
        <v>#N/A</v>
      </c>
      <c r="X18" s="106" t="e">
        <f t="shared" si="13"/>
        <v>#N/A</v>
      </c>
      <c r="Y18" s="116" t="e">
        <f>IF($V17+1&gt;$Y$3,$Y17+1,0)</f>
        <v>#N/A</v>
      </c>
      <c r="AB18" s="177" t="s">
        <v>759</v>
      </c>
      <c r="AC18" s="131">
        <f>IF(V3=A8,COUNTIF($AB$2:$AB$15,"多才多艺")+COUNTIF($AB$2:$AB$15,"敏锐感官")+COUNTIF($AB$2:$AB$15,"木精灵武器训练")+COUNTIF($AB$2:$AB$15,"轻捷步伐")+COUNTIF($AB$2:$AB$15,"野性面具"),0)</f>
        <v>0</v>
      </c>
      <c r="AD18" s="179" t="s">
        <v>760</v>
      </c>
      <c r="AE18" s="131" t="s">
        <v>555</v>
      </c>
      <c r="AF18" s="131"/>
      <c r="AG18" s="131">
        <v>5</v>
      </c>
      <c r="AH18" s="131">
        <v>5</v>
      </c>
      <c r="AI18" s="169" t="s">
        <v>761</v>
      </c>
      <c r="AJ18" s="162" t="s">
        <v>691</v>
      </c>
      <c r="AK18" s="162" t="str">
        <f t="shared" si="22"/>
        <v>小型</v>
      </c>
      <c r="AL18" s="162" t="str">
        <f t="shared" si="22"/>
        <v>基础步行速度为25尺</v>
      </c>
      <c r="AM18" s="163" t="str">
        <f t="shared" si="22"/>
        <v>和半身人语</v>
      </c>
    </row>
    <row r="19" spans="1:39" ht="14.4" customHeight="1" x14ac:dyDescent="0.25">
      <c r="A19" s="172" t="str">
        <f>IF(OR(综合数据!B6=TRUE,综合数据!B18=TRUE),"狗头人","")</f>
        <v>狗头人</v>
      </c>
      <c r="B19" s="130" t="str">
        <f t="shared" ref="B19:O19" si="26">""</f>
        <v/>
      </c>
      <c r="C19" s="130" t="str">
        <f t="shared" si="26"/>
        <v/>
      </c>
      <c r="D19" s="130" t="str">
        <f t="shared" si="26"/>
        <v/>
      </c>
      <c r="E19" s="130" t="str">
        <f t="shared" si="26"/>
        <v/>
      </c>
      <c r="F19" s="130" t="str">
        <f t="shared" si="26"/>
        <v/>
      </c>
      <c r="G19" s="130" t="str">
        <f t="shared" si="26"/>
        <v/>
      </c>
      <c r="H19" s="130" t="str">
        <f t="shared" si="26"/>
        <v/>
      </c>
      <c r="I19" s="130" t="str">
        <f t="shared" si="26"/>
        <v/>
      </c>
      <c r="J19" s="130" t="str">
        <f t="shared" si="26"/>
        <v/>
      </c>
      <c r="K19" s="130" t="str">
        <f t="shared" si="26"/>
        <v/>
      </c>
      <c r="L19" s="130" t="str">
        <f t="shared" si="26"/>
        <v/>
      </c>
      <c r="M19" s="130" t="str">
        <f t="shared" si="26"/>
        <v/>
      </c>
      <c r="N19" s="130" t="str">
        <f t="shared" si="26"/>
        <v/>
      </c>
      <c r="O19" s="155" t="str">
        <f t="shared" si="26"/>
        <v/>
      </c>
      <c r="S19" s="157" t="str">
        <f t="array" ref="S19">INDEX(A:A,SMALL(IF($A$2:$A$45&lt;&gt;"",ROW($2:$45),46),ROW(A18)))&amp;""</f>
        <v>狗头人</v>
      </c>
      <c r="V19" s="115" t="e">
        <f t="shared" si="16"/>
        <v>#N/A</v>
      </c>
      <c r="W19" s="106" t="e">
        <f t="shared" si="12"/>
        <v>#N/A</v>
      </c>
      <c r="X19" s="106" t="e">
        <f t="shared" si="13"/>
        <v>#N/A</v>
      </c>
      <c r="Y19" s="116" t="e">
        <f>IF($V18+1&gt;$Y$3,$Y18+1,0)</f>
        <v>#N/A</v>
      </c>
      <c r="AB19" s="177" t="s">
        <v>762</v>
      </c>
      <c r="AC19" s="131">
        <f>IF(V3=A8,COUNTIF($AB$2:$AB$15,"多才多艺")+COUNTIF($AB$2:$AB$15,"敏锐感官")+COUNTIF($AB$2:$AB$15,"高等精灵武器训练")+COUNTIF($AB$2:$AB$15,"戏法"),0)</f>
        <v>0</v>
      </c>
      <c r="AD19" s="176">
        <f>IF(V3=A26,COUNTIF($AB$2:$AB$15,"蝠鲼滑翔")+COUNTIF($AB$2:$AB$15,"灵活攀登")+COUNTIF($AB$2:$AB$15,"水下适应"),0)</f>
        <v>0</v>
      </c>
      <c r="AE19" s="166" t="s">
        <v>752</v>
      </c>
      <c r="AF19" s="166"/>
      <c r="AG19" s="166">
        <v>6</v>
      </c>
      <c r="AH19" s="166">
        <v>6</v>
      </c>
      <c r="AI19" s="174" t="s">
        <v>763</v>
      </c>
      <c r="AJ19" s="162" t="s">
        <v>665</v>
      </c>
      <c r="AK19" s="162" t="str">
        <f t="shared" si="22"/>
        <v>小型</v>
      </c>
      <c r="AL19" s="162" t="str">
        <f t="shared" si="22"/>
        <v>基础步行速度为25尺</v>
      </c>
      <c r="AM19" s="163" t="str">
        <f t="shared" si="22"/>
        <v>和半身人语</v>
      </c>
    </row>
    <row r="20" spans="1:39" ht="14.4" customHeight="1" x14ac:dyDescent="0.25">
      <c r="A20" s="172" t="str">
        <f>IF(OR(综合数据!B6=TRUE,综合数据!B10=TRUE,综合数据!B11=TRUE,综合数据!B18=TRUE),"兽人","")</f>
        <v>兽人</v>
      </c>
      <c r="B20" s="130" t="str">
        <f t="shared" ref="B20:O20" si="27">""</f>
        <v/>
      </c>
      <c r="C20" s="130" t="str">
        <f t="shared" si="27"/>
        <v/>
      </c>
      <c r="D20" s="130" t="str">
        <f t="shared" si="27"/>
        <v/>
      </c>
      <c r="E20" s="130" t="str">
        <f t="shared" si="27"/>
        <v/>
      </c>
      <c r="F20" s="130" t="str">
        <f t="shared" si="27"/>
        <v/>
      </c>
      <c r="G20" s="130" t="str">
        <f t="shared" si="27"/>
        <v/>
      </c>
      <c r="H20" s="130" t="str">
        <f t="shared" si="27"/>
        <v/>
      </c>
      <c r="I20" s="130" t="str">
        <f t="shared" si="27"/>
        <v/>
      </c>
      <c r="J20" s="130" t="str">
        <f t="shared" si="27"/>
        <v/>
      </c>
      <c r="K20" s="130" t="str">
        <f t="shared" si="27"/>
        <v/>
      </c>
      <c r="L20" s="130" t="str">
        <f t="shared" si="27"/>
        <v/>
      </c>
      <c r="M20" s="130" t="str">
        <f t="shared" si="27"/>
        <v/>
      </c>
      <c r="N20" s="130" t="str">
        <f t="shared" si="27"/>
        <v/>
      </c>
      <c r="O20" s="155" t="str">
        <f t="shared" si="27"/>
        <v/>
      </c>
      <c r="S20" s="157" t="str">
        <f t="array" ref="S20">INDEX(A:A,SMALL(IF($A$2:$A$45&lt;&gt;"",ROW($2:$45),46),ROW(A19)))&amp;""</f>
        <v>兽人</v>
      </c>
      <c r="V20" s="123" t="e">
        <f t="shared" si="16"/>
        <v>#N/A</v>
      </c>
      <c r="W20" s="126" t="e">
        <f t="shared" si="12"/>
        <v>#N/A</v>
      </c>
      <c r="X20" s="126" t="e">
        <f t="shared" si="13"/>
        <v>#N/A</v>
      </c>
      <c r="Y20" s="124" t="e">
        <f>IF($V19+1&gt;$Y$3,$Y19+1,0)</f>
        <v>#N/A</v>
      </c>
      <c r="AB20" s="177" t="s">
        <v>764</v>
      </c>
      <c r="AC20" s="131">
        <f>IF(V3=A8,COUNTIF($AB$2:$AB$15,"多才多艺")+COUNTIF($AB$2:$AB$15,"敏锐感官")+COUNTIF($AB$2:$AB$15,"卓尔魔法"),0)</f>
        <v>0</v>
      </c>
      <c r="AD20" s="160" t="s">
        <v>765</v>
      </c>
      <c r="AE20" s="154" t="s">
        <v>756</v>
      </c>
      <c r="AF20" s="154"/>
      <c r="AG20" s="154">
        <v>7</v>
      </c>
      <c r="AH20" s="154">
        <v>9</v>
      </c>
      <c r="AI20" s="152" t="s">
        <v>593</v>
      </c>
      <c r="AJ20" s="162" t="s">
        <v>766</v>
      </c>
      <c r="AK20" s="162" t="s">
        <v>478</v>
      </c>
      <c r="AL20" s="162" t="s">
        <v>558</v>
      </c>
      <c r="AM20" s="163" t="s">
        <v>559</v>
      </c>
    </row>
    <row r="21" spans="1:39" ht="14.4" customHeight="1" x14ac:dyDescent="0.25">
      <c r="A21" s="172" t="str">
        <f>IF(OR(综合数据!B6=TRUE,综合数据!B18=TRUE),"原体蛇人","")</f>
        <v>原体蛇人</v>
      </c>
      <c r="B21" s="130" t="str">
        <f t="shared" ref="B21:O21" si="28">""</f>
        <v/>
      </c>
      <c r="C21" s="130" t="str">
        <f t="shared" si="28"/>
        <v/>
      </c>
      <c r="D21" s="130" t="str">
        <f t="shared" si="28"/>
        <v/>
      </c>
      <c r="E21" s="130" t="str">
        <f t="shared" si="28"/>
        <v/>
      </c>
      <c r="F21" s="130" t="str">
        <f t="shared" si="28"/>
        <v/>
      </c>
      <c r="G21" s="130" t="str">
        <f t="shared" si="28"/>
        <v/>
      </c>
      <c r="H21" s="130" t="str">
        <f t="shared" si="28"/>
        <v/>
      </c>
      <c r="I21" s="130" t="str">
        <f t="shared" si="28"/>
        <v/>
      </c>
      <c r="J21" s="130" t="str">
        <f t="shared" si="28"/>
        <v/>
      </c>
      <c r="K21" s="130" t="str">
        <f t="shared" si="28"/>
        <v/>
      </c>
      <c r="L21" s="130" t="str">
        <f t="shared" si="28"/>
        <v/>
      </c>
      <c r="M21" s="130" t="str">
        <f t="shared" si="28"/>
        <v/>
      </c>
      <c r="N21" s="130" t="str">
        <f t="shared" si="28"/>
        <v/>
      </c>
      <c r="O21" s="155" t="str">
        <f t="shared" si="28"/>
        <v/>
      </c>
      <c r="S21" s="157" t="str">
        <f t="array" ref="S21">INDEX(A:A,SMALL(IF($A$2:$A$45&lt;&gt;"",ROW($2:$45),46),ROW(A20)))&amp;""</f>
        <v>原体蛇人</v>
      </c>
      <c r="W21" s="180"/>
      <c r="X21" s="180"/>
      <c r="AB21" s="177" t="s">
        <v>767</v>
      </c>
      <c r="AC21" s="131">
        <f>IF(V3=A8,COUNTIF($AB$2:$AB$15,"多才多艺")+COUNTIF($AB$2:$AB$15,"敏锐感官")+COUNTIF($AB$2:$AB$15,"游泳速度"),0)</f>
        <v>0</v>
      </c>
      <c r="AD21" s="176">
        <f>IF(V3=A26,COUNTIF($AB$2:$AB$15,"斗殴附件")+COUNTIF($AB$2:$AB$15,"甲壳")+COUNTIF($AB$2:$AB$15,"酸液喷吐"),0)</f>
        <v>0</v>
      </c>
      <c r="AE21" s="154" t="s">
        <v>761</v>
      </c>
      <c r="AF21" s="154"/>
      <c r="AG21" s="154">
        <v>10</v>
      </c>
      <c r="AH21" s="154">
        <v>12</v>
      </c>
      <c r="AI21" s="152" t="s">
        <v>594</v>
      </c>
      <c r="AJ21" s="162" t="s">
        <v>768</v>
      </c>
      <c r="AK21" s="162" t="str">
        <f>AK$20</f>
        <v>中型</v>
      </c>
      <c r="AL21" s="162" t="str">
        <f>AL$20</f>
        <v>基础步行速度为30尺</v>
      </c>
      <c r="AM21" s="163" t="str">
        <f>AM$20</f>
        <v>，以及任意一门自选语言</v>
      </c>
    </row>
    <row r="22" spans="1:39" ht="14.4" customHeight="1" x14ac:dyDescent="0.25">
      <c r="A22" s="167" t="str">
        <f>IF(OR(综合数据!B8=TRUE,综合数据!B18=TRUE),"吉斯人","")</f>
        <v>吉斯人</v>
      </c>
      <c r="B22" s="153" t="s">
        <v>769</v>
      </c>
      <c r="C22" s="153" t="s">
        <v>770</v>
      </c>
      <c r="D22" s="130" t="str">
        <f t="shared" ref="D22:O22" si="29">""</f>
        <v/>
      </c>
      <c r="E22" s="130" t="str">
        <f t="shared" si="29"/>
        <v/>
      </c>
      <c r="F22" s="130" t="str">
        <f t="shared" si="29"/>
        <v/>
      </c>
      <c r="G22" s="130" t="str">
        <f t="shared" si="29"/>
        <v/>
      </c>
      <c r="H22" s="130" t="str">
        <f t="shared" si="29"/>
        <v/>
      </c>
      <c r="I22" s="130" t="str">
        <f t="shared" si="29"/>
        <v/>
      </c>
      <c r="J22" s="130" t="str">
        <f t="shared" si="29"/>
        <v/>
      </c>
      <c r="K22" s="130" t="str">
        <f t="shared" si="29"/>
        <v/>
      </c>
      <c r="L22" s="130" t="str">
        <f t="shared" si="29"/>
        <v/>
      </c>
      <c r="M22" s="130" t="str">
        <f t="shared" si="29"/>
        <v/>
      </c>
      <c r="N22" s="130" t="str">
        <f t="shared" si="29"/>
        <v/>
      </c>
      <c r="O22" s="155" t="str">
        <f t="shared" si="29"/>
        <v/>
      </c>
      <c r="S22" s="157" t="str">
        <f t="array" ref="S22">INDEX(A:A,SMALL(IF($A$2:$A$45&lt;&gt;"",ROW($2:$45),46),ROW(A21)))&amp;""</f>
        <v>吉斯人</v>
      </c>
      <c r="W22" s="180"/>
      <c r="X22" s="180"/>
      <c r="AB22" s="177" t="s">
        <v>771</v>
      </c>
      <c r="AC22" s="131">
        <f>IF(V3=A10,COUNTIF($AB$2:$AB$15,"地狱遗赠")+COUNTIF($AB$2:$AB$15,"魔鬼之舌")+COUNTIF($AB$2:$AB$15,"地狱之火")+COUNTIF($AB$2:$AB$15,"飞翼"),0)</f>
        <v>0</v>
      </c>
      <c r="AD22" s="176"/>
      <c r="AE22" s="165" t="s">
        <v>763</v>
      </c>
      <c r="AF22" s="165"/>
      <c r="AG22" s="165">
        <v>13</v>
      </c>
      <c r="AH22" s="165">
        <v>14</v>
      </c>
      <c r="AI22" s="169" t="s">
        <v>772</v>
      </c>
      <c r="AJ22" s="162" t="s">
        <v>773</v>
      </c>
      <c r="AK22" s="162" t="str">
        <f t="shared" ref="AK22:AL30" si="30">AK$20</f>
        <v>中型</v>
      </c>
      <c r="AL22" s="162" t="str">
        <f t="shared" si="30"/>
        <v>基础步行速度为30尺</v>
      </c>
      <c r="AM22" s="163" t="str">
        <f>IF(V3=A9,"、兽人语和地精语","和地精语，以及任意一门自选语言")</f>
        <v>和地精语，以及任意一门自选语言</v>
      </c>
    </row>
    <row r="23" spans="1:39" ht="14.4" customHeight="1" x14ac:dyDescent="0.25">
      <c r="A23" s="181" t="str">
        <f>IF(OR(综合数据!B9=TRUE,综合数据!B18=TRUE),"人马","")</f>
        <v>人马</v>
      </c>
      <c r="B23" s="130" t="str">
        <f t="shared" ref="B23:O23" si="31">""</f>
        <v/>
      </c>
      <c r="C23" s="130" t="str">
        <f t="shared" si="31"/>
        <v/>
      </c>
      <c r="D23" s="130" t="str">
        <f t="shared" si="31"/>
        <v/>
      </c>
      <c r="E23" s="130" t="str">
        <f t="shared" si="31"/>
        <v/>
      </c>
      <c r="F23" s="130" t="str">
        <f t="shared" si="31"/>
        <v/>
      </c>
      <c r="G23" s="130" t="str">
        <f t="shared" si="31"/>
        <v/>
      </c>
      <c r="H23" s="130" t="str">
        <f t="shared" si="31"/>
        <v/>
      </c>
      <c r="I23" s="130" t="str">
        <f t="shared" si="31"/>
        <v/>
      </c>
      <c r="J23" s="130" t="str">
        <f t="shared" si="31"/>
        <v/>
      </c>
      <c r="K23" s="130" t="str">
        <f t="shared" si="31"/>
        <v/>
      </c>
      <c r="L23" s="130" t="str">
        <f t="shared" si="31"/>
        <v/>
      </c>
      <c r="M23" s="130" t="str">
        <f t="shared" si="31"/>
        <v/>
      </c>
      <c r="N23" s="130" t="str">
        <f t="shared" si="31"/>
        <v/>
      </c>
      <c r="O23" s="155" t="str">
        <f t="shared" si="31"/>
        <v/>
      </c>
      <c r="S23" s="157" t="str">
        <f t="array" ref="S23">INDEX(A:A,SMALL(IF($A$2:$A$45&lt;&gt;"",ROW($2:$45),46),ROW(A22)))&amp;""</f>
        <v>人马</v>
      </c>
      <c r="W23" s="180"/>
      <c r="X23" s="180"/>
      <c r="AB23" s="182" t="s">
        <v>774</v>
      </c>
      <c r="AC23" s="175">
        <f>IF(V3=A11,COUNTIF($AB$2:$AB$15,"死灵环绕")+COUNTIF($AB$2:$AB$15,"光辉焚化")+COUNTIF($AB$2:$AB$15,"光辉灵魂"),0)</f>
        <v>0</v>
      </c>
      <c r="AD23" s="183"/>
      <c r="AE23" s="161" t="s">
        <v>593</v>
      </c>
      <c r="AF23" s="161">
        <f>AF16+1</f>
        <v>4</v>
      </c>
      <c r="AG23" s="161">
        <v>1</v>
      </c>
      <c r="AH23" s="161">
        <v>0</v>
      </c>
      <c r="AI23" s="169" t="s">
        <v>775</v>
      </c>
      <c r="AJ23" s="162" t="s">
        <v>776</v>
      </c>
      <c r="AK23" s="162" t="str">
        <f t="shared" si="30"/>
        <v>中型</v>
      </c>
      <c r="AL23" s="162" t="str">
        <f t="shared" si="30"/>
        <v>基础步行速度为30尺</v>
      </c>
      <c r="AM23" s="163" t="str">
        <f>AM$20</f>
        <v>，以及任意一门自选语言</v>
      </c>
    </row>
    <row r="24" spans="1:39" ht="14.4" customHeight="1" x14ac:dyDescent="0.25">
      <c r="A24" s="181" t="str">
        <f>IF(OR(综合数据!B9=TRUE,综合数据!B18=TRUE),"牛头人","")</f>
        <v>牛头人</v>
      </c>
      <c r="B24" s="130" t="str">
        <f t="shared" ref="B24:O24" si="32">""</f>
        <v/>
      </c>
      <c r="C24" s="130" t="str">
        <f t="shared" si="32"/>
        <v/>
      </c>
      <c r="D24" s="130" t="str">
        <f t="shared" si="32"/>
        <v/>
      </c>
      <c r="E24" s="130" t="str">
        <f t="shared" si="32"/>
        <v/>
      </c>
      <c r="F24" s="130" t="str">
        <f t="shared" si="32"/>
        <v/>
      </c>
      <c r="G24" s="130" t="str">
        <f t="shared" si="32"/>
        <v/>
      </c>
      <c r="H24" s="130" t="str">
        <f t="shared" si="32"/>
        <v/>
      </c>
      <c r="I24" s="130" t="str">
        <f t="shared" si="32"/>
        <v/>
      </c>
      <c r="J24" s="130" t="str">
        <f t="shared" si="32"/>
        <v/>
      </c>
      <c r="K24" s="130" t="str">
        <f t="shared" si="32"/>
        <v/>
      </c>
      <c r="L24" s="130" t="str">
        <f t="shared" si="32"/>
        <v/>
      </c>
      <c r="M24" s="130" t="str">
        <f t="shared" si="32"/>
        <v/>
      </c>
      <c r="N24" s="130" t="str">
        <f t="shared" si="32"/>
        <v/>
      </c>
      <c r="O24" s="155" t="str">
        <f t="shared" si="32"/>
        <v/>
      </c>
      <c r="S24" s="157" t="str">
        <f t="array" ref="S24">INDEX(A:A,SMALL(IF($A$2:$A$45&lt;&gt;"",ROW($2:$45),46),ROW(A23)))&amp;""</f>
        <v>牛头人</v>
      </c>
      <c r="W24" s="180"/>
      <c r="X24" s="180"/>
      <c r="AB24" s="106" t="s">
        <v>777</v>
      </c>
      <c r="AC24" s="130">
        <f>IF(V3=A19,COUNTIF($AB$2:$AB$15,"狡猾")+COUNTIF($AB$2:$AB$15,"反抗")+COUNTIF($AB$2:$AB$15,"龙族术法"),0)</f>
        <v>0</v>
      </c>
      <c r="AE24" s="152" t="s">
        <v>594</v>
      </c>
      <c r="AF24" s="131"/>
      <c r="AG24" s="131">
        <v>1</v>
      </c>
      <c r="AH24" s="131">
        <v>2</v>
      </c>
      <c r="AI24" s="169" t="s">
        <v>778</v>
      </c>
      <c r="AJ24" s="162" t="s">
        <v>779</v>
      </c>
      <c r="AK24" s="162" t="str">
        <f t="shared" si="30"/>
        <v>中型</v>
      </c>
      <c r="AL24" s="162" t="str">
        <f t="shared" si="30"/>
        <v>基础步行速度为30尺</v>
      </c>
      <c r="AM24" s="163" t="str">
        <f t="shared" ref="AM24:AM30" si="33">AM$20</f>
        <v>，以及任意一门自选语言</v>
      </c>
    </row>
    <row r="25" spans="1:39" ht="14.4" customHeight="1" x14ac:dyDescent="0.25">
      <c r="A25" s="181" t="str">
        <f>IF(综合数据!B9=TRUE,"象族","")</f>
        <v>象族</v>
      </c>
      <c r="B25" s="130" t="str">
        <f t="shared" ref="B25:O25" si="34">""</f>
        <v/>
      </c>
      <c r="C25" s="130" t="str">
        <f t="shared" si="34"/>
        <v/>
      </c>
      <c r="D25" s="130" t="str">
        <f t="shared" si="34"/>
        <v/>
      </c>
      <c r="E25" s="130" t="str">
        <f t="shared" si="34"/>
        <v/>
      </c>
      <c r="F25" s="130" t="str">
        <f t="shared" si="34"/>
        <v/>
      </c>
      <c r="G25" s="130" t="str">
        <f t="shared" si="34"/>
        <v/>
      </c>
      <c r="H25" s="130" t="str">
        <f t="shared" si="34"/>
        <v/>
      </c>
      <c r="I25" s="130" t="str">
        <f t="shared" si="34"/>
        <v/>
      </c>
      <c r="J25" s="130" t="str">
        <f t="shared" si="34"/>
        <v/>
      </c>
      <c r="K25" s="130" t="str">
        <f t="shared" si="34"/>
        <v/>
      </c>
      <c r="L25" s="130" t="str">
        <f t="shared" si="34"/>
        <v/>
      </c>
      <c r="M25" s="130" t="str">
        <f t="shared" si="34"/>
        <v/>
      </c>
      <c r="N25" s="130" t="str">
        <f t="shared" si="34"/>
        <v/>
      </c>
      <c r="O25" s="155" t="str">
        <f t="shared" si="34"/>
        <v/>
      </c>
      <c r="S25" s="157" t="str">
        <f t="array" ref="S25">INDEX(A:A,SMALL(IF($A$2:$A$45&lt;&gt;"",ROW($2:$45),46),ROW(A24)))&amp;""</f>
        <v>象族</v>
      </c>
      <c r="W25" s="180"/>
      <c r="X25" s="180"/>
      <c r="AB25" s="106" t="s">
        <v>780</v>
      </c>
      <c r="AC25" s="130">
        <f>IF(V3=A30,COUNTIF($AB$2:$AB$15,"兽皮")+COUNTIF($AB$2:$AB$15,"长牙")+COUNTIF($AB$2:$AB$15,"迅捷")+COUNTIF($AB$2:$AB$15,"猎食"),0)</f>
        <v>0</v>
      </c>
      <c r="AE25" s="169" t="s">
        <v>772</v>
      </c>
      <c r="AF25" s="154"/>
      <c r="AG25" s="154">
        <f>IF(V3=A9,5,3)</f>
        <v>3</v>
      </c>
      <c r="AH25" s="154">
        <f>IF(V3=A9,8,6)</f>
        <v>6</v>
      </c>
      <c r="AI25" s="169" t="s">
        <v>781</v>
      </c>
      <c r="AJ25" s="162" t="s">
        <v>782</v>
      </c>
      <c r="AK25" s="162" t="str">
        <f t="shared" si="30"/>
        <v>中型</v>
      </c>
      <c r="AL25" s="162" t="str">
        <f t="shared" si="30"/>
        <v>基础步行速度为30尺</v>
      </c>
      <c r="AM25" s="163" t="str">
        <f t="shared" si="33"/>
        <v>，以及任意一门自选语言</v>
      </c>
    </row>
    <row r="26" spans="1:39" ht="14.4" customHeight="1" x14ac:dyDescent="0.25">
      <c r="A26" s="181" t="str">
        <f>IF(综合数据!B9=TRUE,"析米克混生体","")</f>
        <v>析米克混生体</v>
      </c>
      <c r="B26" s="130" t="str">
        <f t="shared" ref="B26:O26" si="35">""</f>
        <v/>
      </c>
      <c r="C26" s="130" t="str">
        <f t="shared" si="35"/>
        <v/>
      </c>
      <c r="D26" s="130" t="str">
        <f t="shared" si="35"/>
        <v/>
      </c>
      <c r="E26" s="130" t="str">
        <f t="shared" si="35"/>
        <v/>
      </c>
      <c r="F26" s="130" t="str">
        <f t="shared" si="35"/>
        <v/>
      </c>
      <c r="G26" s="130" t="str">
        <f t="shared" si="35"/>
        <v/>
      </c>
      <c r="H26" s="130" t="str">
        <f t="shared" si="35"/>
        <v/>
      </c>
      <c r="I26" s="130" t="str">
        <f t="shared" si="35"/>
        <v/>
      </c>
      <c r="J26" s="130" t="str">
        <f t="shared" si="35"/>
        <v/>
      </c>
      <c r="K26" s="130" t="str">
        <f t="shared" si="35"/>
        <v/>
      </c>
      <c r="L26" s="130" t="str">
        <f t="shared" si="35"/>
        <v/>
      </c>
      <c r="M26" s="130" t="str">
        <f t="shared" si="35"/>
        <v/>
      </c>
      <c r="N26" s="130" t="str">
        <f t="shared" si="35"/>
        <v/>
      </c>
      <c r="O26" s="155" t="str">
        <f t="shared" si="35"/>
        <v/>
      </c>
      <c r="S26" s="157" t="str">
        <f t="array" ref="S26">INDEX(A:A,SMALL(IF($A$2:$A$45&lt;&gt;"",ROW($2:$45),46),ROW(A25)))&amp;""</f>
        <v>析米克混生体</v>
      </c>
      <c r="W26" s="180"/>
      <c r="X26" s="180"/>
      <c r="AE26" s="169" t="s">
        <v>775</v>
      </c>
      <c r="AF26" s="154"/>
      <c r="AG26" s="154">
        <v>7</v>
      </c>
      <c r="AH26" s="154">
        <v>11</v>
      </c>
      <c r="AI26" s="169" t="s">
        <v>783</v>
      </c>
      <c r="AJ26" s="162" t="s">
        <v>477</v>
      </c>
      <c r="AK26" s="162" t="str">
        <f t="shared" si="30"/>
        <v>中型</v>
      </c>
      <c r="AL26" s="162" t="str">
        <f t="shared" si="30"/>
        <v>基础步行速度为30尺</v>
      </c>
      <c r="AM26" s="163" t="str">
        <f t="shared" si="33"/>
        <v>，以及任意一门自选语言</v>
      </c>
    </row>
    <row r="27" spans="1:39" ht="14.4" customHeight="1" x14ac:dyDescent="0.25">
      <c r="A27" s="181" t="str">
        <f>IF(综合数据!B9=TRUE,"维多肯","")</f>
        <v>维多肯</v>
      </c>
      <c r="B27" s="130" t="str">
        <f t="shared" ref="B27:O27" si="36">""</f>
        <v/>
      </c>
      <c r="C27" s="130" t="str">
        <f t="shared" si="36"/>
        <v/>
      </c>
      <c r="D27" s="130" t="str">
        <f t="shared" si="36"/>
        <v/>
      </c>
      <c r="E27" s="130" t="str">
        <f t="shared" si="36"/>
        <v/>
      </c>
      <c r="F27" s="130" t="str">
        <f t="shared" si="36"/>
        <v/>
      </c>
      <c r="G27" s="130" t="str">
        <f t="shared" si="36"/>
        <v/>
      </c>
      <c r="H27" s="130" t="str">
        <f t="shared" si="36"/>
        <v/>
      </c>
      <c r="I27" s="130" t="str">
        <f t="shared" si="36"/>
        <v/>
      </c>
      <c r="J27" s="130" t="str">
        <f t="shared" si="36"/>
        <v/>
      </c>
      <c r="K27" s="130" t="str">
        <f t="shared" si="36"/>
        <v/>
      </c>
      <c r="L27" s="130" t="str">
        <f t="shared" si="36"/>
        <v/>
      </c>
      <c r="M27" s="130" t="str">
        <f t="shared" si="36"/>
        <v/>
      </c>
      <c r="N27" s="130" t="str">
        <f t="shared" si="36"/>
        <v/>
      </c>
      <c r="O27" s="155" t="str">
        <f t="shared" si="36"/>
        <v/>
      </c>
      <c r="S27" s="157" t="str">
        <f t="array" ref="S27">INDEX(A:A,SMALL(IF($A$2:$A$45&lt;&gt;"",ROW($2:$45),46),ROW(A26)))&amp;""</f>
        <v>维多肯</v>
      </c>
      <c r="W27" s="180"/>
      <c r="X27" s="180"/>
      <c r="AE27" s="169" t="s">
        <v>778</v>
      </c>
      <c r="AF27" s="154"/>
      <c r="AG27" s="154">
        <v>12</v>
      </c>
      <c r="AH27" s="154">
        <v>15</v>
      </c>
      <c r="AI27" s="184" t="s">
        <v>784</v>
      </c>
      <c r="AJ27" s="162" t="str">
        <f>$AJ20</f>
        <v>全部属性+1</v>
      </c>
      <c r="AK27" s="162" t="str">
        <f t="shared" si="30"/>
        <v>中型</v>
      </c>
      <c r="AL27" s="162" t="str">
        <f t="shared" si="30"/>
        <v>基础步行速度为30尺</v>
      </c>
      <c r="AM27" s="163" t="str">
        <f t="shared" si="33"/>
        <v>，以及任意一门自选语言</v>
      </c>
    </row>
    <row r="28" spans="1:39" ht="14.4" customHeight="1" x14ac:dyDescent="0.25">
      <c r="A28" s="169" t="str">
        <f>IF(OR(综合数据!B10=TRUE,综合数据!B18=TRUE),"幻身灵","")</f>
        <v>幻身灵</v>
      </c>
      <c r="B28" s="130" t="str">
        <f t="shared" ref="B28:O28" si="37">""</f>
        <v/>
      </c>
      <c r="C28" s="130" t="str">
        <f t="shared" si="37"/>
        <v/>
      </c>
      <c r="D28" s="130" t="str">
        <f t="shared" si="37"/>
        <v/>
      </c>
      <c r="E28" s="130" t="str">
        <f t="shared" si="37"/>
        <v/>
      </c>
      <c r="F28" s="130" t="str">
        <f t="shared" si="37"/>
        <v/>
      </c>
      <c r="G28" s="130" t="str">
        <f t="shared" si="37"/>
        <v/>
      </c>
      <c r="H28" s="130" t="str">
        <f t="shared" si="37"/>
        <v/>
      </c>
      <c r="I28" s="130" t="str">
        <f t="shared" si="37"/>
        <v/>
      </c>
      <c r="J28" s="130" t="str">
        <f t="shared" si="37"/>
        <v/>
      </c>
      <c r="K28" s="130" t="str">
        <f t="shared" si="37"/>
        <v/>
      </c>
      <c r="L28" s="130" t="str">
        <f t="shared" si="37"/>
        <v/>
      </c>
      <c r="M28" s="130" t="str">
        <f t="shared" si="37"/>
        <v/>
      </c>
      <c r="N28" s="130" t="str">
        <f t="shared" si="37"/>
        <v/>
      </c>
      <c r="O28" s="155" t="str">
        <f t="shared" si="37"/>
        <v/>
      </c>
      <c r="S28" s="157" t="str">
        <f t="array" ref="S28">INDEX(A:A,SMALL(IF($A$2:$A$45&lt;&gt;"",ROW($2:$45),46),ROW(A27)))&amp;""</f>
        <v>幻身灵</v>
      </c>
      <c r="AA28" s="106"/>
      <c r="AE28" s="169" t="s">
        <v>781</v>
      </c>
      <c r="AF28" s="154"/>
      <c r="AG28" s="154">
        <v>16</v>
      </c>
      <c r="AH28" s="154">
        <v>19</v>
      </c>
      <c r="AI28" s="184" t="s">
        <v>785</v>
      </c>
      <c r="AJ28" s="162" t="s">
        <v>786</v>
      </c>
      <c r="AK28" s="162" t="str">
        <f t="shared" si="30"/>
        <v>中型</v>
      </c>
      <c r="AL28" s="162" t="str">
        <f t="shared" si="30"/>
        <v>基础步行速度为30尺</v>
      </c>
      <c r="AM28" s="163" t="str">
        <f t="shared" si="33"/>
        <v>，以及任意一门自选语言</v>
      </c>
    </row>
    <row r="29" spans="1:39" ht="14.4" customHeight="1" x14ac:dyDescent="0.25">
      <c r="A29" s="169" t="str">
        <f>IF(综合数据!B10=TRUE,"离梦人","")</f>
        <v>离梦人</v>
      </c>
      <c r="B29" s="130" t="str">
        <f t="shared" ref="B29:O29" si="38">""</f>
        <v/>
      </c>
      <c r="C29" s="130" t="str">
        <f t="shared" si="38"/>
        <v/>
      </c>
      <c r="D29" s="130" t="str">
        <f t="shared" si="38"/>
        <v/>
      </c>
      <c r="E29" s="130" t="str">
        <f t="shared" si="38"/>
        <v/>
      </c>
      <c r="F29" s="130" t="str">
        <f t="shared" si="38"/>
        <v/>
      </c>
      <c r="G29" s="130" t="str">
        <f t="shared" si="38"/>
        <v/>
      </c>
      <c r="H29" s="130" t="str">
        <f t="shared" si="38"/>
        <v/>
      </c>
      <c r="I29" s="130" t="str">
        <f t="shared" si="38"/>
        <v/>
      </c>
      <c r="J29" s="130" t="str">
        <f t="shared" si="38"/>
        <v/>
      </c>
      <c r="K29" s="130" t="str">
        <f t="shared" si="38"/>
        <v/>
      </c>
      <c r="L29" s="130" t="str">
        <f t="shared" si="38"/>
        <v/>
      </c>
      <c r="M29" s="130" t="str">
        <f t="shared" si="38"/>
        <v/>
      </c>
      <c r="N29" s="130" t="str">
        <f t="shared" si="38"/>
        <v/>
      </c>
      <c r="O29" s="155" t="str">
        <f t="shared" si="38"/>
        <v/>
      </c>
      <c r="S29" s="157" t="str">
        <f t="array" ref="S29">INDEX(A:A,SMALL(IF($A$2:$A$45&lt;&gt;"",ROW($2:$45),46),ROW(A28)))&amp;""</f>
        <v>离梦人</v>
      </c>
      <c r="AE29" s="169" t="s">
        <v>783</v>
      </c>
      <c r="AF29" s="154"/>
      <c r="AG29" s="154">
        <v>20</v>
      </c>
      <c r="AH29" s="154">
        <v>23</v>
      </c>
      <c r="AI29" s="184" t="s">
        <v>787</v>
      </c>
      <c r="AJ29" s="162" t="s">
        <v>788</v>
      </c>
      <c r="AK29" s="162" t="str">
        <f t="shared" si="30"/>
        <v>中型</v>
      </c>
      <c r="AL29" s="162" t="str">
        <f t="shared" si="30"/>
        <v>基础步行速度为30尺</v>
      </c>
      <c r="AM29" s="163" t="str">
        <f t="shared" si="33"/>
        <v>，以及任意一门自选语言</v>
      </c>
    </row>
    <row r="30" spans="1:39" ht="14.4" customHeight="1" x14ac:dyDescent="0.25">
      <c r="A30" s="169" t="str">
        <f>IF(OR(综合数据!B10=TRUE,综合数据!B18=TRUE),"化兽者","")</f>
        <v>化兽者</v>
      </c>
      <c r="B30" s="130" t="str">
        <f t="shared" ref="B30:O30" si="39">""</f>
        <v/>
      </c>
      <c r="C30" s="130" t="str">
        <f t="shared" si="39"/>
        <v/>
      </c>
      <c r="D30" s="130" t="str">
        <f t="shared" si="39"/>
        <v/>
      </c>
      <c r="E30" s="130" t="str">
        <f t="shared" si="39"/>
        <v/>
      </c>
      <c r="F30" s="130" t="str">
        <f t="shared" si="39"/>
        <v/>
      </c>
      <c r="G30" s="130" t="str">
        <f t="shared" si="39"/>
        <v/>
      </c>
      <c r="H30" s="130" t="str">
        <f t="shared" si="39"/>
        <v/>
      </c>
      <c r="I30" s="130" t="str">
        <f t="shared" si="39"/>
        <v/>
      </c>
      <c r="J30" s="130" t="str">
        <f t="shared" si="39"/>
        <v/>
      </c>
      <c r="K30" s="130" t="str">
        <f t="shared" si="39"/>
        <v/>
      </c>
      <c r="L30" s="130" t="str">
        <f t="shared" si="39"/>
        <v/>
      </c>
      <c r="M30" s="130" t="str">
        <f t="shared" si="39"/>
        <v/>
      </c>
      <c r="N30" s="130" t="str">
        <f t="shared" si="39"/>
        <v/>
      </c>
      <c r="O30" s="155" t="str">
        <f t="shared" si="39"/>
        <v/>
      </c>
      <c r="S30" s="157" t="str">
        <f t="array" ref="S30">INDEX(A:A,SMALL(IF($A$2:$A$45&lt;&gt;"",ROW($2:$45),46),ROW(A29)))&amp;""</f>
        <v>化兽者</v>
      </c>
      <c r="AE30" s="184" t="s">
        <v>784</v>
      </c>
      <c r="AF30" s="168"/>
      <c r="AG30" s="168">
        <v>24</v>
      </c>
      <c r="AH30" s="168">
        <v>0</v>
      </c>
      <c r="AI30" s="184" t="s">
        <v>789</v>
      </c>
      <c r="AJ30" s="162" t="s">
        <v>790</v>
      </c>
      <c r="AK30" s="162" t="str">
        <f t="shared" si="30"/>
        <v>中型</v>
      </c>
      <c r="AL30" s="162" t="str">
        <f t="shared" si="30"/>
        <v>基础步行速度为30尺</v>
      </c>
      <c r="AM30" s="163" t="str">
        <f t="shared" si="33"/>
        <v>，以及任意一门自选语言</v>
      </c>
    </row>
    <row r="31" spans="1:39" ht="14.4" customHeight="1" x14ac:dyDescent="0.25">
      <c r="A31" s="169" t="str">
        <f>IF(综合数据!B10=TRUE,"机关人","")</f>
        <v>机关人</v>
      </c>
      <c r="B31" s="130" t="str">
        <f t="shared" ref="B31:O31" si="40">""</f>
        <v/>
      </c>
      <c r="C31" s="130" t="str">
        <f t="shared" si="40"/>
        <v/>
      </c>
      <c r="D31" s="130" t="str">
        <f t="shared" si="40"/>
        <v/>
      </c>
      <c r="E31" s="130" t="str">
        <f t="shared" si="40"/>
        <v/>
      </c>
      <c r="F31" s="130" t="str">
        <f t="shared" si="40"/>
        <v/>
      </c>
      <c r="G31" s="130" t="str">
        <f t="shared" si="40"/>
        <v/>
      </c>
      <c r="H31" s="130" t="str">
        <f t="shared" si="40"/>
        <v/>
      </c>
      <c r="I31" s="130" t="str">
        <f t="shared" si="40"/>
        <v/>
      </c>
      <c r="J31" s="130" t="str">
        <f t="shared" si="40"/>
        <v/>
      </c>
      <c r="K31" s="130" t="str">
        <f t="shared" si="40"/>
        <v/>
      </c>
      <c r="L31" s="130" t="str">
        <f t="shared" si="40"/>
        <v/>
      </c>
      <c r="M31" s="130" t="str">
        <f t="shared" si="40"/>
        <v/>
      </c>
      <c r="N31" s="130" t="str">
        <f t="shared" si="40"/>
        <v/>
      </c>
      <c r="O31" s="155" t="str">
        <f t="shared" si="40"/>
        <v/>
      </c>
      <c r="S31" s="157" t="str">
        <f t="array" ref="S31">INDEX(A:A,SMALL(IF($A$2:$A$45&lt;&gt;"",ROW($2:$45),46),ROW(A30)))&amp;""</f>
        <v>机关人</v>
      </c>
      <c r="AE31" s="184" t="s">
        <v>785</v>
      </c>
      <c r="AF31" s="168"/>
      <c r="AG31" s="168">
        <v>24</v>
      </c>
      <c r="AH31" s="168">
        <v>27</v>
      </c>
      <c r="AI31" s="152" t="s">
        <v>633</v>
      </c>
      <c r="AJ31" s="162" t="s">
        <v>791</v>
      </c>
      <c r="AK31" s="162" t="s">
        <v>478</v>
      </c>
      <c r="AL31" s="162" t="s">
        <v>558</v>
      </c>
      <c r="AM31" s="163" t="s">
        <v>792</v>
      </c>
    </row>
    <row r="32" spans="1:39" ht="14.4" customHeight="1" x14ac:dyDescent="0.25">
      <c r="A32" s="174" t="str">
        <f>IF(OR(综合数据!B11=TRUE,综合数据!B18=TRUE),"阿兰寇拉鹰人","")</f>
        <v>阿兰寇拉鹰人</v>
      </c>
      <c r="B32" s="130" t="str">
        <f t="shared" ref="B32:O32" si="41">""</f>
        <v/>
      </c>
      <c r="C32" s="130" t="str">
        <f t="shared" si="41"/>
        <v/>
      </c>
      <c r="D32" s="130" t="str">
        <f t="shared" si="41"/>
        <v/>
      </c>
      <c r="E32" s="130" t="str">
        <f t="shared" si="41"/>
        <v/>
      </c>
      <c r="F32" s="130" t="str">
        <f t="shared" si="41"/>
        <v/>
      </c>
      <c r="G32" s="130" t="str">
        <f t="shared" si="41"/>
        <v/>
      </c>
      <c r="H32" s="130" t="str">
        <f t="shared" si="41"/>
        <v/>
      </c>
      <c r="I32" s="130" t="str">
        <f t="shared" si="41"/>
        <v/>
      </c>
      <c r="J32" s="130" t="str">
        <f t="shared" si="41"/>
        <v/>
      </c>
      <c r="K32" s="130" t="str">
        <f t="shared" si="41"/>
        <v/>
      </c>
      <c r="L32" s="130" t="str">
        <f t="shared" si="41"/>
        <v/>
      </c>
      <c r="M32" s="130" t="str">
        <f t="shared" si="41"/>
        <v/>
      </c>
      <c r="N32" s="130" t="str">
        <f t="shared" si="41"/>
        <v/>
      </c>
      <c r="O32" s="155" t="str">
        <f t="shared" si="41"/>
        <v/>
      </c>
      <c r="S32" s="157" t="str">
        <f t="array" ref="S32">INDEX(A:A,SMALL(IF($A$2:$A$45&lt;&gt;"",ROW($2:$45),46),ROW(A31)))&amp;""</f>
        <v>阿兰寇拉鹰人</v>
      </c>
      <c r="AE32" s="184" t="s">
        <v>787</v>
      </c>
      <c r="AF32" s="168"/>
      <c r="AG32" s="168">
        <v>28</v>
      </c>
      <c r="AH32" s="168">
        <v>28</v>
      </c>
      <c r="AI32" s="174" t="s">
        <v>793</v>
      </c>
      <c r="AJ32" s="162" t="s">
        <v>794</v>
      </c>
      <c r="AK32" s="162" t="str">
        <f>AK$31</f>
        <v>中型</v>
      </c>
      <c r="AL32" s="162" t="str">
        <f>AL$31</f>
        <v>基础步行速度为30尺</v>
      </c>
      <c r="AM32" s="163" t="str">
        <f t="shared" ref="AK32:AM33" si="42">AM$31</f>
        <v>和龙语</v>
      </c>
    </row>
    <row r="33" spans="1:39" ht="14.4" customHeight="1" x14ac:dyDescent="0.25">
      <c r="A33" s="174" t="str">
        <f>IF(OR(综合数据!B11=TRUE,综合数据!B18=TRUE),"元素裔","")</f>
        <v>元素裔</v>
      </c>
      <c r="B33" s="165" t="s">
        <v>795</v>
      </c>
      <c r="C33" s="165" t="s">
        <v>796</v>
      </c>
      <c r="D33" s="165" t="s">
        <v>797</v>
      </c>
      <c r="E33" s="165" t="s">
        <v>798</v>
      </c>
      <c r="F33" s="130" t="str">
        <f t="shared" ref="F33:O33" si="43">""</f>
        <v/>
      </c>
      <c r="G33" s="130" t="str">
        <f t="shared" si="43"/>
        <v/>
      </c>
      <c r="H33" s="130" t="str">
        <f t="shared" si="43"/>
        <v/>
      </c>
      <c r="I33" s="130" t="str">
        <f t="shared" si="43"/>
        <v/>
      </c>
      <c r="J33" s="130" t="str">
        <f t="shared" si="43"/>
        <v/>
      </c>
      <c r="K33" s="130" t="str">
        <f t="shared" si="43"/>
        <v/>
      </c>
      <c r="L33" s="130" t="str">
        <f t="shared" si="43"/>
        <v/>
      </c>
      <c r="M33" s="130" t="str">
        <f t="shared" si="43"/>
        <v/>
      </c>
      <c r="N33" s="130" t="str">
        <f t="shared" si="43"/>
        <v/>
      </c>
      <c r="O33" s="155" t="str">
        <f t="shared" si="43"/>
        <v/>
      </c>
      <c r="S33" s="157" t="str">
        <f t="array" ref="S33">INDEX(A:A,SMALL(IF($A$2:$A$45&lt;&gt;"",ROW($2:$45),46),ROW(A32)))&amp;""</f>
        <v>元素裔</v>
      </c>
      <c r="AE33" s="184" t="s">
        <v>789</v>
      </c>
      <c r="AF33" s="168"/>
      <c r="AG33" s="168">
        <v>29</v>
      </c>
      <c r="AH33" s="168">
        <v>30</v>
      </c>
      <c r="AI33" s="174" t="s">
        <v>799</v>
      </c>
      <c r="AJ33" s="162" t="s">
        <v>800</v>
      </c>
      <c r="AK33" s="162" t="str">
        <f t="shared" si="42"/>
        <v>中型</v>
      </c>
      <c r="AL33" s="162" t="str">
        <f t="shared" si="42"/>
        <v>基础步行速度为30尺</v>
      </c>
      <c r="AM33" s="163" t="str">
        <f t="shared" si="42"/>
        <v>和龙语</v>
      </c>
    </row>
    <row r="34" spans="1:39" ht="14.4" customHeight="1" x14ac:dyDescent="0.25">
      <c r="A34" s="174" t="str">
        <f>IF(OR(综合数据!B11=TRUE,综合数据!B18=TRUE),"龟人","")</f>
        <v>龟人</v>
      </c>
      <c r="B34" s="130" t="str">
        <f t="shared" ref="B34:O34" si="44">""</f>
        <v/>
      </c>
      <c r="C34" s="130" t="str">
        <f t="shared" si="44"/>
        <v/>
      </c>
      <c r="D34" s="130" t="str">
        <f t="shared" si="44"/>
        <v/>
      </c>
      <c r="E34" s="130" t="str">
        <f t="shared" si="44"/>
        <v/>
      </c>
      <c r="F34" s="130" t="str">
        <f t="shared" si="44"/>
        <v/>
      </c>
      <c r="G34" s="130" t="str">
        <f t="shared" si="44"/>
        <v/>
      </c>
      <c r="H34" s="130" t="str">
        <f t="shared" si="44"/>
        <v/>
      </c>
      <c r="I34" s="130" t="str">
        <f t="shared" si="44"/>
        <v/>
      </c>
      <c r="J34" s="130" t="str">
        <f t="shared" si="44"/>
        <v/>
      </c>
      <c r="K34" s="130" t="str">
        <f t="shared" si="44"/>
        <v/>
      </c>
      <c r="L34" s="130" t="str">
        <f t="shared" si="44"/>
        <v/>
      </c>
      <c r="M34" s="130" t="str">
        <f t="shared" si="44"/>
        <v/>
      </c>
      <c r="N34" s="130" t="str">
        <f t="shared" si="44"/>
        <v/>
      </c>
      <c r="O34" s="155" t="str">
        <f t="shared" si="44"/>
        <v/>
      </c>
      <c r="S34" s="157" t="str">
        <f t="array" ref="S34">INDEX(A:A,SMALL(IF($A$2:$A$45&lt;&gt;"",ROW($2:$45),46),ROW(A33)))&amp;""</f>
        <v>龟人</v>
      </c>
      <c r="AE34" s="185" t="s">
        <v>633</v>
      </c>
      <c r="AF34" s="161">
        <f>AF23+1</f>
        <v>5</v>
      </c>
      <c r="AG34" s="161">
        <v>1</v>
      </c>
      <c r="AH34" s="161">
        <f>IF(COUNTIF(D6:F6,V4),1,IF(COUNTIF(B6:C6,V4),2,3))</f>
        <v>3</v>
      </c>
      <c r="AI34" s="186" t="s">
        <v>801</v>
      </c>
      <c r="AJ34" s="162" t="s">
        <v>557</v>
      </c>
      <c r="AK34" s="162" t="str">
        <f t="shared" ref="AK34:AL36" si="45">AK$31</f>
        <v>中型</v>
      </c>
      <c r="AL34" s="162" t="str">
        <f t="shared" si="45"/>
        <v>基础步行速度为30尺</v>
      </c>
      <c r="AM34" s="163" t="str">
        <f>AM$20</f>
        <v>，以及任意一门自选语言</v>
      </c>
    </row>
    <row r="35" spans="1:39" ht="14.4" customHeight="1" x14ac:dyDescent="0.25">
      <c r="A35" s="187" t="str">
        <f>IF(综合数据!B12=TRUE,"佛丹人","")</f>
        <v>佛丹人</v>
      </c>
      <c r="B35" s="130" t="str">
        <f t="shared" ref="B35:O35" si="46">""</f>
        <v/>
      </c>
      <c r="C35" s="130" t="str">
        <f t="shared" si="46"/>
        <v/>
      </c>
      <c r="D35" s="130" t="str">
        <f t="shared" si="46"/>
        <v/>
      </c>
      <c r="E35" s="130" t="str">
        <f t="shared" si="46"/>
        <v/>
      </c>
      <c r="F35" s="130" t="str">
        <f t="shared" si="46"/>
        <v/>
      </c>
      <c r="G35" s="130" t="str">
        <f t="shared" si="46"/>
        <v/>
      </c>
      <c r="H35" s="130" t="str">
        <f t="shared" si="46"/>
        <v/>
      </c>
      <c r="I35" s="130" t="str">
        <f t="shared" si="46"/>
        <v/>
      </c>
      <c r="J35" s="130" t="str">
        <f t="shared" si="46"/>
        <v/>
      </c>
      <c r="K35" s="130" t="str">
        <f t="shared" si="46"/>
        <v/>
      </c>
      <c r="L35" s="130" t="str">
        <f t="shared" si="46"/>
        <v/>
      </c>
      <c r="M35" s="130" t="str">
        <f t="shared" si="46"/>
        <v/>
      </c>
      <c r="N35" s="130" t="str">
        <f t="shared" si="46"/>
        <v/>
      </c>
      <c r="O35" s="155" t="str">
        <f t="shared" si="46"/>
        <v/>
      </c>
      <c r="S35" s="157" t="str">
        <f t="array" ref="S35">INDEX(A:A,SMALL(IF($A$2:$A$45&lt;&gt;"",ROW($2:$45),46),ROW(A34)))&amp;""</f>
        <v>佛丹人</v>
      </c>
      <c r="T35" s="132"/>
      <c r="AE35" s="174" t="s">
        <v>793</v>
      </c>
      <c r="AF35" s="165"/>
      <c r="AG35" s="165">
        <v>4</v>
      </c>
      <c r="AH35" s="165">
        <v>5</v>
      </c>
      <c r="AI35" s="186" t="s">
        <v>802</v>
      </c>
      <c r="AJ35" s="162" t="str">
        <f>AJ34</f>
        <v>自选两项属性分别+2/+1或自选三项属性+1</v>
      </c>
      <c r="AK35" s="162" t="str">
        <f t="shared" si="45"/>
        <v>中型</v>
      </c>
      <c r="AL35" s="162" t="str">
        <f t="shared" si="45"/>
        <v>基础步行速度为30尺</v>
      </c>
      <c r="AM35" s="163" t="str">
        <f>AM$20</f>
        <v>，以及任意一门自选语言</v>
      </c>
    </row>
    <row r="36" spans="1:39" ht="14.4" customHeight="1" x14ac:dyDescent="0.25">
      <c r="A36" s="188" t="str">
        <f>IF(综合数据!B13=TRUE,"狮族","")</f>
        <v>狮族</v>
      </c>
      <c r="B36" s="130" t="str">
        <f t="shared" ref="B36:O36" si="47">""</f>
        <v/>
      </c>
      <c r="C36" s="130" t="str">
        <f t="shared" si="47"/>
        <v/>
      </c>
      <c r="D36" s="130" t="str">
        <f t="shared" si="47"/>
        <v/>
      </c>
      <c r="E36" s="130" t="str">
        <f t="shared" si="47"/>
        <v/>
      </c>
      <c r="F36" s="130" t="str">
        <f t="shared" si="47"/>
        <v/>
      </c>
      <c r="G36" s="130" t="str">
        <f t="shared" si="47"/>
        <v/>
      </c>
      <c r="H36" s="130" t="str">
        <f t="shared" si="47"/>
        <v/>
      </c>
      <c r="I36" s="130" t="str">
        <f t="shared" si="47"/>
        <v/>
      </c>
      <c r="J36" s="130" t="str">
        <f t="shared" si="47"/>
        <v/>
      </c>
      <c r="K36" s="130" t="str">
        <f t="shared" si="47"/>
        <v/>
      </c>
      <c r="L36" s="130" t="str">
        <f t="shared" si="47"/>
        <v/>
      </c>
      <c r="M36" s="130" t="str">
        <f t="shared" si="47"/>
        <v/>
      </c>
      <c r="N36" s="130" t="str">
        <f t="shared" si="47"/>
        <v/>
      </c>
      <c r="O36" s="155" t="str">
        <f t="shared" si="47"/>
        <v/>
      </c>
      <c r="S36" s="157" t="str">
        <f t="array" ref="S36">INDEX(A:A,SMALL(IF($A$2:$A$45&lt;&gt;"",ROW($2:$45),46),ROW(A35)))&amp;""</f>
        <v>狮族</v>
      </c>
      <c r="T36" s="132"/>
      <c r="AE36" s="174" t="s">
        <v>799</v>
      </c>
      <c r="AF36" s="165"/>
      <c r="AG36" s="165">
        <v>6</v>
      </c>
      <c r="AH36" s="165">
        <v>7</v>
      </c>
      <c r="AI36" s="186" t="s">
        <v>803</v>
      </c>
      <c r="AJ36" s="162" t="str">
        <f>AJ34</f>
        <v>自选两项属性分别+2/+1或自选三项属性+1</v>
      </c>
      <c r="AK36" s="162" t="str">
        <f t="shared" si="45"/>
        <v>中型</v>
      </c>
      <c r="AL36" s="162" t="str">
        <f t="shared" si="45"/>
        <v>基础步行速度为30尺</v>
      </c>
      <c r="AM36" s="163" t="str">
        <f>AM$20</f>
        <v>，以及任意一门自选语言</v>
      </c>
    </row>
    <row r="37" spans="1:39" ht="14.4" customHeight="1" x14ac:dyDescent="0.25">
      <c r="A37" s="188" t="str">
        <f>IF(OR(综合数据!B13=TRUE,综合数据!B18=TRUE),"半羊人","")</f>
        <v>半羊人</v>
      </c>
      <c r="B37" s="130" t="str">
        <f t="shared" ref="B37:O37" si="48">""</f>
        <v/>
      </c>
      <c r="C37" s="130" t="str">
        <f t="shared" si="48"/>
        <v/>
      </c>
      <c r="D37" s="130" t="str">
        <f t="shared" si="48"/>
        <v/>
      </c>
      <c r="E37" s="130" t="str">
        <f t="shared" si="48"/>
        <v/>
      </c>
      <c r="F37" s="130" t="str">
        <f t="shared" si="48"/>
        <v/>
      </c>
      <c r="G37" s="130" t="str">
        <f t="shared" si="48"/>
        <v/>
      </c>
      <c r="H37" s="130" t="str">
        <f t="shared" si="48"/>
        <v/>
      </c>
      <c r="I37" s="130" t="str">
        <f t="shared" si="48"/>
        <v/>
      </c>
      <c r="J37" s="130" t="str">
        <f t="shared" si="48"/>
        <v/>
      </c>
      <c r="K37" s="130" t="str">
        <f t="shared" si="48"/>
        <v/>
      </c>
      <c r="L37" s="130" t="str">
        <f t="shared" si="48"/>
        <v/>
      </c>
      <c r="M37" s="130" t="str">
        <f t="shared" si="48"/>
        <v/>
      </c>
      <c r="N37" s="130" t="str">
        <f t="shared" si="48"/>
        <v/>
      </c>
      <c r="O37" s="155" t="str">
        <f t="shared" si="48"/>
        <v/>
      </c>
      <c r="S37" s="157" t="str">
        <f t="array" ref="S37">INDEX(A:A,SMALL(IF($A$2:$A$45&lt;&gt;"",ROW($2:$45),46),ROW(A36)))&amp;""</f>
        <v>半羊人</v>
      </c>
      <c r="T37" s="132"/>
      <c r="AE37" s="186" t="s">
        <v>801</v>
      </c>
      <c r="AG37" s="130">
        <v>8</v>
      </c>
      <c r="AH37" s="131">
        <f>IF(V2&lt;5,9,10)</f>
        <v>9</v>
      </c>
      <c r="AI37" s="152" t="s">
        <v>662</v>
      </c>
      <c r="AJ37" s="162" t="s">
        <v>804</v>
      </c>
      <c r="AK37" s="162" t="s">
        <v>518</v>
      </c>
      <c r="AL37" s="162" t="s">
        <v>747</v>
      </c>
      <c r="AM37" s="163" t="s">
        <v>805</v>
      </c>
    </row>
    <row r="38" spans="1:39" ht="14.4" customHeight="1" x14ac:dyDescent="0.25">
      <c r="A38" s="189" t="str">
        <f>IF(综合数据!B17=TRUE,"枭人","")</f>
        <v>枭人</v>
      </c>
      <c r="B38" s="130" t="str">
        <f t="shared" ref="B38:O38" si="49">""</f>
        <v/>
      </c>
      <c r="C38" s="130" t="str">
        <f t="shared" si="49"/>
        <v/>
      </c>
      <c r="D38" s="130" t="str">
        <f t="shared" si="49"/>
        <v/>
      </c>
      <c r="E38" s="130" t="str">
        <f t="shared" si="49"/>
        <v/>
      </c>
      <c r="F38" s="130" t="str">
        <f t="shared" si="49"/>
        <v/>
      </c>
      <c r="G38" s="130" t="str">
        <f t="shared" si="49"/>
        <v/>
      </c>
      <c r="H38" s="130" t="str">
        <f t="shared" si="49"/>
        <v/>
      </c>
      <c r="I38" s="130" t="str">
        <f t="shared" si="49"/>
        <v/>
      </c>
      <c r="J38" s="130" t="str">
        <f t="shared" si="49"/>
        <v/>
      </c>
      <c r="K38" s="130" t="str">
        <f t="shared" si="49"/>
        <v/>
      </c>
      <c r="L38" s="130" t="str">
        <f t="shared" si="49"/>
        <v/>
      </c>
      <c r="M38" s="130" t="str">
        <f t="shared" si="49"/>
        <v/>
      </c>
      <c r="N38" s="130" t="str">
        <f t="shared" si="49"/>
        <v/>
      </c>
      <c r="O38" s="155" t="str">
        <f t="shared" si="49"/>
        <v/>
      </c>
      <c r="S38" s="157" t="str">
        <f t="array" ref="S38">INDEX(A:A,SMALL(IF($A$2:$A$45&lt;&gt;"",ROW($2:$45),46),ROW(A37)))&amp;""</f>
        <v>枭人</v>
      </c>
      <c r="T38" s="132"/>
      <c r="AE38" s="170" t="s">
        <v>802</v>
      </c>
      <c r="AF38" s="131"/>
      <c r="AG38" s="131">
        <v>11</v>
      </c>
      <c r="AH38" s="131">
        <f>IF(V2&lt;5,13,14)</f>
        <v>13</v>
      </c>
      <c r="AI38" s="152" t="s">
        <v>663</v>
      </c>
      <c r="AJ38" s="162" t="s">
        <v>806</v>
      </c>
      <c r="AK38" s="162" t="str">
        <f t="shared" ref="AK38:AM40" si="50">AK$37</f>
        <v>小型</v>
      </c>
      <c r="AL38" s="162" t="str">
        <f t="shared" si="50"/>
        <v>基础步行速度为25尺</v>
      </c>
      <c r="AM38" s="163" t="str">
        <f t="shared" si="50"/>
        <v>和侏儒语</v>
      </c>
    </row>
    <row r="39" spans="1:39" ht="14.4" customHeight="1" x14ac:dyDescent="0.25">
      <c r="A39" s="190" t="str">
        <f>IF(综合数据!B18=TRUE,"仙灵","")</f>
        <v>仙灵</v>
      </c>
      <c r="B39" s="130" t="str">
        <f t="shared" ref="B39:O39" si="51">""</f>
        <v/>
      </c>
      <c r="C39" s="130" t="str">
        <f t="shared" si="51"/>
        <v/>
      </c>
      <c r="D39" s="130" t="str">
        <f t="shared" si="51"/>
        <v/>
      </c>
      <c r="E39" s="130" t="str">
        <f t="shared" si="51"/>
        <v/>
      </c>
      <c r="F39" s="130" t="str">
        <f t="shared" si="51"/>
        <v/>
      </c>
      <c r="G39" s="130" t="str">
        <f t="shared" si="51"/>
        <v/>
      </c>
      <c r="H39" s="130" t="str">
        <f t="shared" si="51"/>
        <v/>
      </c>
      <c r="I39" s="130" t="str">
        <f t="shared" si="51"/>
        <v/>
      </c>
      <c r="J39" s="130" t="str">
        <f t="shared" si="51"/>
        <v/>
      </c>
      <c r="K39" s="130" t="str">
        <f t="shared" si="51"/>
        <v/>
      </c>
      <c r="L39" s="130" t="str">
        <f t="shared" si="51"/>
        <v/>
      </c>
      <c r="M39" s="130" t="str">
        <f t="shared" si="51"/>
        <v/>
      </c>
      <c r="N39" s="130" t="str">
        <f t="shared" si="51"/>
        <v/>
      </c>
      <c r="O39" s="155" t="str">
        <f t="shared" si="51"/>
        <v/>
      </c>
      <c r="S39" s="157" t="str">
        <f t="array" ref="S39">INDEX(A:A,SMALL(IF($A$2:$A$45&lt;&gt;"",ROW($2:$45),46),ROW(A38)))&amp;""</f>
        <v>仙灵</v>
      </c>
      <c r="T39" s="131"/>
      <c r="AE39" s="170" t="s">
        <v>803</v>
      </c>
      <c r="AF39" s="131"/>
      <c r="AG39" s="131">
        <v>15</v>
      </c>
      <c r="AH39" s="131">
        <f>IF(V2&lt;5,16,19)</f>
        <v>16</v>
      </c>
      <c r="AI39" s="167" t="s">
        <v>807</v>
      </c>
      <c r="AJ39" s="162" t="s">
        <v>557</v>
      </c>
      <c r="AK39" s="162" t="str">
        <f t="shared" si="50"/>
        <v>小型</v>
      </c>
      <c r="AL39" s="162" t="s">
        <v>558</v>
      </c>
      <c r="AM39" s="163" t="s">
        <v>559</v>
      </c>
    </row>
    <row r="40" spans="1:39" ht="14.4" customHeight="1" x14ac:dyDescent="0.25">
      <c r="A40" s="190" t="str">
        <f>IF(综合数据!B18=TRUE,"兔人","")</f>
        <v>兔人</v>
      </c>
      <c r="B40" s="130" t="str">
        <f t="shared" ref="B40:O40" si="52">""</f>
        <v/>
      </c>
      <c r="C40" s="130" t="str">
        <f t="shared" si="52"/>
        <v/>
      </c>
      <c r="D40" s="130" t="str">
        <f t="shared" si="52"/>
        <v/>
      </c>
      <c r="E40" s="130" t="str">
        <f t="shared" si="52"/>
        <v/>
      </c>
      <c r="F40" s="130" t="str">
        <f t="shared" si="52"/>
        <v/>
      </c>
      <c r="G40" s="130" t="str">
        <f t="shared" si="52"/>
        <v/>
      </c>
      <c r="H40" s="130" t="str">
        <f t="shared" si="52"/>
        <v/>
      </c>
      <c r="I40" s="130" t="str">
        <f t="shared" si="52"/>
        <v/>
      </c>
      <c r="J40" s="130" t="str">
        <f t="shared" si="52"/>
        <v/>
      </c>
      <c r="K40" s="130" t="str">
        <f t="shared" si="52"/>
        <v/>
      </c>
      <c r="L40" s="130" t="str">
        <f t="shared" si="52"/>
        <v/>
      </c>
      <c r="M40" s="130" t="str">
        <f t="shared" si="52"/>
        <v/>
      </c>
      <c r="N40" s="130" t="str">
        <f t="shared" si="52"/>
        <v/>
      </c>
      <c r="O40" s="155" t="str">
        <f t="shared" si="52"/>
        <v/>
      </c>
      <c r="S40" s="157" t="str">
        <f t="array" ref="S40">INDEX(A:A,SMALL(IF($A$2:$A$45&lt;&gt;"",ROW($2:$45),46),ROW(A39)))&amp;""</f>
        <v>兔人</v>
      </c>
      <c r="T40" s="132"/>
      <c r="AE40" s="185" t="s">
        <v>661</v>
      </c>
      <c r="AF40" s="161">
        <f>AF34+1</f>
        <v>6</v>
      </c>
      <c r="AG40" s="161">
        <v>1</v>
      </c>
      <c r="AH40" s="161">
        <v>2</v>
      </c>
      <c r="AI40" s="169" t="s">
        <v>808</v>
      </c>
      <c r="AJ40" s="162" t="s">
        <v>794</v>
      </c>
      <c r="AK40" s="162" t="str">
        <f t="shared" si="50"/>
        <v>小型</v>
      </c>
      <c r="AL40" s="162" t="str">
        <f t="shared" si="50"/>
        <v>基础步行速度为25尺</v>
      </c>
      <c r="AM40" s="163" t="str">
        <f t="shared" si="50"/>
        <v>和侏儒语</v>
      </c>
    </row>
    <row r="41" spans="1:39" ht="14.4" customHeight="1" x14ac:dyDescent="0.25">
      <c r="A41" s="184" t="str">
        <f>IF(综合数据!B19=TRUE,"洛卡鱼人","")</f>
        <v/>
      </c>
      <c r="B41" s="130" t="str">
        <f t="shared" ref="B41:O41" si="53">""</f>
        <v/>
      </c>
      <c r="C41" s="130" t="str">
        <f t="shared" si="53"/>
        <v/>
      </c>
      <c r="D41" s="130" t="str">
        <f t="shared" si="53"/>
        <v/>
      </c>
      <c r="E41" s="130" t="str">
        <f t="shared" si="53"/>
        <v/>
      </c>
      <c r="F41" s="130" t="str">
        <f t="shared" si="53"/>
        <v/>
      </c>
      <c r="G41" s="130" t="str">
        <f t="shared" si="53"/>
        <v/>
      </c>
      <c r="H41" s="130" t="str">
        <f t="shared" si="53"/>
        <v/>
      </c>
      <c r="I41" s="130" t="str">
        <f t="shared" si="53"/>
        <v/>
      </c>
      <c r="J41" s="130" t="str">
        <f t="shared" si="53"/>
        <v/>
      </c>
      <c r="K41" s="130" t="str">
        <f t="shared" si="53"/>
        <v/>
      </c>
      <c r="L41" s="130" t="str">
        <f t="shared" si="53"/>
        <v/>
      </c>
      <c r="M41" s="130" t="str">
        <f t="shared" si="53"/>
        <v/>
      </c>
      <c r="N41" s="130" t="str">
        <f t="shared" si="53"/>
        <v/>
      </c>
      <c r="O41" s="155" t="str">
        <f t="shared" si="53"/>
        <v/>
      </c>
      <c r="S41" s="157" t="str">
        <f t="array" ref="S41">INDEX(A:A,SMALL(IF($A$2:$A$45&lt;&gt;"",ROW($2:$45),46),ROW(A40)))&amp;""</f>
        <v/>
      </c>
      <c r="T41" s="132"/>
      <c r="AE41" s="152" t="s">
        <v>662</v>
      </c>
      <c r="AF41" s="131"/>
      <c r="AG41" s="131">
        <v>3</v>
      </c>
      <c r="AH41" s="131">
        <v>4</v>
      </c>
      <c r="AI41" s="152" t="s">
        <v>690</v>
      </c>
      <c r="AJ41" s="162" t="s">
        <v>809</v>
      </c>
      <c r="AK41" s="162" t="s">
        <v>478</v>
      </c>
      <c r="AL41" s="162" t="s">
        <v>558</v>
      </c>
      <c r="AM41" s="163" t="s">
        <v>810</v>
      </c>
    </row>
    <row r="42" spans="1:39" ht="14.4" customHeight="1" x14ac:dyDescent="0.25">
      <c r="A42" s="184" t="str">
        <f>IF(综合数据!B19=TRUE,"阿芒凯那伽","")</f>
        <v/>
      </c>
      <c r="B42" s="130" t="str">
        <f t="shared" ref="B42:O42" si="54">""</f>
        <v/>
      </c>
      <c r="C42" s="130" t="str">
        <f t="shared" si="54"/>
        <v/>
      </c>
      <c r="D42" s="130" t="str">
        <f t="shared" si="54"/>
        <v/>
      </c>
      <c r="E42" s="130" t="str">
        <f t="shared" si="54"/>
        <v/>
      </c>
      <c r="F42" s="130" t="str">
        <f t="shared" si="54"/>
        <v/>
      </c>
      <c r="G42" s="130" t="str">
        <f t="shared" si="54"/>
        <v/>
      </c>
      <c r="H42" s="130" t="str">
        <f t="shared" si="54"/>
        <v/>
      </c>
      <c r="I42" s="130" t="str">
        <f t="shared" si="54"/>
        <v/>
      </c>
      <c r="J42" s="130" t="str">
        <f t="shared" si="54"/>
        <v/>
      </c>
      <c r="K42" s="130" t="str">
        <f t="shared" si="54"/>
        <v/>
      </c>
      <c r="L42" s="130" t="str">
        <f t="shared" si="54"/>
        <v/>
      </c>
      <c r="M42" s="130" t="str">
        <f t="shared" si="54"/>
        <v/>
      </c>
      <c r="N42" s="130" t="str">
        <f t="shared" si="54"/>
        <v/>
      </c>
      <c r="O42" s="155" t="str">
        <f t="shared" si="54"/>
        <v/>
      </c>
      <c r="S42" s="157" t="str">
        <f t="array" ref="S42">INDEX(A:A,SMALL(IF($A$2:$A$45&lt;&gt;"",ROW($2:$45),46),ROW(A41)))&amp;""</f>
        <v/>
      </c>
      <c r="T42" s="132"/>
      <c r="AE42" s="152" t="s">
        <v>663</v>
      </c>
      <c r="AF42" s="131"/>
      <c r="AG42" s="131">
        <v>5</v>
      </c>
      <c r="AH42" s="131">
        <v>9</v>
      </c>
      <c r="AI42" s="177" t="s">
        <v>759</v>
      </c>
      <c r="AJ42" s="162" t="str">
        <f t="shared" ref="AJ42:AM43" si="55">AJ$41</f>
        <v>魅力+2，自选两项其他属性各+1</v>
      </c>
      <c r="AK42" s="162" t="str">
        <f t="shared" si="55"/>
        <v>中型</v>
      </c>
      <c r="AL42" s="162" t="str">
        <f t="shared" si="55"/>
        <v>基础步行速度为30尺</v>
      </c>
      <c r="AM42" s="163" t="str">
        <f t="shared" si="55"/>
        <v>和精灵语，以及任意一门自选语言</v>
      </c>
    </row>
    <row r="43" spans="1:39" ht="14.4" customHeight="1" x14ac:dyDescent="0.25">
      <c r="A43" s="184" t="str">
        <f>IF(综合数据!B19=TRUE,"人鱼","")</f>
        <v/>
      </c>
      <c r="B43" s="168" t="s">
        <v>811</v>
      </c>
      <c r="C43" s="168" t="s">
        <v>812</v>
      </c>
      <c r="D43" s="130" t="str">
        <f t="shared" ref="D43:O43" si="56">""</f>
        <v/>
      </c>
      <c r="E43" s="130" t="str">
        <f t="shared" si="56"/>
        <v/>
      </c>
      <c r="F43" s="130" t="str">
        <f t="shared" si="56"/>
        <v/>
      </c>
      <c r="G43" s="130" t="str">
        <f t="shared" si="56"/>
        <v/>
      </c>
      <c r="H43" s="130" t="str">
        <f t="shared" si="56"/>
        <v/>
      </c>
      <c r="I43" s="130" t="str">
        <f t="shared" si="56"/>
        <v/>
      </c>
      <c r="J43" s="130" t="str">
        <f t="shared" si="56"/>
        <v/>
      </c>
      <c r="K43" s="130" t="str">
        <f t="shared" si="56"/>
        <v/>
      </c>
      <c r="L43" s="130" t="str">
        <f t="shared" si="56"/>
        <v/>
      </c>
      <c r="M43" s="130" t="str">
        <f t="shared" si="56"/>
        <v/>
      </c>
      <c r="N43" s="130" t="str">
        <f t="shared" si="56"/>
        <v/>
      </c>
      <c r="O43" s="155" t="str">
        <f t="shared" si="56"/>
        <v/>
      </c>
      <c r="S43" s="157" t="str">
        <f t="array" ref="S43">INDEX(A:A,SMALL(IF($A$2:$A$45&lt;&gt;"",ROW($2:$45),46),ROW(A42)))&amp;""</f>
        <v/>
      </c>
      <c r="V43" s="132"/>
      <c r="AE43" s="167" t="s">
        <v>807</v>
      </c>
      <c r="AF43" s="153"/>
      <c r="AG43" s="153">
        <v>10</v>
      </c>
      <c r="AH43" s="153">
        <f>IF(V2&lt;3,11,12)</f>
        <v>11</v>
      </c>
      <c r="AI43" s="177" t="s">
        <v>813</v>
      </c>
      <c r="AJ43" s="162" t="str">
        <f t="shared" si="55"/>
        <v>魅力+2，自选两项其他属性各+1</v>
      </c>
      <c r="AK43" s="162" t="str">
        <f t="shared" si="55"/>
        <v>中型</v>
      </c>
      <c r="AL43" s="162" t="str">
        <f t="shared" si="55"/>
        <v>基础步行速度为30尺</v>
      </c>
      <c r="AM43" s="163" t="str">
        <f t="shared" si="55"/>
        <v>和精灵语，以及任意一门自选语言</v>
      </c>
    </row>
    <row r="44" spans="1:39" ht="14.4" customHeight="1" x14ac:dyDescent="0.25">
      <c r="A44" s="184" t="str">
        <f>IF(综合数据!B19=TRUE,"吸血鬼","")</f>
        <v/>
      </c>
      <c r="B44" s="168" t="s">
        <v>814</v>
      </c>
      <c r="C44" s="168" t="s">
        <v>815</v>
      </c>
      <c r="D44" s="130" t="str">
        <f t="shared" ref="D44:O44" si="57">""</f>
        <v/>
      </c>
      <c r="E44" s="130" t="str">
        <f t="shared" si="57"/>
        <v/>
      </c>
      <c r="F44" s="130" t="str">
        <f t="shared" si="57"/>
        <v/>
      </c>
      <c r="G44" s="130" t="str">
        <f t="shared" si="57"/>
        <v/>
      </c>
      <c r="H44" s="130" t="str">
        <f t="shared" si="57"/>
        <v/>
      </c>
      <c r="I44" s="130" t="str">
        <f t="shared" si="57"/>
        <v/>
      </c>
      <c r="J44" s="130" t="str">
        <f t="shared" si="57"/>
        <v/>
      </c>
      <c r="K44" s="130" t="str">
        <f t="shared" si="57"/>
        <v/>
      </c>
      <c r="L44" s="130" t="str">
        <f t="shared" si="57"/>
        <v/>
      </c>
      <c r="M44" s="130" t="str">
        <f t="shared" si="57"/>
        <v/>
      </c>
      <c r="N44" s="130" t="str">
        <f t="shared" si="57"/>
        <v/>
      </c>
      <c r="O44" s="155" t="str">
        <f t="shared" si="57"/>
        <v/>
      </c>
      <c r="S44" s="157" t="str">
        <f t="array" ref="S44">INDEX(A:A,SMALL(IF($A$2:$A$45&lt;&gt;"",ROW($2:$45),46),ROW(A43)))&amp;""</f>
        <v/>
      </c>
      <c r="AE44" s="169" t="s">
        <v>808</v>
      </c>
      <c r="AF44" s="154"/>
      <c r="AG44" s="154">
        <v>13</v>
      </c>
      <c r="AH44" s="154">
        <v>15</v>
      </c>
      <c r="AI44" s="177" t="s">
        <v>816</v>
      </c>
      <c r="AJ44" s="162" t="str">
        <f>AJ$43</f>
        <v>魅力+2，自选两项其他属性各+1</v>
      </c>
      <c r="AK44" s="162" t="str">
        <f>AK$43</f>
        <v>中型</v>
      </c>
      <c r="AL44" s="162" t="str">
        <f>AL$43</f>
        <v>基础步行速度为30尺</v>
      </c>
      <c r="AM44" s="163" t="str">
        <f>AM$43</f>
        <v>和精灵语，以及任意一门自选语言</v>
      </c>
    </row>
    <row r="45" spans="1:39" ht="14.4" customHeight="1" x14ac:dyDescent="0.25">
      <c r="A45" s="191" t="str">
        <f>IF(综合数据!B19=TRUE,"塞连","")</f>
        <v/>
      </c>
      <c r="B45" s="175" t="str">
        <f t="shared" ref="B45:O45" si="58">""</f>
        <v/>
      </c>
      <c r="C45" s="175" t="str">
        <f t="shared" si="58"/>
        <v/>
      </c>
      <c r="D45" s="175" t="str">
        <f t="shared" si="58"/>
        <v/>
      </c>
      <c r="E45" s="175" t="str">
        <f t="shared" si="58"/>
        <v/>
      </c>
      <c r="F45" s="175" t="str">
        <f t="shared" si="58"/>
        <v/>
      </c>
      <c r="G45" s="175" t="str">
        <f t="shared" si="58"/>
        <v/>
      </c>
      <c r="H45" s="175" t="str">
        <f t="shared" si="58"/>
        <v/>
      </c>
      <c r="I45" s="175" t="str">
        <f t="shared" si="58"/>
        <v/>
      </c>
      <c r="J45" s="175" t="str">
        <f t="shared" si="58"/>
        <v/>
      </c>
      <c r="K45" s="175" t="str">
        <f t="shared" si="58"/>
        <v/>
      </c>
      <c r="L45" s="175" t="str">
        <f t="shared" si="58"/>
        <v/>
      </c>
      <c r="M45" s="175" t="str">
        <f t="shared" si="58"/>
        <v/>
      </c>
      <c r="N45" s="175" t="str">
        <f t="shared" si="58"/>
        <v/>
      </c>
      <c r="O45" s="183" t="str">
        <f t="shared" si="58"/>
        <v/>
      </c>
      <c r="S45" s="192" t="str">
        <f t="array" ref="S45">INDEX(A:A,SMALL(IF($A$2:$A$45&lt;&gt;"",ROW($2:$45),46),ROW(A44)))&amp;""</f>
        <v/>
      </c>
      <c r="AE45" s="185" t="s">
        <v>690</v>
      </c>
      <c r="AF45" s="161">
        <f>AF40+1</f>
        <v>7</v>
      </c>
      <c r="AG45" s="161">
        <v>1</v>
      </c>
      <c r="AH45" s="161">
        <f>IF(COUNTIF(G8:H8,V4),2,3)</f>
        <v>3</v>
      </c>
      <c r="AI45" s="177" t="s">
        <v>764</v>
      </c>
      <c r="AJ45" s="162" t="str">
        <f t="shared" ref="AJ45:AM46" si="59">AJ$41</f>
        <v>魅力+2，自选两项其他属性各+1</v>
      </c>
      <c r="AK45" s="162" t="str">
        <f t="shared" si="59"/>
        <v>中型</v>
      </c>
      <c r="AL45" s="162" t="str">
        <f t="shared" si="59"/>
        <v>基础步行速度为30尺</v>
      </c>
      <c r="AM45" s="163" t="str">
        <f t="shared" si="59"/>
        <v>和精灵语，以及任意一门自选语言</v>
      </c>
    </row>
    <row r="46" spans="1:39" ht="14.4" customHeight="1" x14ac:dyDescent="0.25">
      <c r="AE46" s="177" t="s">
        <v>759</v>
      </c>
      <c r="AF46" s="166"/>
      <c r="AG46" s="166">
        <v>4</v>
      </c>
      <c r="AH46" s="166">
        <v>7</v>
      </c>
      <c r="AI46" s="177" t="s">
        <v>767</v>
      </c>
      <c r="AJ46" s="162" t="str">
        <f t="shared" si="59"/>
        <v>魅力+2，自选两项其他属性各+1</v>
      </c>
      <c r="AK46" s="162" t="str">
        <f t="shared" si="59"/>
        <v>中型</v>
      </c>
      <c r="AL46" s="162" t="str">
        <f t="shared" si="59"/>
        <v>基础步行速度为30尺</v>
      </c>
      <c r="AM46" s="163" t="str">
        <f t="shared" si="59"/>
        <v>和精灵语，以及任意一门自选语言</v>
      </c>
    </row>
    <row r="47" spans="1:39" ht="14.4" customHeight="1" x14ac:dyDescent="0.25">
      <c r="AE47" s="177" t="s">
        <v>813</v>
      </c>
      <c r="AF47" s="166"/>
      <c r="AG47" s="166">
        <v>8</v>
      </c>
      <c r="AH47" s="166">
        <v>10</v>
      </c>
      <c r="AI47" s="169" t="s">
        <v>817</v>
      </c>
      <c r="AJ47" s="162" t="s">
        <v>776</v>
      </c>
      <c r="AK47" s="162" t="str">
        <f t="shared" ref="AK47:AM48" si="60">AK$41</f>
        <v>中型</v>
      </c>
      <c r="AL47" s="162" t="str">
        <f t="shared" si="60"/>
        <v>基础步行速度为30尺</v>
      </c>
      <c r="AM47" s="163" t="str">
        <f t="shared" si="60"/>
        <v>和精灵语，以及任意一门自选语言</v>
      </c>
    </row>
    <row r="48" spans="1:39" ht="14.4" customHeight="1" x14ac:dyDescent="0.25">
      <c r="AE48" s="177" t="s">
        <v>816</v>
      </c>
      <c r="AF48" s="166"/>
      <c r="AG48" s="166">
        <v>8</v>
      </c>
      <c r="AH48" s="166">
        <v>10</v>
      </c>
      <c r="AI48" s="169" t="s">
        <v>818</v>
      </c>
      <c r="AJ48" s="162" t="s">
        <v>819</v>
      </c>
      <c r="AK48" s="162" t="str">
        <f t="shared" si="60"/>
        <v>中型</v>
      </c>
      <c r="AL48" s="162" t="str">
        <f t="shared" si="60"/>
        <v>基础步行速度为30尺</v>
      </c>
      <c r="AM48" s="163" t="str">
        <f t="shared" si="60"/>
        <v>和精灵语，以及任意一门自选语言</v>
      </c>
    </row>
    <row r="49" spans="1:39" ht="14.4" customHeight="1" x14ac:dyDescent="0.25">
      <c r="AE49" s="177" t="s">
        <v>764</v>
      </c>
      <c r="AF49" s="166"/>
      <c r="AG49" s="166">
        <v>11</v>
      </c>
      <c r="AH49" s="166">
        <v>12</v>
      </c>
      <c r="AI49" s="152" t="s">
        <v>710</v>
      </c>
      <c r="AJ49" s="162" t="s">
        <v>800</v>
      </c>
      <c r="AK49" s="162" t="s">
        <v>478</v>
      </c>
      <c r="AL49" s="162" t="s">
        <v>558</v>
      </c>
      <c r="AM49" s="163" t="s">
        <v>820</v>
      </c>
    </row>
    <row r="50" spans="1:39" ht="14.4" customHeight="1" x14ac:dyDescent="0.25">
      <c r="T50" s="106"/>
      <c r="AE50" s="177" t="s">
        <v>767</v>
      </c>
      <c r="AF50" s="166"/>
      <c r="AG50" s="166">
        <v>13</v>
      </c>
      <c r="AH50" s="166">
        <v>14</v>
      </c>
      <c r="AI50" s="169" t="s">
        <v>772</v>
      </c>
      <c r="AJ50" s="162" t="str">
        <f>AJ$22</f>
        <v>感知+2，体质+1</v>
      </c>
      <c r="AK50" s="162" t="str">
        <f>AK$49</f>
        <v>中型</v>
      </c>
      <c r="AL50" s="162" t="str">
        <f>AL$49</f>
        <v>基础步行速度为30尺</v>
      </c>
      <c r="AM50" s="163" t="str">
        <f>IF(V3=A5,"、兽人语和地精语","和地精语，以及任意一门自选语言")</f>
        <v>和地精语，以及任意一门自选语言</v>
      </c>
    </row>
    <row r="51" spans="1:39" ht="14.4" customHeight="1" x14ac:dyDescent="0.25">
      <c r="A51" s="133"/>
      <c r="B51" s="148">
        <v>1</v>
      </c>
      <c r="C51" s="148">
        <v>2</v>
      </c>
      <c r="D51" s="148">
        <v>3</v>
      </c>
      <c r="E51" s="148">
        <v>4</v>
      </c>
      <c r="F51" s="148">
        <v>5</v>
      </c>
      <c r="G51" s="148">
        <v>6</v>
      </c>
      <c r="H51" s="148">
        <v>7</v>
      </c>
      <c r="I51" s="148">
        <v>8</v>
      </c>
      <c r="J51" s="148">
        <v>9</v>
      </c>
      <c r="K51" s="148">
        <v>10</v>
      </c>
      <c r="L51" s="148">
        <v>11</v>
      </c>
      <c r="M51" s="148">
        <v>12</v>
      </c>
      <c r="N51" s="148">
        <v>13</v>
      </c>
      <c r="O51" s="148">
        <v>14</v>
      </c>
      <c r="P51" s="148">
        <v>15</v>
      </c>
      <c r="Q51" s="148">
        <v>16</v>
      </c>
      <c r="R51" s="148">
        <v>17</v>
      </c>
      <c r="S51" s="148">
        <v>18</v>
      </c>
      <c r="T51" s="148">
        <v>19</v>
      </c>
      <c r="U51" s="148">
        <v>20</v>
      </c>
      <c r="V51" s="148">
        <v>21</v>
      </c>
      <c r="W51" s="148">
        <v>22</v>
      </c>
      <c r="X51" s="148">
        <v>23</v>
      </c>
      <c r="Y51" s="148">
        <v>24</v>
      </c>
      <c r="Z51" s="148">
        <v>25</v>
      </c>
      <c r="AA51" s="148">
        <v>26</v>
      </c>
      <c r="AB51" s="148">
        <v>27</v>
      </c>
      <c r="AC51" s="148">
        <v>28</v>
      </c>
      <c r="AD51" s="193">
        <v>29</v>
      </c>
      <c r="AE51" s="154" t="s">
        <v>817</v>
      </c>
      <c r="AF51" s="154"/>
      <c r="AG51" s="154">
        <v>15</v>
      </c>
      <c r="AH51" s="154">
        <v>17</v>
      </c>
      <c r="AI51" s="184" t="s">
        <v>821</v>
      </c>
      <c r="AJ51" s="162" t="s">
        <v>800</v>
      </c>
      <c r="AK51" s="162" t="str">
        <f>AK$49</f>
        <v>中型</v>
      </c>
      <c r="AL51" s="162" t="str">
        <f>AL$49</f>
        <v>基础步行速度为30尺</v>
      </c>
      <c r="AM51" s="163" t="s">
        <v>822</v>
      </c>
    </row>
    <row r="52" spans="1:39" ht="14.4" customHeight="1" x14ac:dyDescent="0.25">
      <c r="A52" s="1034" t="s">
        <v>473</v>
      </c>
      <c r="B52" s="132" t="s">
        <v>823</v>
      </c>
      <c r="C52" s="132" t="s">
        <v>824</v>
      </c>
      <c r="D52" s="132" t="s">
        <v>825</v>
      </c>
      <c r="E52" s="132" t="s">
        <v>235</v>
      </c>
      <c r="F52" s="132" t="s">
        <v>826</v>
      </c>
      <c r="G52" s="194" t="s">
        <v>827</v>
      </c>
      <c r="H52" s="195" t="s">
        <v>828</v>
      </c>
      <c r="I52" s="196" t="s">
        <v>829</v>
      </c>
      <c r="J52" s="196" t="s">
        <v>830</v>
      </c>
      <c r="K52" s="196" t="s">
        <v>831</v>
      </c>
      <c r="L52" s="197" t="s">
        <v>832</v>
      </c>
      <c r="M52" s="197" t="s">
        <v>833</v>
      </c>
      <c r="N52" s="197" t="s">
        <v>834</v>
      </c>
      <c r="Q52" s="180"/>
      <c r="R52" s="180"/>
      <c r="S52" s="180"/>
      <c r="T52" s="180"/>
      <c r="U52" s="180"/>
      <c r="V52" s="180"/>
      <c r="W52" s="180"/>
      <c r="X52" s="180"/>
      <c r="Y52" s="180"/>
      <c r="Z52" s="180"/>
      <c r="AA52" s="180"/>
      <c r="AB52" s="180"/>
      <c r="AC52" s="180"/>
      <c r="AD52" s="198"/>
      <c r="AE52" s="154" t="s">
        <v>818</v>
      </c>
      <c r="AF52" s="154"/>
      <c r="AG52" s="154">
        <v>18</v>
      </c>
      <c r="AH52" s="154">
        <v>21</v>
      </c>
      <c r="AI52" s="152" t="s">
        <v>729</v>
      </c>
      <c r="AJ52" s="162" t="s">
        <v>835</v>
      </c>
      <c r="AK52" s="162" t="s">
        <v>478</v>
      </c>
      <c r="AL52" s="162" t="s">
        <v>558</v>
      </c>
      <c r="AM52" s="163" t="s">
        <v>836</v>
      </c>
    </row>
    <row r="53" spans="1:39" ht="14.4" customHeight="1" x14ac:dyDescent="0.25">
      <c r="A53" s="1034"/>
      <c r="B53" s="132" t="s">
        <v>837</v>
      </c>
      <c r="C53" s="132" t="s">
        <v>838</v>
      </c>
      <c r="D53" s="132" t="s">
        <v>839</v>
      </c>
      <c r="E53" s="132" t="s">
        <v>840</v>
      </c>
      <c r="F53" s="132" t="s">
        <v>841</v>
      </c>
      <c r="G53" s="194" t="s">
        <v>842</v>
      </c>
      <c r="H53" s="195" t="s">
        <v>843</v>
      </c>
      <c r="I53" s="196" t="s">
        <v>844</v>
      </c>
      <c r="J53" s="196" t="s">
        <v>845</v>
      </c>
      <c r="K53" s="196" t="s">
        <v>846</v>
      </c>
      <c r="L53" s="197" t="s">
        <v>847</v>
      </c>
      <c r="M53" s="197" t="s">
        <v>848</v>
      </c>
      <c r="N53" s="197" t="s">
        <v>849</v>
      </c>
      <c r="Q53" s="180"/>
      <c r="R53" s="180"/>
      <c r="S53" s="180"/>
      <c r="T53" s="180"/>
      <c r="U53" s="180"/>
      <c r="V53" s="180"/>
      <c r="W53" s="180"/>
      <c r="X53" s="180"/>
      <c r="Y53" s="180"/>
      <c r="Z53" s="180"/>
      <c r="AA53" s="180"/>
      <c r="AB53" s="180"/>
      <c r="AC53" s="180"/>
      <c r="AD53" s="198"/>
      <c r="AE53" s="161" t="s">
        <v>710</v>
      </c>
      <c r="AF53" s="161">
        <f>AF45+1</f>
        <v>8</v>
      </c>
      <c r="AG53" s="161">
        <v>1</v>
      </c>
      <c r="AH53" s="161">
        <f>IF(COUNTIF(B9:C9,V4),0,4)</f>
        <v>4</v>
      </c>
      <c r="AI53" s="177" t="s">
        <v>771</v>
      </c>
      <c r="AJ53" s="162" t="s">
        <v>850</v>
      </c>
      <c r="AK53" s="162" t="str">
        <f t="shared" ref="AK53:AM61" si="61">AK$52</f>
        <v>中型</v>
      </c>
      <c r="AL53" s="162" t="str">
        <f t="shared" si="61"/>
        <v>基础步行速度为30尺</v>
      </c>
      <c r="AM53" s="163" t="str">
        <f t="shared" si="61"/>
        <v>和炼狱语</v>
      </c>
    </row>
    <row r="54" spans="1:39" ht="14.4" customHeight="1" x14ac:dyDescent="0.25">
      <c r="A54" s="1034" t="s">
        <v>514</v>
      </c>
      <c r="B54" s="132" t="s">
        <v>823</v>
      </c>
      <c r="C54" s="132" t="s">
        <v>851</v>
      </c>
      <c r="D54" s="132" t="s">
        <v>852</v>
      </c>
      <c r="E54" s="132" t="s">
        <v>853</v>
      </c>
      <c r="F54" s="194" t="s">
        <v>854</v>
      </c>
      <c r="G54" s="194" t="s">
        <v>855</v>
      </c>
      <c r="H54" s="194" t="s">
        <v>856</v>
      </c>
      <c r="I54" s="195" t="s">
        <v>854</v>
      </c>
      <c r="J54" s="195" t="s">
        <v>857</v>
      </c>
      <c r="K54" s="195" t="s">
        <v>858</v>
      </c>
      <c r="L54" s="196" t="s">
        <v>829</v>
      </c>
      <c r="M54" s="196" t="s">
        <v>859</v>
      </c>
      <c r="N54" s="196" t="s">
        <v>860</v>
      </c>
      <c r="O54" s="196" t="s">
        <v>861</v>
      </c>
      <c r="P54" s="197" t="s">
        <v>862</v>
      </c>
      <c r="Q54" s="199" t="s">
        <v>863</v>
      </c>
      <c r="R54" s="199" t="s">
        <v>864</v>
      </c>
      <c r="S54" s="199" t="s">
        <v>865</v>
      </c>
      <c r="T54" s="200" t="s">
        <v>866</v>
      </c>
      <c r="U54" s="200" t="s">
        <v>867</v>
      </c>
      <c r="V54" s="201" t="s">
        <v>832</v>
      </c>
      <c r="W54" s="201" t="s">
        <v>868</v>
      </c>
      <c r="X54" s="201" t="s">
        <v>869</v>
      </c>
      <c r="Y54" s="194" t="s">
        <v>870</v>
      </c>
      <c r="Z54" s="194" t="s">
        <v>871</v>
      </c>
      <c r="AB54" s="180"/>
      <c r="AC54" s="180"/>
      <c r="AD54" s="198"/>
      <c r="AE54" s="154" t="s">
        <v>772</v>
      </c>
      <c r="AF54" s="154"/>
      <c r="AG54" s="154">
        <f>IF(V3=A5,3,5)</f>
        <v>5</v>
      </c>
      <c r="AH54" s="154">
        <f>IF(V3=A5,6,8)</f>
        <v>8</v>
      </c>
      <c r="AI54" s="167" t="s">
        <v>872</v>
      </c>
      <c r="AJ54" s="162" t="s">
        <v>873</v>
      </c>
      <c r="AK54" s="162" t="str">
        <f t="shared" si="61"/>
        <v>中型</v>
      </c>
      <c r="AL54" s="162" t="str">
        <f t="shared" si="61"/>
        <v>基础步行速度为30尺</v>
      </c>
      <c r="AM54" s="163" t="str">
        <f t="shared" si="61"/>
        <v>和炼狱语</v>
      </c>
    </row>
    <row r="55" spans="1:39" ht="14.4" customHeight="1" x14ac:dyDescent="0.25">
      <c r="A55" s="1034"/>
      <c r="B55" s="132" t="str">
        <f>B53</f>
        <v>在微光光照下，你身边60尺内可以视为等同于明亮光照。而在黑暗中，该范围内可视为等同于微光光照。你无法在黑暗中分辨颜色，只能看到有灰度的黑白画面</v>
      </c>
      <c r="C55" s="132" t="s">
        <v>874</v>
      </c>
      <c r="D55" s="132" t="s">
        <v>875</v>
      </c>
      <c r="E55" s="132" t="str">
        <f>"你在需要休息时陷入持续4个小时的半清醒深度冥想中。冥想时精灵也会做梦。以这种方式休息后，你获得人类睡眠8小时的全部益处"&amp;IF(OR(V4=E3,V4=F3,V4=G3),"。当你结束这段冥想时，你可以改变你的季节，并且你能够获得两项你未拥有的武器或工具熟练项直到你完成下次长休","")</f>
        <v>你在需要休息时陷入持续4个小时的半清醒深度冥想中。冥想时精灵也会做梦。以这种方式休息后，你获得人类睡眠8小时的全部益处</v>
      </c>
      <c r="F55" s="194" t="s">
        <v>876</v>
      </c>
      <c r="G55" s="194" t="s">
        <v>877</v>
      </c>
      <c r="H55" s="194" t="s">
        <v>878</v>
      </c>
      <c r="I55" s="195" t="str">
        <f>F55</f>
        <v>你具有长剑、短剑、短弓和长弓的武器熟练项</v>
      </c>
      <c r="J55" s="195" t="s">
        <v>879</v>
      </c>
      <c r="K55" s="195" t="s">
        <v>880</v>
      </c>
      <c r="L55" s="196" t="str">
        <f>I53</f>
        <v>你的黑暗视觉感官范围提升至120尺</v>
      </c>
      <c r="M55" s="196" t="s">
        <v>881</v>
      </c>
      <c r="N55" s="196" t="s">
        <v>882</v>
      </c>
      <c r="O55" s="196" t="s">
        <v>883</v>
      </c>
      <c r="P55" s="197" t="s">
        <v>884</v>
      </c>
      <c r="Q55" s="199" t="s">
        <v>885</v>
      </c>
      <c r="R55" s="199" t="s">
        <v>886</v>
      </c>
      <c r="S55" s="199" t="s">
        <v>887</v>
      </c>
      <c r="T55" s="200" t="s">
        <v>888</v>
      </c>
      <c r="U55" s="200" t="s">
        <v>889</v>
      </c>
      <c r="V55" s="201" t="s">
        <v>890</v>
      </c>
      <c r="W55" s="201" t="s">
        <v>891</v>
      </c>
      <c r="X55" s="201" t="s">
        <v>892</v>
      </c>
      <c r="Y55" s="194" t="s">
        <v>893</v>
      </c>
      <c r="Z55" s="194" t="s">
        <v>894</v>
      </c>
      <c r="AB55" s="180"/>
      <c r="AC55" s="180"/>
      <c r="AD55" s="198"/>
      <c r="AE55" s="168" t="s">
        <v>821</v>
      </c>
      <c r="AF55" s="168"/>
      <c r="AG55" s="168">
        <v>9</v>
      </c>
      <c r="AH55" s="168">
        <v>12</v>
      </c>
      <c r="AI55" s="167" t="s">
        <v>895</v>
      </c>
      <c r="AJ55" s="162" t="s">
        <v>819</v>
      </c>
      <c r="AK55" s="162" t="str">
        <f t="shared" si="61"/>
        <v>中型</v>
      </c>
      <c r="AL55" s="162" t="str">
        <f t="shared" si="61"/>
        <v>基础步行速度为30尺</v>
      </c>
      <c r="AM55" s="163" t="str">
        <f t="shared" si="61"/>
        <v>和炼狱语</v>
      </c>
    </row>
    <row r="56" spans="1:39" ht="14.4" customHeight="1" x14ac:dyDescent="0.25">
      <c r="A56" s="1034" t="s">
        <v>553</v>
      </c>
      <c r="B56" s="132" t="s">
        <v>896</v>
      </c>
      <c r="C56" s="132" t="s">
        <v>897</v>
      </c>
      <c r="D56" s="132" t="s">
        <v>898</v>
      </c>
      <c r="E56" s="194" t="s">
        <v>899</v>
      </c>
      <c r="F56" s="195" t="s">
        <v>900</v>
      </c>
      <c r="G56" s="196" t="s">
        <v>901</v>
      </c>
      <c r="H56" s="197" t="s">
        <v>832</v>
      </c>
      <c r="I56" s="197" t="s">
        <v>902</v>
      </c>
      <c r="J56" s="197" t="s">
        <v>903</v>
      </c>
      <c r="K56" s="199" t="s">
        <v>832</v>
      </c>
      <c r="L56" s="199" t="s">
        <v>904</v>
      </c>
      <c r="M56" s="199" t="s">
        <v>905</v>
      </c>
      <c r="N56" s="200" t="s">
        <v>906</v>
      </c>
      <c r="O56" s="200" t="s">
        <v>907</v>
      </c>
      <c r="P56" s="180"/>
      <c r="Q56" s="180"/>
      <c r="R56" s="180"/>
      <c r="S56" s="180"/>
      <c r="T56" s="180"/>
      <c r="U56" s="180"/>
      <c r="V56" s="180"/>
      <c r="W56" s="180"/>
      <c r="X56" s="180"/>
      <c r="Y56" s="180"/>
      <c r="Z56" s="180"/>
      <c r="AA56" s="180"/>
      <c r="AB56" s="180"/>
      <c r="AC56" s="180"/>
      <c r="AD56" s="198"/>
      <c r="AE56" s="161" t="s">
        <v>729</v>
      </c>
      <c r="AF56" s="161">
        <f>AF53+1</f>
        <v>9</v>
      </c>
      <c r="AG56" s="161">
        <v>1</v>
      </c>
      <c r="AH56" s="161">
        <f>IF(COUNTIF(C10:J10,V4),2,3)</f>
        <v>3</v>
      </c>
      <c r="AI56" s="167" t="s">
        <v>908</v>
      </c>
      <c r="AJ56" s="162" t="s">
        <v>909</v>
      </c>
      <c r="AK56" s="162" t="str">
        <f t="shared" si="61"/>
        <v>中型</v>
      </c>
      <c r="AL56" s="162" t="str">
        <f t="shared" si="61"/>
        <v>基础步行速度为30尺</v>
      </c>
      <c r="AM56" s="163" t="str">
        <f t="shared" si="61"/>
        <v>和炼狱语</v>
      </c>
    </row>
    <row r="57" spans="1:39" ht="14.4" customHeight="1" x14ac:dyDescent="0.25">
      <c r="A57" s="1034"/>
      <c r="B57" s="132" t="s">
        <v>910</v>
      </c>
      <c r="C57" s="132" t="s">
        <v>911</v>
      </c>
      <c r="D57" s="132" t="s">
        <v>912</v>
      </c>
      <c r="E57" s="194" t="s">
        <v>913</v>
      </c>
      <c r="F57" s="195" t="str">
        <f>C53</f>
        <v>你进行对抗中毒的豁免时具有优势，你对毒素伤害具有抗性</v>
      </c>
      <c r="G57" s="196" t="s">
        <v>914</v>
      </c>
      <c r="H57" s="197" t="s">
        <v>915</v>
      </c>
      <c r="I57" s="197" t="s">
        <v>916</v>
      </c>
      <c r="J57" s="197" t="s">
        <v>917</v>
      </c>
      <c r="K57" s="199" t="s">
        <v>918</v>
      </c>
      <c r="L57" s="199" t="s">
        <v>919</v>
      </c>
      <c r="M57" s="199" t="s">
        <v>920</v>
      </c>
      <c r="N57" s="200" t="s">
        <v>921</v>
      </c>
      <c r="O57" s="200" t="s">
        <v>922</v>
      </c>
      <c r="P57" s="180"/>
      <c r="Q57" s="180"/>
      <c r="R57" s="180"/>
      <c r="S57" s="180"/>
      <c r="T57" s="180"/>
      <c r="U57" s="180"/>
      <c r="V57" s="180"/>
      <c r="W57" s="180"/>
      <c r="X57" s="180"/>
      <c r="Y57" s="180"/>
      <c r="Z57" s="180"/>
      <c r="AA57" s="180"/>
      <c r="AB57" s="180"/>
      <c r="AC57" s="180"/>
      <c r="AD57" s="198"/>
      <c r="AE57" s="166" t="s">
        <v>771</v>
      </c>
      <c r="AF57" s="166"/>
      <c r="AG57" s="166">
        <v>4</v>
      </c>
      <c r="AH57" s="166">
        <v>6</v>
      </c>
      <c r="AI57" s="167" t="s">
        <v>923</v>
      </c>
      <c r="AJ57" s="162" t="s">
        <v>819</v>
      </c>
      <c r="AK57" s="162" t="str">
        <f t="shared" si="61"/>
        <v>中型</v>
      </c>
      <c r="AL57" s="162" t="str">
        <f t="shared" si="61"/>
        <v>基础步行速度为30尺</v>
      </c>
      <c r="AM57" s="163" t="str">
        <f t="shared" si="61"/>
        <v>和炼狱语</v>
      </c>
    </row>
    <row r="58" spans="1:39" ht="14.4" customHeight="1" x14ac:dyDescent="0.25">
      <c r="A58" s="1034" t="s">
        <v>593</v>
      </c>
      <c r="B58" s="194" t="s">
        <v>103</v>
      </c>
      <c r="C58" s="194" t="s">
        <v>240</v>
      </c>
      <c r="D58" s="195" t="s">
        <v>832</v>
      </c>
      <c r="E58" s="195" t="s">
        <v>823</v>
      </c>
      <c r="F58" s="195" t="s">
        <v>924</v>
      </c>
      <c r="G58" s="195" t="s">
        <v>925</v>
      </c>
      <c r="H58" s="196" t="s">
        <v>832</v>
      </c>
      <c r="I58" s="196" t="s">
        <v>926</v>
      </c>
      <c r="J58" s="196" t="s">
        <v>927</v>
      </c>
      <c r="K58" s="196" t="s">
        <v>928</v>
      </c>
      <c r="L58" s="196" t="s">
        <v>929</v>
      </c>
      <c r="M58" s="197" t="s">
        <v>832</v>
      </c>
      <c r="N58" s="197" t="s">
        <v>930</v>
      </c>
      <c r="O58" s="197" t="s">
        <v>931</v>
      </c>
      <c r="P58" s="197" t="s">
        <v>932</v>
      </c>
      <c r="Q58" s="199" t="s">
        <v>832</v>
      </c>
      <c r="R58" s="199" t="s">
        <v>933</v>
      </c>
      <c r="S58" s="199" t="s">
        <v>934</v>
      </c>
      <c r="T58" s="199" t="s">
        <v>935</v>
      </c>
      <c r="U58" s="200" t="s">
        <v>832</v>
      </c>
      <c r="V58" s="200" t="s">
        <v>936</v>
      </c>
      <c r="W58" s="200" t="s">
        <v>937</v>
      </c>
      <c r="X58" s="200" t="s">
        <v>938</v>
      </c>
      <c r="Y58" s="201" t="s">
        <v>939</v>
      </c>
      <c r="Z58" s="201" t="s">
        <v>940</v>
      </c>
      <c r="AA58" s="201" t="s">
        <v>941</v>
      </c>
      <c r="AB58" s="201" t="s">
        <v>942</v>
      </c>
      <c r="AC58" s="194" t="s">
        <v>943</v>
      </c>
      <c r="AD58" s="202" t="s">
        <v>944</v>
      </c>
      <c r="AE58" s="153" t="s">
        <v>872</v>
      </c>
      <c r="AF58" s="153"/>
      <c r="AG58" s="153">
        <v>7</v>
      </c>
      <c r="AH58" s="153">
        <v>7</v>
      </c>
      <c r="AI58" s="167" t="s">
        <v>945</v>
      </c>
      <c r="AJ58" s="162" t="s">
        <v>946</v>
      </c>
      <c r="AK58" s="162" t="str">
        <f t="shared" si="61"/>
        <v>中型</v>
      </c>
      <c r="AL58" s="162" t="str">
        <f t="shared" si="61"/>
        <v>基础步行速度为30尺</v>
      </c>
      <c r="AM58" s="163" t="str">
        <f t="shared" si="61"/>
        <v>和炼狱语</v>
      </c>
    </row>
    <row r="59" spans="1:39" ht="14.4" customHeight="1" x14ac:dyDescent="0.25">
      <c r="A59" s="1034"/>
      <c r="B59" s="194" t="s">
        <v>947</v>
      </c>
      <c r="C59" s="194" t="s">
        <v>948</v>
      </c>
      <c r="D59" s="195" t="s">
        <v>949</v>
      </c>
      <c r="E59" s="195" t="str">
        <f>B53</f>
        <v>在微光光照下，你身边60尺内可以视为等同于明亮光照。而在黑暗中，该范围内可视为等同于微光光照。你无法在黑暗中分辨颜色，只能看到有灰度的黑白画面</v>
      </c>
      <c r="F59" s="195" t="s">
        <v>950</v>
      </c>
      <c r="G59" s="195" t="s">
        <v>951</v>
      </c>
      <c r="H59" s="196" t="s">
        <v>952</v>
      </c>
      <c r="I59" s="196" t="s">
        <v>953</v>
      </c>
      <c r="J59" s="196" t="s">
        <v>954</v>
      </c>
      <c r="K59" s="196" t="s">
        <v>955</v>
      </c>
      <c r="L59" s="196" t="s">
        <v>956</v>
      </c>
      <c r="M59" s="197" t="s">
        <v>957</v>
      </c>
      <c r="N59" s="197" t="s">
        <v>958</v>
      </c>
      <c r="O59" s="197" t="s">
        <v>959</v>
      </c>
      <c r="P59" s="197" t="s">
        <v>960</v>
      </c>
      <c r="Q59" s="199" t="s">
        <v>961</v>
      </c>
      <c r="R59" s="199" t="str">
        <f>J55</f>
        <v>基础步行速度提升至35尺</v>
      </c>
      <c r="S59" s="199" t="s">
        <v>962</v>
      </c>
      <c r="T59" s="199" t="s">
        <v>963</v>
      </c>
      <c r="U59" s="200" t="s">
        <v>964</v>
      </c>
      <c r="V59" s="200" t="s">
        <v>965</v>
      </c>
      <c r="W59" s="200" t="s">
        <v>966</v>
      </c>
      <c r="X59" s="200" t="s">
        <v>967</v>
      </c>
      <c r="Y59" s="201" t="s">
        <v>968</v>
      </c>
      <c r="Z59" s="201" t="s">
        <v>969</v>
      </c>
      <c r="AA59" s="201" t="s">
        <v>970</v>
      </c>
      <c r="AB59" s="201" t="s">
        <v>971</v>
      </c>
      <c r="AC59" s="194" t="s">
        <v>972</v>
      </c>
      <c r="AD59" s="202" t="s">
        <v>973</v>
      </c>
      <c r="AE59" s="153" t="s">
        <v>895</v>
      </c>
      <c r="AF59" s="153"/>
      <c r="AG59" s="153">
        <v>8</v>
      </c>
      <c r="AH59" s="153">
        <v>8</v>
      </c>
      <c r="AI59" s="167" t="s">
        <v>974</v>
      </c>
      <c r="AJ59" s="162" t="s">
        <v>873</v>
      </c>
      <c r="AK59" s="162" t="str">
        <f t="shared" si="61"/>
        <v>中型</v>
      </c>
      <c r="AL59" s="162" t="str">
        <f t="shared" si="61"/>
        <v>基础步行速度为30尺</v>
      </c>
      <c r="AM59" s="163" t="str">
        <f t="shared" si="61"/>
        <v>和炼狱语</v>
      </c>
    </row>
    <row r="60" spans="1:39" ht="14.4" customHeight="1" x14ac:dyDescent="0.25">
      <c r="A60" s="1034" t="s">
        <v>633</v>
      </c>
      <c r="B60" s="132" t="s">
        <v>975</v>
      </c>
      <c r="C60" s="132" t="s">
        <v>976</v>
      </c>
      <c r="D60" s="132" t="s">
        <v>977</v>
      </c>
      <c r="E60" s="195" t="s">
        <v>823</v>
      </c>
      <c r="F60" s="195" t="s">
        <v>978</v>
      </c>
      <c r="G60" s="196" t="s">
        <v>823</v>
      </c>
      <c r="H60" s="196" t="s">
        <v>979</v>
      </c>
      <c r="I60" s="197" t="s">
        <v>976</v>
      </c>
      <c r="J60" s="197" t="s">
        <v>980</v>
      </c>
      <c r="K60" s="197" t="s">
        <v>981</v>
      </c>
      <c r="L60" s="199" t="s">
        <v>976</v>
      </c>
      <c r="M60" s="199" t="s">
        <v>980</v>
      </c>
      <c r="N60" s="199" t="s">
        <v>982</v>
      </c>
      <c r="O60" s="199" t="s">
        <v>983</v>
      </c>
      <c r="P60" s="200" t="s">
        <v>976</v>
      </c>
      <c r="Q60" s="200" t="s">
        <v>980</v>
      </c>
      <c r="R60" s="200" t="s">
        <v>984</v>
      </c>
      <c r="S60" s="200" t="s">
        <v>985</v>
      </c>
      <c r="T60" s="200" t="s">
        <v>986</v>
      </c>
      <c r="U60" s="180"/>
      <c r="V60" s="180"/>
      <c r="W60" s="180"/>
      <c r="X60" s="180"/>
      <c r="Y60" s="180"/>
      <c r="Z60" s="180"/>
      <c r="AA60" s="180"/>
      <c r="AB60" s="180"/>
      <c r="AC60" s="180"/>
      <c r="AD60" s="198"/>
      <c r="AE60" s="153" t="s">
        <v>908</v>
      </c>
      <c r="AF60" s="153"/>
      <c r="AG60" s="153">
        <v>9</v>
      </c>
      <c r="AH60" s="153">
        <v>9</v>
      </c>
      <c r="AI60" s="167" t="s">
        <v>987</v>
      </c>
      <c r="AJ60" s="162" t="s">
        <v>873</v>
      </c>
      <c r="AK60" s="162" t="str">
        <f t="shared" si="61"/>
        <v>中型</v>
      </c>
      <c r="AL60" s="162" t="str">
        <f t="shared" si="61"/>
        <v>基础步行速度为30尺</v>
      </c>
      <c r="AM60" s="163" t="str">
        <f t="shared" si="61"/>
        <v>和炼狱语</v>
      </c>
    </row>
    <row r="61" spans="1:39" ht="14.4" customHeight="1" x14ac:dyDescent="0.25">
      <c r="A61" s="1034"/>
      <c r="B61" s="132" t="s">
        <v>988</v>
      </c>
      <c r="C61" s="132" t="s">
        <v>989</v>
      </c>
      <c r="D61" s="132" t="s">
        <v>990</v>
      </c>
      <c r="E61" s="195" t="str">
        <f>B53</f>
        <v>在微光光照下，你身边60尺内可以视为等同于明亮光照。而在黑暗中，该范围内可视为等同于微光光照。你无法在黑暗中分辨颜色，只能看到有灰度的黑白画面</v>
      </c>
      <c r="F61" s="195" t="s">
        <v>991</v>
      </c>
      <c r="G61" s="196" t="str">
        <f>B53</f>
        <v>在微光光照下，你身边60尺内可以视为等同于明亮光照。而在黑暗中，该范围内可视为等同于微光光照。你无法在黑暗中分辨颜色，只能看到有灰度的黑白画面</v>
      </c>
      <c r="H61" s="196" t="s">
        <v>992</v>
      </c>
      <c r="I61" s="197" t="s">
        <v>993</v>
      </c>
      <c r="J61" s="197" t="s">
        <v>994</v>
      </c>
      <c r="K61" s="197" t="s">
        <v>995</v>
      </c>
      <c r="L61" s="199" t="s">
        <v>996</v>
      </c>
      <c r="M61" s="199" t="s">
        <v>997</v>
      </c>
      <c r="N61" s="199" t="s">
        <v>998</v>
      </c>
      <c r="O61" s="199" t="s">
        <v>999</v>
      </c>
      <c r="P61" s="200" t="s">
        <v>1000</v>
      </c>
      <c r="Q61" s="200" t="s">
        <v>1001</v>
      </c>
      <c r="R61" s="200" t="s">
        <v>1002</v>
      </c>
      <c r="S61" s="200" t="s">
        <v>1003</v>
      </c>
      <c r="T61" s="200" t="s">
        <v>1004</v>
      </c>
      <c r="U61" s="180"/>
      <c r="V61" s="180"/>
      <c r="W61" s="180"/>
      <c r="X61" s="180"/>
      <c r="Y61" s="180"/>
      <c r="Z61" s="180"/>
      <c r="AA61" s="180"/>
      <c r="AB61" s="180"/>
      <c r="AC61" s="180"/>
      <c r="AD61" s="198"/>
      <c r="AE61" s="153" t="s">
        <v>923</v>
      </c>
      <c r="AF61" s="153"/>
      <c r="AG61" s="153">
        <v>10</v>
      </c>
      <c r="AH61" s="153">
        <v>10</v>
      </c>
      <c r="AI61" s="167" t="s">
        <v>1005</v>
      </c>
      <c r="AJ61" s="162" t="s">
        <v>1006</v>
      </c>
      <c r="AK61" s="162" t="str">
        <f t="shared" si="61"/>
        <v>中型</v>
      </c>
      <c r="AL61" s="162" t="str">
        <f t="shared" si="61"/>
        <v>基础步行速度为30尺</v>
      </c>
      <c r="AM61" s="163" t="str">
        <f t="shared" si="61"/>
        <v>和炼狱语</v>
      </c>
    </row>
    <row r="62" spans="1:39" ht="14.4" customHeight="1" x14ac:dyDescent="0.25">
      <c r="A62" s="1034" t="s">
        <v>661</v>
      </c>
      <c r="B62" s="132" t="s">
        <v>823</v>
      </c>
      <c r="C62" s="132" t="s">
        <v>1007</v>
      </c>
      <c r="D62" s="194" t="s">
        <v>1008</v>
      </c>
      <c r="E62" s="194" t="s">
        <v>1009</v>
      </c>
      <c r="F62" s="195" t="s">
        <v>1010</v>
      </c>
      <c r="G62" s="195" t="s">
        <v>1011</v>
      </c>
      <c r="H62" s="203" t="s">
        <v>1012</v>
      </c>
      <c r="I62" s="203" t="s">
        <v>1013</v>
      </c>
      <c r="J62" s="203" t="s">
        <v>1014</v>
      </c>
      <c r="K62" s="196" t="s">
        <v>829</v>
      </c>
      <c r="L62" s="196" t="s">
        <v>1015</v>
      </c>
      <c r="M62" s="196" t="s">
        <v>1016</v>
      </c>
      <c r="N62" s="197" t="s">
        <v>832</v>
      </c>
      <c r="O62" s="197" t="s">
        <v>1017</v>
      </c>
      <c r="P62" s="197" t="s">
        <v>1018</v>
      </c>
      <c r="Q62" s="180"/>
      <c r="R62" s="180"/>
      <c r="S62" s="180"/>
      <c r="T62" s="180"/>
      <c r="U62" s="180"/>
      <c r="V62" s="180"/>
      <c r="W62" s="180"/>
      <c r="X62" s="180"/>
      <c r="Y62" s="180"/>
      <c r="Z62" s="180"/>
      <c r="AA62" s="180"/>
      <c r="AB62" s="180"/>
      <c r="AC62" s="180"/>
      <c r="AD62" s="198"/>
      <c r="AE62" s="153" t="s">
        <v>945</v>
      </c>
      <c r="AF62" s="153"/>
      <c r="AG62" s="153">
        <v>11</v>
      </c>
      <c r="AH62" s="153">
        <v>11</v>
      </c>
      <c r="AI62" s="172" t="s">
        <v>774</v>
      </c>
      <c r="AJ62" s="162" t="s">
        <v>557</v>
      </c>
      <c r="AK62" s="162" t="s">
        <v>1019</v>
      </c>
      <c r="AL62" s="162" t="s">
        <v>558</v>
      </c>
      <c r="AM62" s="163" t="s">
        <v>559</v>
      </c>
    </row>
    <row r="63" spans="1:39" ht="14.4" customHeight="1" x14ac:dyDescent="0.25">
      <c r="A63" s="1034"/>
      <c r="B63" s="132" t="str">
        <f>B53</f>
        <v>在微光光照下，你身边60尺内可以视为等同于明亮光照。而在黑暗中，该范围内可视为等同于微光光照。你无法在黑暗中分辨颜色，只能看到有灰度的黑白画面</v>
      </c>
      <c r="C63" s="132" t="s">
        <v>1020</v>
      </c>
      <c r="D63" s="194" t="s">
        <v>1021</v>
      </c>
      <c r="E63" s="194" t="s">
        <v>1022</v>
      </c>
      <c r="F63" s="195" t="s">
        <v>1023</v>
      </c>
      <c r="G63" s="195" t="s">
        <v>1024</v>
      </c>
      <c r="H63" s="203" t="s">
        <v>1025</v>
      </c>
      <c r="I63" s="203" t="s">
        <v>1026</v>
      </c>
      <c r="J63" s="203" t="s">
        <v>1027</v>
      </c>
      <c r="K63" s="196" t="str">
        <f>I53</f>
        <v>你的黑暗视觉感官范围提升至120尺</v>
      </c>
      <c r="L63" s="196" t="s">
        <v>1028</v>
      </c>
      <c r="M63" s="196" t="s">
        <v>1029</v>
      </c>
      <c r="N63" s="197" t="s">
        <v>1030</v>
      </c>
      <c r="O63" s="197" t="s">
        <v>1031</v>
      </c>
      <c r="P63" s="197" t="s">
        <v>1032</v>
      </c>
      <c r="Q63" s="180"/>
      <c r="R63" s="180"/>
      <c r="S63" s="180"/>
      <c r="T63" s="180"/>
      <c r="U63" s="180"/>
      <c r="V63" s="180"/>
      <c r="W63" s="180"/>
      <c r="X63" s="180"/>
      <c r="Y63" s="180"/>
      <c r="Z63" s="180"/>
      <c r="AA63" s="180"/>
      <c r="AB63" s="180"/>
      <c r="AC63" s="180"/>
      <c r="AD63" s="198"/>
      <c r="AE63" s="153" t="s">
        <v>974</v>
      </c>
      <c r="AF63" s="153"/>
      <c r="AG63" s="153">
        <v>12</v>
      </c>
      <c r="AH63" s="153">
        <v>12</v>
      </c>
      <c r="AI63" s="172" t="s">
        <v>1033</v>
      </c>
      <c r="AJ63" s="162" t="s">
        <v>557</v>
      </c>
      <c r="AK63" s="162" t="s">
        <v>478</v>
      </c>
      <c r="AL63" s="162" t="s">
        <v>558</v>
      </c>
      <c r="AM63" s="163" t="s">
        <v>559</v>
      </c>
    </row>
    <row r="64" spans="1:39" ht="14.4" customHeight="1" x14ac:dyDescent="0.25">
      <c r="A64" s="1034" t="s">
        <v>690</v>
      </c>
      <c r="B64" s="132" t="s">
        <v>823</v>
      </c>
      <c r="C64" s="132" t="s">
        <v>852</v>
      </c>
      <c r="D64" s="204" t="str">
        <f>IF(AND(COUNTIF(AC18:AC21,"&gt;=1"),COUNTIF($AB$2:$AB$15,"多才多艺")=0),"","多才多艺")</f>
        <v>多才多艺</v>
      </c>
      <c r="E64" s="205" t="str">
        <f>IF(OR(AC18&lt;1,COUNTIF($AB$2:$AB$15,"敏锐感官")),"敏锐感官","")</f>
        <v>敏锐感官</v>
      </c>
      <c r="F64" s="206" t="str">
        <f>IF(OR(AC18&lt;1,COUNTIF($AB$2:$AB$15,"木精灵武器训练")),"木精灵武器训练","")</f>
        <v>木精灵武器训练</v>
      </c>
      <c r="G64" s="205" t="str">
        <f>IF(OR(AC18&lt;1,COUNTIF($AB$2:$AB$15,"轻捷步伐")),"轻捷步伐","")</f>
        <v>轻捷步伐</v>
      </c>
      <c r="H64" s="205" t="str">
        <f>IF(OR(AC18&lt;1,COUNTIF($AB$2:$AB$15,"野性面具")),"野性面具","")</f>
        <v>野性面具</v>
      </c>
      <c r="I64" s="207" t="str">
        <f>IF(OR(AC19&lt;1,COUNTIF($AB$2:$AB$15,"敏锐感官")),"敏锐感官","")</f>
        <v>敏锐感官</v>
      </c>
      <c r="J64" s="207" t="str">
        <f>IF(OR(AC19&lt;1,COUNTIF($AB$2:$AB$15,"高等精灵武器训练")),"高等精灵武器训练","")</f>
        <v>高等精灵武器训练</v>
      </c>
      <c r="K64" s="207" t="str">
        <f>IF(OR(AC19&lt;1,COUNTIF($AB$2:$AB$15,"戏法")),"戏法","")</f>
        <v>戏法</v>
      </c>
      <c r="L64" s="208" t="str">
        <f>IF(OR(AC20&lt;1,COUNTIF($AB$2:$AB$15,"敏锐感官")),"敏锐感官","")</f>
        <v>敏锐感官</v>
      </c>
      <c r="M64" s="208" t="str">
        <f>IF(OR(AC20&lt;1,COUNTIF($AB$2:$AB$15,"卓尔魔法")),"卓尔魔法","")</f>
        <v>卓尔魔法</v>
      </c>
      <c r="N64" s="209" t="str">
        <f>IF(OR(AC20&lt;1,COUNTIF($AB$2:$AB$15,"敏锐感官")),"敏锐感官","")</f>
        <v>敏锐感官</v>
      </c>
      <c r="O64" s="209" t="str">
        <f>IF(OR(AC20&lt;1,COUNTIF($AB$2:$AB$15,"游泳速度")),"游泳速度","")</f>
        <v>游泳速度</v>
      </c>
      <c r="P64" s="199" t="s">
        <v>832</v>
      </c>
      <c r="Q64" s="199" t="s">
        <v>1034</v>
      </c>
      <c r="R64" s="199" t="s">
        <v>1035</v>
      </c>
      <c r="S64" s="200" t="s">
        <v>832</v>
      </c>
      <c r="T64" s="200" t="s">
        <v>1036</v>
      </c>
      <c r="U64" s="200" t="s">
        <v>1037</v>
      </c>
      <c r="V64" s="200" t="s">
        <v>1038</v>
      </c>
      <c r="W64" s="180"/>
      <c r="X64" s="180"/>
      <c r="Y64" s="180"/>
      <c r="Z64" s="180"/>
      <c r="AA64" s="180"/>
      <c r="AB64" s="180"/>
      <c r="AC64" s="180"/>
      <c r="AD64" s="198"/>
      <c r="AE64" s="153" t="s">
        <v>987</v>
      </c>
      <c r="AF64" s="153"/>
      <c r="AG64" s="153">
        <v>13</v>
      </c>
      <c r="AH64" s="153">
        <v>13</v>
      </c>
      <c r="AI64" s="172" t="s">
        <v>1039</v>
      </c>
      <c r="AJ64" s="162" t="s">
        <v>557</v>
      </c>
      <c r="AK64" s="162" t="s">
        <v>478</v>
      </c>
      <c r="AL64" s="162" t="s">
        <v>558</v>
      </c>
      <c r="AM64" s="163" t="s">
        <v>559</v>
      </c>
    </row>
    <row r="65" spans="1:39" ht="14.4" customHeight="1" x14ac:dyDescent="0.25">
      <c r="A65" s="1034"/>
      <c r="B65" s="132" t="str">
        <f>B53</f>
        <v>在微光光照下，你身边60尺内可以视为等同于明亮光照。而在黑暗中，该范围内可视为等同于微光光照。你无法在黑暗中分辨颜色，只能看到有灰度的黑白画面</v>
      </c>
      <c r="C65" s="132" t="str">
        <f>D55</f>
        <v>你进行对抗魅惑的豁免时具有优势，并且不会因魔法效应而陷入睡眠</v>
      </c>
      <c r="D65" s="204" t="s">
        <v>1040</v>
      </c>
      <c r="E65" s="205" t="str">
        <f>C55</f>
        <v>你拥有察觉的技能熟练项</v>
      </c>
      <c r="F65" s="206" t="str">
        <f>F55</f>
        <v>你具有长剑、短剑、短弓和长弓的武器熟练项</v>
      </c>
      <c r="G65" s="205" t="str">
        <f>J55</f>
        <v>基础步行速度提升至35尺</v>
      </c>
      <c r="H65" s="205" t="str">
        <f>K55</f>
        <v>你从树丛，大雨，落雪，雾气或其他自然现象中获得轻度遮蔽时，就可以尝试执行躲藏</v>
      </c>
      <c r="I65" s="207" t="str">
        <f>C55</f>
        <v>你拥有察觉的技能熟练项</v>
      </c>
      <c r="J65" s="207" t="str">
        <f>F55</f>
        <v>你具有长剑、短剑、短弓和长弓的武器熟练项</v>
      </c>
      <c r="K65" s="207" t="str">
        <f>G55</f>
        <v>你掌握一个法师法术列表中自选戏法</v>
      </c>
      <c r="L65" s="208" t="str">
        <f>C55</f>
        <v>你拥有察觉的技能熟练项</v>
      </c>
      <c r="M65" s="208" t="str">
        <f>N55</f>
        <v>你习得戏法舞光术。达到3级后，你可以每日使用一次法术妖火。达到5级后，你可以每日使用一次法术黑暗术。这些每日施展一次的法术其施法关键属性是魅力。你必须完成一次长休才能再次以该特质施展这些法术</v>
      </c>
      <c r="N65" s="209" t="str">
        <f>C55</f>
        <v>你拥有察觉的技能熟练项</v>
      </c>
      <c r="O65" s="209" t="s">
        <v>1041</v>
      </c>
      <c r="P65" s="199" t="s">
        <v>1042</v>
      </c>
      <c r="Q65" s="199" t="s">
        <v>1043</v>
      </c>
      <c r="R65" s="199" t="s">
        <v>1044</v>
      </c>
      <c r="S65" s="200" t="s">
        <v>1045</v>
      </c>
      <c r="T65" s="200" t="s">
        <v>1046</v>
      </c>
      <c r="U65" s="200" t="s">
        <v>1047</v>
      </c>
      <c r="V65" s="200" t="s">
        <v>1048</v>
      </c>
      <c r="W65" s="180"/>
      <c r="X65" s="180"/>
      <c r="Y65" s="180"/>
      <c r="Z65" s="180"/>
      <c r="AA65" s="180"/>
      <c r="AB65" s="180"/>
      <c r="AC65" s="180"/>
      <c r="AD65" s="198"/>
      <c r="AE65" s="153" t="s">
        <v>1005</v>
      </c>
      <c r="AF65" s="153"/>
      <c r="AG65" s="153">
        <v>14</v>
      </c>
      <c r="AH65" s="153">
        <v>14</v>
      </c>
      <c r="AI65" s="172" t="s">
        <v>1049</v>
      </c>
      <c r="AJ65" s="162" t="s">
        <v>557</v>
      </c>
      <c r="AK65" s="162" t="s">
        <v>478</v>
      </c>
      <c r="AL65" s="162" t="s">
        <v>558</v>
      </c>
      <c r="AM65" s="163" t="s">
        <v>559</v>
      </c>
    </row>
    <row r="66" spans="1:39" ht="14.4" customHeight="1" x14ac:dyDescent="0.25">
      <c r="A66" s="1034" t="s">
        <v>710</v>
      </c>
      <c r="B66" s="132" t="s">
        <v>823</v>
      </c>
      <c r="C66" s="132" t="s">
        <v>1050</v>
      </c>
      <c r="D66" s="132" t="s">
        <v>1051</v>
      </c>
      <c r="E66" s="132" t="s">
        <v>1052</v>
      </c>
      <c r="F66" s="194" t="s">
        <v>832</v>
      </c>
      <c r="G66" s="194" t="s">
        <v>823</v>
      </c>
      <c r="H66" s="194" t="s">
        <v>924</v>
      </c>
      <c r="I66" s="194" t="s">
        <v>925</v>
      </c>
      <c r="J66" s="195" t="s">
        <v>1053</v>
      </c>
      <c r="K66" s="195" t="s">
        <v>1050</v>
      </c>
      <c r="L66" s="195" t="s">
        <v>1051</v>
      </c>
      <c r="M66" s="195" t="s">
        <v>1052</v>
      </c>
      <c r="N66" s="180"/>
      <c r="O66" s="180"/>
      <c r="P66" s="180"/>
      <c r="Q66" s="180"/>
      <c r="R66" s="180"/>
      <c r="S66" s="180"/>
      <c r="T66" s="180"/>
      <c r="U66" s="180"/>
      <c r="V66" s="180"/>
      <c r="W66" s="180"/>
      <c r="X66" s="180"/>
      <c r="Y66" s="180"/>
      <c r="Z66" s="180"/>
      <c r="AA66" s="180"/>
      <c r="AB66" s="180"/>
      <c r="AC66" s="180"/>
      <c r="AD66" s="198"/>
      <c r="AE66" s="210" t="s">
        <v>774</v>
      </c>
      <c r="AF66" s="210">
        <f>AF56+1</f>
        <v>10</v>
      </c>
      <c r="AG66" s="210">
        <v>1</v>
      </c>
      <c r="AH66" s="210">
        <f>IF(V2&lt;3,4,7)</f>
        <v>4</v>
      </c>
      <c r="AI66" s="172" t="s">
        <v>1054</v>
      </c>
      <c r="AJ66" s="162" t="s">
        <v>557</v>
      </c>
      <c r="AK66" s="162" t="s">
        <v>478</v>
      </c>
      <c r="AL66" s="162" t="s">
        <v>558</v>
      </c>
      <c r="AM66" s="163" t="s">
        <v>559</v>
      </c>
    </row>
    <row r="67" spans="1:39" ht="14.4" customHeight="1" x14ac:dyDescent="0.25">
      <c r="A67" s="1034"/>
      <c r="B67" s="132" t="str">
        <f>B53</f>
        <v>在微光光照下，你身边60尺内可以视为等同于明亮光照。而在黑暗中，该范围内可视为等同于微光光照。你无法在黑暗中分辨颜色，只能看到有灰度的黑白画面</v>
      </c>
      <c r="C67" s="132" t="s">
        <v>973</v>
      </c>
      <c r="D67" s="132" t="s">
        <v>1055</v>
      </c>
      <c r="E67" s="132" t="s">
        <v>1056</v>
      </c>
      <c r="F67" s="194" t="str">
        <f>D59</f>
        <v>如果你拥有施法或契约魔法职业能力，将以下龙纹法术加入施法职业法术列表中：
1环：妖火，大步奔行
2环：动植物定位术，物件定位术
3环：鹰眼术，植物交谈
4环：预言术，生物定位术
5环：问道自然</v>
      </c>
      <c r="G67" s="194" t="str">
        <f>B53</f>
        <v>在微光光照下，你身边60尺内可以视为等同于明亮光照。而在黑暗中，该范围内可视为等同于微光光照。你无法在黑暗中分辨颜色，只能看到有灰度的黑白画面</v>
      </c>
      <c r="H67" s="194" t="str">
        <f>F59</f>
        <v>当你进行感知（察觉）或感知（求生）检定时，你能掷一个d4，并把结果加到属性检定的结果上</v>
      </c>
      <c r="I67" s="194" t="str">
        <f>G59</f>
        <v>你能通过此特性施展猎人印记法术。从第3级起，你还能施展物件定位术。一旦你使用此特性施展了前述法术，你将无法再次使用此特性，直到完成一次长休。感知是你在施展这些法术时的关键属性</v>
      </c>
      <c r="J67" s="195" t="s">
        <v>1057</v>
      </c>
      <c r="K67" s="195" t="str">
        <f>C67</f>
        <v>你拥有威吓的技能熟练项</v>
      </c>
      <c r="L67" s="195" t="str">
        <f>D67</f>
        <v>当你生命值降至0而没有立即死亡时，可以改为使生命值降至1。此特质生效后必须完成一次长休后才能再次生效</v>
      </c>
      <c r="M67" s="195" t="str">
        <f>E67</f>
        <v>使用近战武器攻击造成重击时，你可以额外掷一个该武器的伤害骰，并将其数值加入到重击的额外伤害中</v>
      </c>
      <c r="N67" s="180"/>
      <c r="O67" s="180"/>
      <c r="P67" s="180"/>
      <c r="Q67" s="180"/>
      <c r="R67" s="180"/>
      <c r="S67" s="131"/>
      <c r="T67" s="131"/>
      <c r="U67" s="180"/>
      <c r="V67" s="180"/>
      <c r="W67" s="180"/>
      <c r="X67" s="180"/>
      <c r="Y67" s="180"/>
      <c r="Z67" s="180"/>
      <c r="AA67" s="180"/>
      <c r="AB67" s="180"/>
      <c r="AC67" s="180"/>
      <c r="AD67" s="198"/>
      <c r="AE67" s="210" t="s">
        <v>1033</v>
      </c>
      <c r="AF67" s="210">
        <f>AF66+1</f>
        <v>11</v>
      </c>
      <c r="AG67" s="210">
        <v>1</v>
      </c>
      <c r="AH67" s="210">
        <v>4</v>
      </c>
      <c r="AI67" s="172" t="s">
        <v>1058</v>
      </c>
      <c r="AJ67" s="162" t="s">
        <v>557</v>
      </c>
      <c r="AK67" s="162" t="s">
        <v>1019</v>
      </c>
      <c r="AL67" s="162" t="s">
        <v>558</v>
      </c>
      <c r="AM67" s="163" t="s">
        <v>559</v>
      </c>
    </row>
    <row r="68" spans="1:39" ht="14.4" customHeight="1" x14ac:dyDescent="0.25">
      <c r="A68" s="1034" t="s">
        <v>729</v>
      </c>
      <c r="B68" s="132" t="s">
        <v>823</v>
      </c>
      <c r="C68" s="132" t="s">
        <v>1059</v>
      </c>
      <c r="D68" s="204" t="str">
        <f>IF(OR(AC22&lt;1,COUNTIF($AB$2:$AB$15,"地狱遗赠")),"地狱遗赠","")</f>
        <v>地狱遗赠</v>
      </c>
      <c r="E68" s="206" t="str">
        <f>IF(OR(AC22&lt;1,COUNTIF($AB$2:$AB$15,"魔鬼之舌")),"魔鬼之舌","")</f>
        <v>魔鬼之舌</v>
      </c>
      <c r="F68" s="206" t="str">
        <f>IF(OR(AC22&lt;1,COUNTIF($AB$2:$AB$15,"地狱之火")),"地狱之火","")</f>
        <v>地狱之火</v>
      </c>
      <c r="G68" s="206" t="str">
        <f>IF(OR(AC22&lt;1,COUNTIF($AB$2:$AB$15,"飞翼")),"飞翼","")</f>
        <v>飞翼</v>
      </c>
      <c r="H68" s="195" t="s">
        <v>1060</v>
      </c>
      <c r="I68" s="196" t="s">
        <v>1061</v>
      </c>
      <c r="J68" s="197" t="s">
        <v>1062</v>
      </c>
      <c r="K68" s="199" t="s">
        <v>1063</v>
      </c>
      <c r="L68" s="200" t="s">
        <v>1064</v>
      </c>
      <c r="M68" s="201" t="s">
        <v>1065</v>
      </c>
      <c r="N68" s="194" t="s">
        <v>1066</v>
      </c>
      <c r="O68" s="195" t="s">
        <v>1067</v>
      </c>
      <c r="P68" s="180"/>
      <c r="Q68" s="180"/>
      <c r="R68" s="180"/>
      <c r="U68" s="180"/>
      <c r="V68" s="180"/>
      <c r="W68" s="180"/>
      <c r="X68" s="180"/>
      <c r="Y68" s="180"/>
      <c r="Z68" s="180"/>
      <c r="AA68" s="180"/>
      <c r="AB68" s="180"/>
      <c r="AC68" s="180"/>
      <c r="AD68" s="198"/>
      <c r="AE68" s="210" t="s">
        <v>1039</v>
      </c>
      <c r="AF68" s="210">
        <f t="shared" ref="AF68:AF73" si="62">AF67+1</f>
        <v>12</v>
      </c>
      <c r="AG68" s="210">
        <v>1</v>
      </c>
      <c r="AH68" s="210">
        <v>3</v>
      </c>
      <c r="AI68" s="172" t="s">
        <v>1068</v>
      </c>
      <c r="AJ68" s="162" t="s">
        <v>557</v>
      </c>
      <c r="AK68" s="162" t="s">
        <v>478</v>
      </c>
      <c r="AL68" s="162" t="s">
        <v>558</v>
      </c>
      <c r="AM68" s="163" t="s">
        <v>559</v>
      </c>
    </row>
    <row r="69" spans="1:39" ht="14.4" customHeight="1" x14ac:dyDescent="0.25">
      <c r="A69" s="1034"/>
      <c r="B69" s="132" t="str">
        <f>B53</f>
        <v>在微光光照下，你身边60尺内可以视为等同于明亮光照。而在黑暗中，该范围内可视为等同于微光光照。你无法在黑暗中分辨颜色，只能看到有灰度的黑白画面</v>
      </c>
      <c r="C69" s="132" t="s">
        <v>1069</v>
      </c>
      <c r="D69" s="204" t="s">
        <v>1070</v>
      </c>
      <c r="E69" s="206" t="s">
        <v>1071</v>
      </c>
      <c r="F69" s="206" t="s">
        <v>1072</v>
      </c>
      <c r="G69" s="206" t="s">
        <v>1073</v>
      </c>
      <c r="H69" s="195" t="s">
        <v>1074</v>
      </c>
      <c r="I69" s="196" t="s">
        <v>1075</v>
      </c>
      <c r="J69" s="197" t="s">
        <v>1076</v>
      </c>
      <c r="K69" s="199" t="s">
        <v>1077</v>
      </c>
      <c r="L69" s="200" t="s">
        <v>1078</v>
      </c>
      <c r="M69" s="201" t="s">
        <v>1079</v>
      </c>
      <c r="N69" s="194" t="s">
        <v>1080</v>
      </c>
      <c r="O69" s="195" t="s">
        <v>1081</v>
      </c>
      <c r="P69" s="180"/>
      <c r="Q69" s="180"/>
      <c r="R69" s="180"/>
      <c r="S69" s="131"/>
      <c r="T69" s="131"/>
      <c r="U69" s="180"/>
      <c r="V69" s="180"/>
      <c r="W69" s="180"/>
      <c r="X69" s="180"/>
      <c r="Y69" s="180"/>
      <c r="Z69" s="180"/>
      <c r="AA69" s="180"/>
      <c r="AB69" s="180"/>
      <c r="AC69" s="180"/>
      <c r="AD69" s="198"/>
      <c r="AE69" s="210" t="s">
        <v>1049</v>
      </c>
      <c r="AF69" s="210">
        <f t="shared" si="62"/>
        <v>13</v>
      </c>
      <c r="AG69" s="210">
        <v>1</v>
      </c>
      <c r="AH69" s="210">
        <v>3</v>
      </c>
      <c r="AI69" s="172" t="s">
        <v>1082</v>
      </c>
      <c r="AJ69" s="162" t="s">
        <v>557</v>
      </c>
      <c r="AK69" s="162" t="s">
        <v>518</v>
      </c>
      <c r="AL69" s="162" t="s">
        <v>558</v>
      </c>
      <c r="AM69" s="163" t="s">
        <v>559</v>
      </c>
    </row>
    <row r="70" spans="1:39" ht="14.4" customHeight="1" x14ac:dyDescent="0.25">
      <c r="A70" s="1033" t="s">
        <v>774</v>
      </c>
      <c r="B70" s="132" t="s">
        <v>823</v>
      </c>
      <c r="C70" s="132" t="s">
        <v>1083</v>
      </c>
      <c r="D70" s="132" t="s">
        <v>1084</v>
      </c>
      <c r="E70" s="132" t="s">
        <v>1085</v>
      </c>
      <c r="F70" s="204" t="str">
        <f>IF(OR(AC23&lt;1,COUNTIF($AB$2:$AB$15,"光辉灵魂")),"光辉灵魂","")</f>
        <v>光辉灵魂</v>
      </c>
      <c r="G70" s="204" t="str">
        <f>IF(OR(AC23&lt;1,COUNTIF($AB$2:$AB$15,"光辉焚化")),"光辉焚化","")</f>
        <v>光辉焚化</v>
      </c>
      <c r="H70" s="204" t="str">
        <f>IF(OR(AC23&lt;1,COUNTIF($AB$2:$AB$15,"死灵环绕")),"死灵环绕","")</f>
        <v>死灵环绕</v>
      </c>
      <c r="I70" s="180"/>
      <c r="J70" s="180"/>
      <c r="K70" s="180"/>
      <c r="L70" s="180"/>
      <c r="M70" s="180"/>
      <c r="N70" s="180"/>
      <c r="O70" s="180"/>
      <c r="P70" s="180"/>
      <c r="Q70" s="180"/>
      <c r="R70" s="180"/>
      <c r="U70" s="180"/>
      <c r="V70" s="180"/>
      <c r="W70" s="180"/>
      <c r="X70" s="180"/>
      <c r="Y70" s="180"/>
      <c r="Z70" s="180"/>
      <c r="AA70" s="180"/>
      <c r="AB70" s="180"/>
      <c r="AC70" s="180"/>
      <c r="AD70" s="198"/>
      <c r="AE70" s="210" t="s">
        <v>1054</v>
      </c>
      <c r="AF70" s="210">
        <f t="shared" si="62"/>
        <v>14</v>
      </c>
      <c r="AG70" s="210">
        <v>1</v>
      </c>
      <c r="AH70" s="210">
        <v>6</v>
      </c>
      <c r="AI70" s="172" t="s">
        <v>757</v>
      </c>
      <c r="AJ70" s="162" t="str">
        <f>AJ69</f>
        <v>自选两项属性分别+2/+1或自选三项属性+1</v>
      </c>
      <c r="AK70" s="162" t="s">
        <v>478</v>
      </c>
      <c r="AL70" s="162" t="str">
        <f>AL$69</f>
        <v>基础步行速度为30尺</v>
      </c>
      <c r="AM70" s="163" t="str">
        <f>AM69</f>
        <v>，以及任意一门自选语言</v>
      </c>
    </row>
    <row r="71" spans="1:39" ht="14.4" customHeight="1" x14ac:dyDescent="0.25">
      <c r="A71" s="1033"/>
      <c r="B71" s="132" t="str">
        <f>B53</f>
        <v>在微光光照下，你身边60尺内可以视为等同于明亮光照。而在黑暗中，该范围内可视为等同于微光光照。你无法在黑暗中分辨颜色，只能看到有灰度的黑白画面</v>
      </c>
      <c r="C71" s="132" t="s">
        <v>1086</v>
      </c>
      <c r="D71" s="132" t="s">
        <v>1087</v>
      </c>
      <c r="E71" s="132" t="s">
        <v>1088</v>
      </c>
      <c r="F71" s="204" t="s">
        <v>1089</v>
      </c>
      <c r="G71" s="204" t="s">
        <v>1090</v>
      </c>
      <c r="H71" s="204" t="s">
        <v>1091</v>
      </c>
      <c r="I71" s="119"/>
      <c r="J71" s="180"/>
      <c r="K71" s="180"/>
      <c r="L71" s="180"/>
      <c r="M71" s="180"/>
      <c r="N71" s="180"/>
      <c r="O71" s="180"/>
      <c r="P71" s="180"/>
      <c r="Q71" s="180"/>
      <c r="R71" s="180"/>
      <c r="S71" s="131"/>
      <c r="T71" s="131"/>
      <c r="U71" s="180"/>
      <c r="V71" s="180"/>
      <c r="W71" s="180"/>
      <c r="X71" s="180"/>
      <c r="Y71" s="180"/>
      <c r="Z71" s="180"/>
      <c r="AA71" s="180"/>
      <c r="AB71" s="180"/>
      <c r="AC71" s="180"/>
      <c r="AD71" s="198"/>
      <c r="AE71" s="210" t="s">
        <v>1058</v>
      </c>
      <c r="AF71" s="210">
        <f t="shared" si="62"/>
        <v>15</v>
      </c>
      <c r="AG71" s="210">
        <v>1</v>
      </c>
      <c r="AH71" s="210">
        <v>5</v>
      </c>
      <c r="AI71" s="172" t="s">
        <v>758</v>
      </c>
      <c r="AJ71" s="162" t="str">
        <f>AJ69</f>
        <v>自选两项属性分别+2/+1或自选三项属性+1</v>
      </c>
      <c r="AK71" s="162" t="str">
        <f>AK$70</f>
        <v>中型</v>
      </c>
      <c r="AL71" s="162" t="str">
        <f>AL$69</f>
        <v>基础步行速度为30尺</v>
      </c>
      <c r="AM71" s="163" t="str">
        <f>AM69</f>
        <v>，以及任意一门自选语言</v>
      </c>
    </row>
    <row r="72" spans="1:39" ht="14.4" customHeight="1" x14ac:dyDescent="0.25">
      <c r="A72" s="1033" t="s">
        <v>1033</v>
      </c>
      <c r="B72" s="132" t="s">
        <v>1092</v>
      </c>
      <c r="C72" s="132" t="s">
        <v>1093</v>
      </c>
      <c r="D72" s="132" t="s">
        <v>1094</v>
      </c>
      <c r="E72" s="132" t="s">
        <v>1095</v>
      </c>
      <c r="F72" s="180"/>
      <c r="G72" s="180"/>
      <c r="H72" s="180"/>
      <c r="I72" s="180"/>
      <c r="J72" s="180"/>
      <c r="K72" s="180"/>
      <c r="L72" s="180"/>
      <c r="M72" s="180"/>
      <c r="N72" s="180"/>
      <c r="O72" s="180"/>
      <c r="P72" s="180"/>
      <c r="Q72" s="180"/>
      <c r="R72" s="180"/>
      <c r="U72" s="180"/>
      <c r="V72" s="180"/>
      <c r="W72" s="180"/>
      <c r="X72" s="180"/>
      <c r="Y72" s="180"/>
      <c r="Z72" s="180"/>
      <c r="AA72" s="180"/>
      <c r="AB72" s="180"/>
      <c r="AC72" s="180"/>
      <c r="AD72" s="198"/>
      <c r="AE72" s="210" t="s">
        <v>1068</v>
      </c>
      <c r="AF72" s="210">
        <f t="shared" si="62"/>
        <v>16</v>
      </c>
      <c r="AG72" s="210">
        <v>1</v>
      </c>
      <c r="AH72" s="210">
        <v>6</v>
      </c>
      <c r="AI72" s="184" t="s">
        <v>814</v>
      </c>
      <c r="AJ72" s="162" t="str">
        <f>IF(V3=A44,"魅力+2，感知+1","敏捷+2")</f>
        <v>敏捷+2</v>
      </c>
      <c r="AK72" s="162" t="str">
        <f>IF(V3=A44,"中型","小型")</f>
        <v>小型</v>
      </c>
      <c r="AL72" s="162" t="str">
        <f>IF(V3=A44,"基础步行速度为30尺","基础步行速度为25尺")</f>
        <v>基础步行速度为25尺</v>
      </c>
      <c r="AM72" s="163" t="str">
        <f>IF(V3=A44,"和吸血鬼语","和地精语")</f>
        <v>和地精语</v>
      </c>
    </row>
    <row r="73" spans="1:39" ht="14.4" customHeight="1" x14ac:dyDescent="0.25">
      <c r="A73" s="1033"/>
      <c r="B73" s="132" t="s">
        <v>1096</v>
      </c>
      <c r="C73" s="132" t="s">
        <v>1097</v>
      </c>
      <c r="D73" s="132" t="s">
        <v>1098</v>
      </c>
      <c r="E73" s="132" t="s">
        <v>1099</v>
      </c>
      <c r="F73" s="180"/>
      <c r="H73" s="180"/>
      <c r="I73" s="180"/>
      <c r="J73" s="180"/>
      <c r="K73" s="180"/>
      <c r="L73" s="180"/>
      <c r="M73" s="180"/>
      <c r="N73" s="180"/>
      <c r="O73" s="180"/>
      <c r="P73" s="180"/>
      <c r="Q73" s="180"/>
      <c r="R73" s="180"/>
      <c r="S73" s="131"/>
      <c r="T73" s="131"/>
      <c r="U73" s="180"/>
      <c r="V73" s="180"/>
      <c r="W73" s="180"/>
      <c r="X73" s="180"/>
      <c r="Y73" s="180"/>
      <c r="Z73" s="180"/>
      <c r="AA73" s="180"/>
      <c r="AB73" s="180"/>
      <c r="AC73" s="180"/>
      <c r="AD73" s="198"/>
      <c r="AE73" s="210" t="s">
        <v>1082</v>
      </c>
      <c r="AF73" s="210">
        <f t="shared" si="62"/>
        <v>17</v>
      </c>
      <c r="AG73" s="210">
        <v>1</v>
      </c>
      <c r="AH73" s="210">
        <f>IF(COUNTIF(B18:C18,V4),2,4)</f>
        <v>4</v>
      </c>
      <c r="AI73" s="184" t="s">
        <v>815</v>
      </c>
      <c r="AJ73" s="162" t="str">
        <f>IF(V3=A44,"魅力+2，智力+1","体质+2")</f>
        <v>体质+2</v>
      </c>
      <c r="AK73" s="162" t="str">
        <f>AK72</f>
        <v>小型</v>
      </c>
      <c r="AL73" s="162" t="str">
        <f>AL72</f>
        <v>基础步行速度为25尺</v>
      </c>
      <c r="AM73" s="163" t="str">
        <f>AM72</f>
        <v>和地精语</v>
      </c>
    </row>
    <row r="74" spans="1:39" ht="14.4" customHeight="1" x14ac:dyDescent="0.25">
      <c r="A74" s="1033" t="s">
        <v>1039</v>
      </c>
      <c r="B74" s="132" t="s">
        <v>1100</v>
      </c>
      <c r="C74" s="132" t="s">
        <v>1101</v>
      </c>
      <c r="D74" s="132" t="s">
        <v>1102</v>
      </c>
      <c r="F74" s="180"/>
      <c r="G74" s="180"/>
      <c r="H74" s="180"/>
      <c r="I74" s="180"/>
      <c r="J74" s="180"/>
      <c r="K74" s="180"/>
      <c r="L74" s="180"/>
      <c r="M74" s="180"/>
      <c r="N74" s="180"/>
      <c r="O74" s="180"/>
      <c r="P74" s="180"/>
      <c r="Q74" s="180"/>
      <c r="R74" s="180"/>
      <c r="U74" s="180"/>
      <c r="V74" s="180"/>
      <c r="W74" s="180"/>
      <c r="X74" s="180"/>
      <c r="Y74" s="180"/>
      <c r="Z74" s="180"/>
      <c r="AA74" s="180"/>
      <c r="AB74" s="180"/>
      <c r="AC74" s="180"/>
      <c r="AD74" s="198"/>
      <c r="AE74" s="178" t="s">
        <v>757</v>
      </c>
      <c r="AF74" s="178"/>
      <c r="AG74" s="178">
        <v>5</v>
      </c>
      <c r="AH74" s="178">
        <v>8</v>
      </c>
      <c r="AI74" s="172" t="s">
        <v>777</v>
      </c>
      <c r="AJ74" s="162" t="s">
        <v>557</v>
      </c>
      <c r="AK74" s="162" t="s">
        <v>518</v>
      </c>
      <c r="AL74" s="162" t="s">
        <v>558</v>
      </c>
      <c r="AM74" s="163" t="s">
        <v>559</v>
      </c>
    </row>
    <row r="75" spans="1:39" ht="14.4" customHeight="1" x14ac:dyDescent="0.25">
      <c r="A75" s="1033"/>
      <c r="B75" s="132" t="s">
        <v>1103</v>
      </c>
      <c r="C75" s="132" t="s">
        <v>1104</v>
      </c>
      <c r="D75" s="132" t="s">
        <v>1105</v>
      </c>
      <c r="F75" s="180"/>
      <c r="G75" s="180"/>
      <c r="H75" s="180"/>
      <c r="I75" s="180"/>
      <c r="J75" s="180"/>
      <c r="K75" s="180"/>
      <c r="L75" s="180"/>
      <c r="M75" s="180"/>
      <c r="N75" s="180"/>
      <c r="O75" s="180"/>
      <c r="P75" s="180"/>
      <c r="Q75" s="180"/>
      <c r="R75" s="180"/>
      <c r="S75" s="131"/>
      <c r="T75" s="131"/>
      <c r="U75" s="180"/>
      <c r="V75" s="180"/>
      <c r="W75" s="180"/>
      <c r="X75" s="180"/>
      <c r="Y75" s="180"/>
      <c r="AD75" s="198"/>
      <c r="AE75" s="178" t="s">
        <v>758</v>
      </c>
      <c r="AF75" s="178"/>
      <c r="AG75" s="178">
        <v>9</v>
      </c>
      <c r="AH75" s="178">
        <v>10</v>
      </c>
      <c r="AI75" s="172" t="s">
        <v>1106</v>
      </c>
      <c r="AJ75" s="162" t="s">
        <v>557</v>
      </c>
      <c r="AK75" s="162" t="s">
        <v>478</v>
      </c>
      <c r="AL75" s="162" t="s">
        <v>558</v>
      </c>
      <c r="AM75" s="163" t="s">
        <v>559</v>
      </c>
    </row>
    <row r="76" spans="1:39" ht="14.4" customHeight="1" x14ac:dyDescent="0.25">
      <c r="A76" s="1033" t="s">
        <v>1049</v>
      </c>
      <c r="B76" s="132" t="s">
        <v>1107</v>
      </c>
      <c r="C76" s="132" t="s">
        <v>1108</v>
      </c>
      <c r="D76" s="132" t="s">
        <v>1109</v>
      </c>
      <c r="E76" s="180"/>
      <c r="F76" s="180"/>
      <c r="G76" s="180"/>
      <c r="H76" s="180"/>
      <c r="I76" s="180"/>
      <c r="J76" s="180"/>
      <c r="K76" s="180"/>
      <c r="L76" s="180"/>
      <c r="M76" s="180"/>
      <c r="N76" s="180"/>
      <c r="O76" s="180"/>
      <c r="P76" s="180"/>
      <c r="Q76" s="180"/>
      <c r="R76" s="180"/>
      <c r="U76" s="180"/>
      <c r="V76" s="180"/>
      <c r="W76" s="180"/>
      <c r="X76" s="180"/>
      <c r="Y76" s="180"/>
      <c r="AD76" s="198"/>
      <c r="AE76" s="168" t="s">
        <v>814</v>
      </c>
      <c r="AF76" s="168"/>
      <c r="AG76" s="168">
        <f>IF(V3=A44,4,11)</f>
        <v>11</v>
      </c>
      <c r="AH76" s="168">
        <f>IF(V3=A44,4,11)</f>
        <v>11</v>
      </c>
      <c r="AI76" s="172" t="s">
        <v>1110</v>
      </c>
      <c r="AJ76" s="162" t="s">
        <v>557</v>
      </c>
      <c r="AK76" s="162" t="s">
        <v>1019</v>
      </c>
      <c r="AL76" s="162" t="s">
        <v>558</v>
      </c>
      <c r="AM76" s="163" t="s">
        <v>559</v>
      </c>
    </row>
    <row r="77" spans="1:39" ht="14.4" customHeight="1" x14ac:dyDescent="0.25">
      <c r="A77" s="1033"/>
      <c r="B77" s="132" t="s">
        <v>1111</v>
      </c>
      <c r="C77" s="132" t="s">
        <v>1112</v>
      </c>
      <c r="D77" s="132" t="s">
        <v>1113</v>
      </c>
      <c r="E77" s="180"/>
      <c r="F77" s="180"/>
      <c r="G77" s="180"/>
      <c r="H77" s="180"/>
      <c r="I77" s="180"/>
      <c r="J77" s="180"/>
      <c r="K77" s="180"/>
      <c r="L77" s="180"/>
      <c r="M77" s="180"/>
      <c r="N77" s="180"/>
      <c r="O77" s="180"/>
      <c r="P77" s="180"/>
      <c r="Q77" s="180"/>
      <c r="R77" s="180"/>
      <c r="S77" s="131"/>
      <c r="T77" s="131"/>
      <c r="U77" s="180"/>
      <c r="V77" s="180"/>
      <c r="W77" s="180"/>
      <c r="X77" s="180"/>
      <c r="Y77" s="180"/>
      <c r="Z77" s="180"/>
      <c r="AA77" s="180"/>
      <c r="AB77" s="180"/>
      <c r="AC77" s="180"/>
      <c r="AD77" s="198"/>
      <c r="AE77" s="168" t="s">
        <v>815</v>
      </c>
      <c r="AF77" s="168"/>
      <c r="AG77" s="168">
        <f>IF(V3=A44,5,12)</f>
        <v>12</v>
      </c>
      <c r="AH77" s="168">
        <f>IF(V3=A44,5,12)</f>
        <v>12</v>
      </c>
      <c r="AI77" s="167" t="s">
        <v>769</v>
      </c>
      <c r="AJ77" s="162" t="s">
        <v>557</v>
      </c>
      <c r="AK77" s="162" t="s">
        <v>478</v>
      </c>
      <c r="AL77" s="162" t="s">
        <v>558</v>
      </c>
      <c r="AM77" s="163" t="s">
        <v>559</v>
      </c>
    </row>
    <row r="78" spans="1:39" ht="14.4" customHeight="1" x14ac:dyDescent="0.25">
      <c r="A78" s="1033" t="s">
        <v>1054</v>
      </c>
      <c r="B78" s="132" t="s">
        <v>863</v>
      </c>
      <c r="C78" s="132" t="s">
        <v>1114</v>
      </c>
      <c r="D78" s="132" t="s">
        <v>1115</v>
      </c>
      <c r="E78" s="132" t="s">
        <v>1116</v>
      </c>
      <c r="F78" s="132" t="s">
        <v>1117</v>
      </c>
      <c r="G78" s="132" t="s">
        <v>1118</v>
      </c>
      <c r="I78" s="180"/>
      <c r="J78" s="180"/>
      <c r="K78" s="132"/>
      <c r="L78" s="180"/>
      <c r="M78" s="180"/>
      <c r="N78" s="180"/>
      <c r="O78" s="180"/>
      <c r="P78" s="180"/>
      <c r="Q78" s="180"/>
      <c r="R78" s="180"/>
      <c r="U78" s="180"/>
      <c r="V78" s="180"/>
      <c r="W78" s="180"/>
      <c r="X78" s="180"/>
      <c r="Y78" s="180"/>
      <c r="Z78" s="180"/>
      <c r="AA78" s="180"/>
      <c r="AB78" s="180"/>
      <c r="AC78" s="180"/>
      <c r="AD78" s="198"/>
      <c r="AE78" s="210" t="s">
        <v>777</v>
      </c>
      <c r="AF78" s="210">
        <f>AF73+1</f>
        <v>18</v>
      </c>
      <c r="AG78" s="210">
        <v>1</v>
      </c>
      <c r="AH78" s="210">
        <v>5</v>
      </c>
      <c r="AI78" s="167" t="s">
        <v>770</v>
      </c>
      <c r="AJ78" s="162" t="s">
        <v>557</v>
      </c>
      <c r="AK78" s="162" t="str">
        <f>AK$77</f>
        <v>中型</v>
      </c>
      <c r="AL78" s="162" t="str">
        <f>AL$77</f>
        <v>基础步行速度为30尺</v>
      </c>
      <c r="AM78" s="163" t="str">
        <f>AM77</f>
        <v>，以及任意一门自选语言</v>
      </c>
    </row>
    <row r="79" spans="1:39" ht="14.4" customHeight="1" x14ac:dyDescent="0.25">
      <c r="A79" s="1033"/>
      <c r="B79" s="132" t="str">
        <f>Q55</f>
        <v>你拥有等于步行速度的游泳速度</v>
      </c>
      <c r="C79" s="132" t="s">
        <v>1119</v>
      </c>
      <c r="D79" s="132" t="s">
        <v>1120</v>
      </c>
      <c r="E79" s="132" t="s">
        <v>1121</v>
      </c>
      <c r="F79" s="132" t="s">
        <v>1122</v>
      </c>
      <c r="G79" s="132" t="s">
        <v>1123</v>
      </c>
      <c r="I79" s="180"/>
      <c r="J79" s="180"/>
      <c r="K79" s="132"/>
      <c r="L79" s="180"/>
      <c r="M79" s="180"/>
      <c r="N79" s="180"/>
      <c r="O79" s="180"/>
      <c r="P79" s="180"/>
      <c r="Q79" s="180"/>
      <c r="R79" s="180"/>
      <c r="S79" s="131"/>
      <c r="T79" s="131"/>
      <c r="U79" s="180"/>
      <c r="V79" s="180"/>
      <c r="W79" s="180"/>
      <c r="X79" s="180"/>
      <c r="Y79" s="180"/>
      <c r="AD79" s="198"/>
      <c r="AE79" s="210" t="s">
        <v>1106</v>
      </c>
      <c r="AF79" s="210">
        <f>AF78+1</f>
        <v>19</v>
      </c>
      <c r="AG79" s="210">
        <v>1</v>
      </c>
      <c r="AH79" s="210">
        <v>4</v>
      </c>
      <c r="AI79" s="181" t="s">
        <v>1124</v>
      </c>
      <c r="AJ79" s="162" t="s">
        <v>557</v>
      </c>
      <c r="AK79" s="162" t="s">
        <v>478</v>
      </c>
      <c r="AL79" s="162" t="s">
        <v>1125</v>
      </c>
      <c r="AM79" s="163" t="s">
        <v>559</v>
      </c>
    </row>
    <row r="80" spans="1:39" ht="14.4" customHeight="1" x14ac:dyDescent="0.25">
      <c r="A80" s="1033" t="s">
        <v>1058</v>
      </c>
      <c r="B80" s="132" t="s">
        <v>823</v>
      </c>
      <c r="C80" s="106" t="s">
        <v>1126</v>
      </c>
      <c r="D80" s="132" t="s">
        <v>1127</v>
      </c>
      <c r="E80" s="132" t="s">
        <v>1128</v>
      </c>
      <c r="F80" s="132" t="s">
        <v>1129</v>
      </c>
      <c r="G80" s="180"/>
      <c r="H80" s="180"/>
      <c r="I80" s="180"/>
      <c r="J80" s="180"/>
      <c r="K80" s="180"/>
      <c r="L80" s="180"/>
      <c r="M80" s="180"/>
      <c r="N80" s="180"/>
      <c r="O80" s="180"/>
      <c r="P80" s="180"/>
      <c r="Q80" s="180"/>
      <c r="R80" s="180"/>
      <c r="U80" s="180"/>
      <c r="V80" s="180"/>
      <c r="W80" s="180"/>
      <c r="X80" s="180"/>
      <c r="Y80" s="180"/>
      <c r="AD80" s="198"/>
      <c r="AE80" s="210" t="s">
        <v>1110</v>
      </c>
      <c r="AF80" s="210">
        <f>AF79+1</f>
        <v>20</v>
      </c>
      <c r="AG80" s="210">
        <v>1</v>
      </c>
      <c r="AH80" s="210">
        <v>4</v>
      </c>
      <c r="AI80" s="181" t="s">
        <v>1130</v>
      </c>
      <c r="AJ80" s="162" t="s">
        <v>557</v>
      </c>
      <c r="AK80" s="162" t="s">
        <v>478</v>
      </c>
      <c r="AL80" s="162" t="s">
        <v>558</v>
      </c>
      <c r="AM80" s="163" t="s">
        <v>559</v>
      </c>
    </row>
    <row r="81" spans="1:39" ht="14.4" customHeight="1" x14ac:dyDescent="0.25">
      <c r="A81" s="1033"/>
      <c r="B81" s="132" t="str">
        <f>B53</f>
        <v>在微光光照下，你身边60尺内可以视为等同于明亮光照。而在黑暗中，该范围内可视为等同于微光光照。你无法在黑暗中分辨颜色，只能看到有灰度的黑白画面</v>
      </c>
      <c r="C81" s="106" t="s">
        <v>1131</v>
      </c>
      <c r="D81" s="132" t="s">
        <v>1132</v>
      </c>
      <c r="E81" s="132" t="s">
        <v>1133</v>
      </c>
      <c r="F81" s="132" t="s">
        <v>1134</v>
      </c>
      <c r="G81" s="180"/>
      <c r="H81" s="180"/>
      <c r="I81" s="180"/>
      <c r="J81" s="180"/>
      <c r="K81" s="180"/>
      <c r="L81" s="180"/>
      <c r="M81" s="180"/>
      <c r="N81" s="180"/>
      <c r="O81" s="180"/>
      <c r="P81" s="180"/>
      <c r="Q81" s="180"/>
      <c r="R81" s="180"/>
      <c r="S81" s="131"/>
      <c r="T81" s="131"/>
      <c r="U81" s="180"/>
      <c r="V81" s="180"/>
      <c r="W81" s="180"/>
      <c r="X81" s="180"/>
      <c r="Y81" s="180"/>
      <c r="Z81" s="180"/>
      <c r="AA81" s="180"/>
      <c r="AB81" s="180"/>
      <c r="AC81" s="180"/>
      <c r="AD81" s="198"/>
      <c r="AE81" s="211" t="s">
        <v>1135</v>
      </c>
      <c r="AF81" s="211">
        <f>AF80+1</f>
        <v>21</v>
      </c>
      <c r="AG81" s="211">
        <v>1</v>
      </c>
      <c r="AH81" s="211">
        <v>1</v>
      </c>
      <c r="AI81" s="181" t="s">
        <v>1136</v>
      </c>
      <c r="AJ81" s="162" t="s">
        <v>477</v>
      </c>
      <c r="AK81" s="162" t="s">
        <v>478</v>
      </c>
      <c r="AL81" s="162" t="s">
        <v>558</v>
      </c>
      <c r="AM81" s="163" t="s">
        <v>1137</v>
      </c>
    </row>
    <row r="82" spans="1:39" ht="14.4" customHeight="1" x14ac:dyDescent="0.25">
      <c r="A82" s="1033" t="s">
        <v>1068</v>
      </c>
      <c r="B82" s="132" t="s">
        <v>823</v>
      </c>
      <c r="C82" s="106" t="s">
        <v>863</v>
      </c>
      <c r="D82" s="132" t="s">
        <v>1138</v>
      </c>
      <c r="E82" s="132" t="s">
        <v>1139</v>
      </c>
      <c r="F82" s="132" t="s">
        <v>1140</v>
      </c>
      <c r="G82" s="132" t="s">
        <v>1141</v>
      </c>
      <c r="H82" s="180"/>
      <c r="I82" s="180"/>
      <c r="J82" s="180"/>
      <c r="K82" s="180"/>
      <c r="L82" s="180"/>
      <c r="M82" s="180"/>
      <c r="N82" s="180"/>
      <c r="O82" s="180"/>
      <c r="P82" s="180"/>
      <c r="Q82" s="180"/>
      <c r="R82" s="180"/>
      <c r="U82" s="180"/>
      <c r="V82" s="180"/>
      <c r="W82" s="180"/>
      <c r="X82" s="180"/>
      <c r="Y82" s="180"/>
      <c r="Z82" s="180"/>
      <c r="AA82" s="180"/>
      <c r="AB82" s="180"/>
      <c r="AC82" s="180"/>
      <c r="AD82" s="198"/>
      <c r="AE82" s="153" t="s">
        <v>769</v>
      </c>
      <c r="AF82" s="153"/>
      <c r="AG82" s="153">
        <v>2</v>
      </c>
      <c r="AH82" s="153">
        <v>3</v>
      </c>
      <c r="AI82" s="181" t="s">
        <v>1142</v>
      </c>
      <c r="AJ82" s="162" t="s">
        <v>1143</v>
      </c>
      <c r="AK82" s="162" t="s">
        <v>478</v>
      </c>
      <c r="AL82" s="162" t="s">
        <v>558</v>
      </c>
      <c r="AM82" s="163" t="s">
        <v>1144</v>
      </c>
    </row>
    <row r="83" spans="1:39" ht="14.4" customHeight="1" x14ac:dyDescent="0.25">
      <c r="A83" s="1033"/>
      <c r="B83" s="132" t="str">
        <f>B53</f>
        <v>在微光光照下，你身边60尺内可以视为等同于明亮光照。而在黑暗中，该范围内可视为等同于微光光照。你无法在黑暗中分辨颜色，只能看到有灰度的黑白画面</v>
      </c>
      <c r="C83" s="180" t="str">
        <f>Q55</f>
        <v>你拥有等于步行速度的游泳速度</v>
      </c>
      <c r="D83" s="132" t="s">
        <v>1145</v>
      </c>
      <c r="E83" s="132" t="s">
        <v>1146</v>
      </c>
      <c r="F83" s="132" t="s">
        <v>1147</v>
      </c>
      <c r="G83" s="132" t="s">
        <v>1105</v>
      </c>
      <c r="H83" s="180"/>
      <c r="I83" s="180"/>
      <c r="J83" s="180"/>
      <c r="K83" s="180"/>
      <c r="L83" s="180"/>
      <c r="M83" s="180"/>
      <c r="N83" s="180"/>
      <c r="O83" s="180"/>
      <c r="P83" s="180"/>
      <c r="Q83" s="180"/>
      <c r="R83" s="180"/>
      <c r="S83" s="131"/>
      <c r="T83" s="131"/>
      <c r="U83" s="131"/>
      <c r="V83" s="131"/>
      <c r="W83" s="180"/>
      <c r="X83" s="180"/>
      <c r="Y83" s="180"/>
      <c r="Z83" s="180"/>
      <c r="AA83" s="180"/>
      <c r="AB83" s="180"/>
      <c r="AC83" s="180"/>
      <c r="AD83" s="198"/>
      <c r="AE83" s="153" t="s">
        <v>770</v>
      </c>
      <c r="AF83" s="153"/>
      <c r="AG83" s="153">
        <v>4</v>
      </c>
      <c r="AH83" s="153">
        <v>5</v>
      </c>
      <c r="AI83" s="181" t="s">
        <v>1148</v>
      </c>
      <c r="AJ83" s="162" t="s">
        <v>1149</v>
      </c>
      <c r="AK83" s="162" t="s">
        <v>478</v>
      </c>
      <c r="AL83" s="162" t="s">
        <v>558</v>
      </c>
      <c r="AM83" s="163" t="s">
        <v>1150</v>
      </c>
    </row>
    <row r="84" spans="1:39" ht="14.4" customHeight="1" x14ac:dyDescent="0.25">
      <c r="A84" s="1033" t="s">
        <v>1082</v>
      </c>
      <c r="B84" s="132" t="s">
        <v>823</v>
      </c>
      <c r="C84" s="106" t="s">
        <v>852</v>
      </c>
      <c r="D84" s="132" t="s">
        <v>1151</v>
      </c>
      <c r="E84" s="132" t="s">
        <v>1152</v>
      </c>
      <c r="F84" s="194" t="s">
        <v>1153</v>
      </c>
      <c r="G84" s="194" t="s">
        <v>1154</v>
      </c>
      <c r="H84" s="194" t="s">
        <v>1155</v>
      </c>
      <c r="I84" s="194" t="s">
        <v>1156</v>
      </c>
      <c r="J84" s="195" t="s">
        <v>1157</v>
      </c>
      <c r="K84" s="195" t="s">
        <v>1158</v>
      </c>
      <c r="L84" s="196" t="s">
        <v>1159</v>
      </c>
      <c r="M84" s="197" t="s">
        <v>1160</v>
      </c>
      <c r="P84" s="180"/>
      <c r="Q84" s="180"/>
      <c r="R84" s="180"/>
      <c r="W84" s="180"/>
      <c r="X84" s="180"/>
      <c r="Y84" s="180"/>
      <c r="Z84" s="180"/>
      <c r="AA84" s="180"/>
      <c r="AB84" s="180"/>
      <c r="AC84" s="180"/>
      <c r="AD84" s="198"/>
      <c r="AE84" s="212" t="s">
        <v>1124</v>
      </c>
      <c r="AF84" s="212">
        <f>AF81+1</f>
        <v>22</v>
      </c>
      <c r="AG84" s="212">
        <v>1</v>
      </c>
      <c r="AH84" s="212">
        <v>5</v>
      </c>
      <c r="AI84" s="169" t="s">
        <v>1161</v>
      </c>
      <c r="AJ84" s="162" t="s">
        <v>557</v>
      </c>
      <c r="AK84" s="162" t="s">
        <v>478</v>
      </c>
      <c r="AL84" s="162" t="s">
        <v>558</v>
      </c>
      <c r="AM84" s="163" t="s">
        <v>559</v>
      </c>
    </row>
    <row r="85" spans="1:39" ht="14.4" customHeight="1" x14ac:dyDescent="0.25">
      <c r="A85" s="1033"/>
      <c r="B85" s="132" t="str">
        <f>B53</f>
        <v>在微光光照下，你身边60尺内可以视为等同于明亮光照。而在黑暗中，该范围内可视为等同于微光光照。你无法在黑暗中分辨颜色，只能看到有灰度的黑白画面</v>
      </c>
      <c r="C85" s="132" t="s">
        <v>1162</v>
      </c>
      <c r="D85" s="132" t="s">
        <v>1163</v>
      </c>
      <c r="E85" s="132" t="s">
        <v>1164</v>
      </c>
      <c r="F85" s="194" t="s">
        <v>1165</v>
      </c>
      <c r="G85" s="194" t="str">
        <f>D73</f>
        <v>你的负重、推动、拉动及抬起物品的能力视同为体型大一级的生物</v>
      </c>
      <c r="H85" s="194" t="s">
        <v>1166</v>
      </c>
      <c r="I85" s="194" t="s">
        <v>1167</v>
      </c>
      <c r="J85" s="195" t="s">
        <v>1168</v>
      </c>
      <c r="K85" s="195" t="s">
        <v>1169</v>
      </c>
      <c r="L85" s="196" t="s">
        <v>1170</v>
      </c>
      <c r="M85" s="197" t="s">
        <v>1171</v>
      </c>
      <c r="P85" s="180"/>
      <c r="Q85" s="180"/>
      <c r="R85" s="180"/>
      <c r="S85" s="131"/>
      <c r="T85" s="131"/>
      <c r="U85" s="131"/>
      <c r="V85" s="131"/>
      <c r="W85" s="180"/>
      <c r="X85" s="180"/>
      <c r="Y85" s="180"/>
      <c r="Z85" s="180"/>
      <c r="AA85" s="180"/>
      <c r="AB85" s="180"/>
      <c r="AC85" s="180"/>
      <c r="AD85" s="198"/>
      <c r="AE85" s="212" t="s">
        <v>1130</v>
      </c>
      <c r="AF85" s="212">
        <f>AF84+1</f>
        <v>23</v>
      </c>
      <c r="AG85" s="212">
        <v>1</v>
      </c>
      <c r="AH85" s="212">
        <v>4</v>
      </c>
      <c r="AI85" s="169" t="s">
        <v>1172</v>
      </c>
      <c r="AJ85" s="162" t="s">
        <v>1173</v>
      </c>
      <c r="AK85" s="162" t="s">
        <v>478</v>
      </c>
      <c r="AL85" s="162" t="s">
        <v>558</v>
      </c>
      <c r="AM85" s="163" t="s">
        <v>1174</v>
      </c>
    </row>
    <row r="86" spans="1:39" ht="14.4" customHeight="1" x14ac:dyDescent="0.25">
      <c r="A86" s="1033" t="s">
        <v>777</v>
      </c>
      <c r="B86" s="132" t="s">
        <v>823</v>
      </c>
      <c r="C86" s="132" t="s">
        <v>1175</v>
      </c>
      <c r="D86" s="204" t="str">
        <f>IF(OR(AC24&lt;1,COUNTIF($AB$2:$AB$15,"狡猾")),"狡猾","")</f>
        <v>狡猾</v>
      </c>
      <c r="E86" s="204" t="str">
        <f>IF(OR(AC24&lt;1,COUNTIF($AB$2:$AB$15,"反抗")),"反抗","")</f>
        <v>反抗</v>
      </c>
      <c r="F86" s="204" t="str">
        <f>IF(OR(AC24&lt;1,COUNTIF($AB$2:$AB$15,"龙族术法")),"龙族术法","")</f>
        <v>龙族术法</v>
      </c>
      <c r="AD86" s="155"/>
      <c r="AE86" s="212" t="s">
        <v>1136</v>
      </c>
      <c r="AF86" s="212">
        <f>AF85+1</f>
        <v>24</v>
      </c>
      <c r="AG86" s="212">
        <v>1</v>
      </c>
      <c r="AH86" s="212">
        <v>5</v>
      </c>
      <c r="AI86" s="169" t="s">
        <v>780</v>
      </c>
      <c r="AJ86" s="162" t="s">
        <v>557</v>
      </c>
      <c r="AK86" s="162" t="s">
        <v>478</v>
      </c>
      <c r="AL86" s="162" t="s">
        <v>558</v>
      </c>
      <c r="AM86" s="163" t="s">
        <v>559</v>
      </c>
    </row>
    <row r="87" spans="1:39" ht="14.4" customHeight="1" x14ac:dyDescent="0.25">
      <c r="A87" s="1033"/>
      <c r="B87" s="132" t="str">
        <f>B53</f>
        <v>在微光光照下，你身边60尺内可以视为等同于明亮光照。而在黑暗中，该范围内可视为等同于微光光照。你无法在黑暗中分辨颜色，只能看到有灰度的黑白画面</v>
      </c>
      <c r="C87" s="132" t="s">
        <v>1176</v>
      </c>
      <c r="D87" s="204" t="s">
        <v>1177</v>
      </c>
      <c r="E87" s="204" t="s">
        <v>911</v>
      </c>
      <c r="F87" s="204" t="s">
        <v>1178</v>
      </c>
      <c r="AD87" s="155"/>
      <c r="AE87" s="212" t="s">
        <v>1142</v>
      </c>
      <c r="AF87" s="212">
        <f>AF86+1</f>
        <v>25</v>
      </c>
      <c r="AG87" s="212">
        <v>1</v>
      </c>
      <c r="AH87" s="212">
        <f>IF(V2&lt;5,5,8)</f>
        <v>5</v>
      </c>
      <c r="AI87" s="169" t="s">
        <v>1179</v>
      </c>
      <c r="AJ87" s="162" t="s">
        <v>1143</v>
      </c>
      <c r="AK87" s="162" t="str">
        <f>AK$86</f>
        <v>中型</v>
      </c>
      <c r="AL87" s="162" t="str">
        <f>AL$86</f>
        <v>基础步行速度为30尺</v>
      </c>
      <c r="AM87" s="163" t="s">
        <v>559</v>
      </c>
    </row>
    <row r="88" spans="1:39" ht="14.4" customHeight="1" x14ac:dyDescent="0.25">
      <c r="A88" s="1033" t="s">
        <v>1106</v>
      </c>
      <c r="B88" s="132" t="s">
        <v>823</v>
      </c>
      <c r="C88" s="132" t="s">
        <v>1180</v>
      </c>
      <c r="D88" s="132" t="s">
        <v>1094</v>
      </c>
      <c r="E88" s="132" t="s">
        <v>1051</v>
      </c>
      <c r="AD88" s="155"/>
      <c r="AE88" s="212" t="s">
        <v>1148</v>
      </c>
      <c r="AF88" s="212">
        <f>AF87+1</f>
        <v>26</v>
      </c>
      <c r="AG88" s="212">
        <v>1</v>
      </c>
      <c r="AH88" s="212">
        <v>3</v>
      </c>
      <c r="AI88" s="174" t="s">
        <v>1181</v>
      </c>
      <c r="AJ88" s="162" t="s">
        <v>557</v>
      </c>
      <c r="AK88" s="162" t="s">
        <v>478</v>
      </c>
      <c r="AL88" s="162" t="s">
        <v>558</v>
      </c>
      <c r="AM88" s="163" t="s">
        <v>559</v>
      </c>
    </row>
    <row r="89" spans="1:39" ht="14.4" customHeight="1" x14ac:dyDescent="0.25">
      <c r="A89" s="1033"/>
      <c r="B89" s="132" t="str">
        <f>B53</f>
        <v>在微光光照下，你身边60尺内可以视为等同于明亮光照。而在黑暗中，该范围内可视为等同于微光光照。你无法在黑暗中分辨颜色，只能看到有灰度的黑白画面</v>
      </c>
      <c r="C89" s="132" t="s">
        <v>1182</v>
      </c>
      <c r="D89" s="132" t="str">
        <f>D73</f>
        <v>你的负重、推动、拉动及抬起物品的能力视同为体型大一级的生物</v>
      </c>
      <c r="E89" s="132" t="s">
        <v>1055</v>
      </c>
      <c r="AD89" s="155"/>
      <c r="AE89" s="213" t="s">
        <v>1161</v>
      </c>
      <c r="AF89" s="213">
        <f t="shared" ref="AF89:AF94" si="63">AF88+1</f>
        <v>27</v>
      </c>
      <c r="AG89" s="213">
        <v>1</v>
      </c>
      <c r="AH89" s="213">
        <v>3</v>
      </c>
      <c r="AI89" s="174" t="s">
        <v>795</v>
      </c>
      <c r="AJ89" s="162" t="s">
        <v>557</v>
      </c>
      <c r="AK89" s="162" t="s">
        <v>1019</v>
      </c>
      <c r="AL89" s="162" t="s">
        <v>1183</v>
      </c>
      <c r="AM89" s="163" t="s">
        <v>559</v>
      </c>
    </row>
    <row r="90" spans="1:39" ht="14.4" customHeight="1" x14ac:dyDescent="0.25">
      <c r="A90" s="1033" t="s">
        <v>1110</v>
      </c>
      <c r="B90" s="132" t="s">
        <v>823</v>
      </c>
      <c r="C90" s="132" t="s">
        <v>1184</v>
      </c>
      <c r="D90" s="132" t="s">
        <v>1185</v>
      </c>
      <c r="E90" s="132" t="s">
        <v>1186</v>
      </c>
      <c r="G90" s="180"/>
      <c r="H90" s="180"/>
      <c r="I90" s="180"/>
      <c r="J90" s="180"/>
      <c r="K90" s="180"/>
      <c r="L90" s="180"/>
      <c r="M90" s="180"/>
      <c r="N90" s="180"/>
      <c r="O90" s="180"/>
      <c r="P90" s="180"/>
      <c r="Q90" s="180"/>
      <c r="R90" s="180"/>
      <c r="W90" s="180"/>
      <c r="X90" s="180"/>
      <c r="Y90" s="180"/>
      <c r="Z90" s="180"/>
      <c r="AA90" s="180"/>
      <c r="AB90" s="180"/>
      <c r="AC90" s="180"/>
      <c r="AD90" s="198"/>
      <c r="AE90" s="213" t="s">
        <v>1172</v>
      </c>
      <c r="AF90" s="213">
        <f t="shared" si="63"/>
        <v>28</v>
      </c>
      <c r="AG90" s="213">
        <v>1</v>
      </c>
      <c r="AH90" s="213">
        <v>4</v>
      </c>
      <c r="AI90" s="174" t="s">
        <v>796</v>
      </c>
      <c r="AJ90" s="162" t="str">
        <f>AJ89</f>
        <v>自选两项属性分别+2/+1或自选三项属性+1</v>
      </c>
      <c r="AK90" s="162" t="str">
        <f>AK89</f>
        <v>中型或小型。在你选择种族时选择体型</v>
      </c>
      <c r="AL90" s="162" t="s">
        <v>558</v>
      </c>
      <c r="AM90" s="163" t="str">
        <f>AM89</f>
        <v>，以及任意一门自选语言</v>
      </c>
    </row>
    <row r="91" spans="1:39" ht="14.4" customHeight="1" x14ac:dyDescent="0.25">
      <c r="A91" s="1033"/>
      <c r="B91" s="132" t="str">
        <f>B53</f>
        <v>在微光光照下，你身边60尺内可以视为等同于明亮光照。而在黑暗中，该范围内可视为等同于微光光照。你无法在黑暗中分辨颜色，只能看到有灰度的黑白画面</v>
      </c>
      <c r="C91" s="132" t="s">
        <v>1187</v>
      </c>
      <c r="D91" s="132" t="str">
        <f>C53</f>
        <v>你进行对抗中毒的豁免时具有优势，你对毒素伤害具有抗性</v>
      </c>
      <c r="E91" s="119" t="s">
        <v>1188</v>
      </c>
      <c r="F91" s="132"/>
      <c r="G91" s="180"/>
      <c r="H91" s="180"/>
      <c r="I91" s="180"/>
      <c r="J91" s="180"/>
      <c r="K91" s="180"/>
      <c r="L91" s="180"/>
      <c r="M91" s="180"/>
      <c r="N91" s="180"/>
      <c r="O91" s="180"/>
      <c r="P91" s="180"/>
      <c r="Q91" s="180"/>
      <c r="R91" s="180"/>
      <c r="S91" s="131"/>
      <c r="T91" s="131"/>
      <c r="U91" s="131"/>
      <c r="V91" s="131"/>
      <c r="W91" s="180"/>
      <c r="X91" s="180"/>
      <c r="Y91" s="180"/>
      <c r="Z91" s="180"/>
      <c r="AA91" s="180"/>
      <c r="AB91" s="180"/>
      <c r="AC91" s="180"/>
      <c r="AD91" s="198"/>
      <c r="AE91" s="213" t="s">
        <v>780</v>
      </c>
      <c r="AF91" s="213">
        <f t="shared" si="63"/>
        <v>29</v>
      </c>
      <c r="AG91" s="213">
        <v>1</v>
      </c>
      <c r="AH91" s="213">
        <v>7</v>
      </c>
      <c r="AI91" s="174" t="s">
        <v>797</v>
      </c>
      <c r="AJ91" s="162" t="str">
        <f>AJ89</f>
        <v>自选两项属性分别+2/+1或自选三项属性+1</v>
      </c>
      <c r="AK91" s="162" t="str">
        <f>AK89</f>
        <v>中型或小型。在你选择种族时选择体型</v>
      </c>
      <c r="AL91" s="162" t="str">
        <f>AL$90</f>
        <v>基础步行速度为30尺</v>
      </c>
      <c r="AM91" s="163" t="str">
        <f>AM89</f>
        <v>，以及任意一门自选语言</v>
      </c>
    </row>
    <row r="92" spans="1:39" ht="14.4" customHeight="1" x14ac:dyDescent="0.25">
      <c r="A92" s="1043" t="s">
        <v>1135</v>
      </c>
      <c r="B92" s="106" t="s">
        <v>1189</v>
      </c>
      <c r="C92" s="194" t="s">
        <v>1190</v>
      </c>
      <c r="D92" s="194" t="s">
        <v>1191</v>
      </c>
      <c r="E92" s="195" t="s">
        <v>1192</v>
      </c>
      <c r="F92" s="195" t="s">
        <v>1193</v>
      </c>
      <c r="H92" s="180"/>
      <c r="I92" s="180"/>
      <c r="J92" s="180"/>
      <c r="K92" s="180"/>
      <c r="L92" s="180"/>
      <c r="M92" s="180"/>
      <c r="N92" s="180"/>
      <c r="O92" s="180"/>
      <c r="P92" s="180"/>
      <c r="Q92" s="180"/>
      <c r="R92" s="180"/>
      <c r="W92" s="180"/>
      <c r="X92" s="180"/>
      <c r="Y92" s="180"/>
      <c r="Z92" s="180"/>
      <c r="AA92" s="180"/>
      <c r="AB92" s="180"/>
      <c r="AC92" s="180"/>
      <c r="AD92" s="198"/>
      <c r="AE92" s="213" t="s">
        <v>1179</v>
      </c>
      <c r="AF92" s="213">
        <f t="shared" si="63"/>
        <v>30</v>
      </c>
      <c r="AG92" s="213">
        <v>1</v>
      </c>
      <c r="AH92" s="213">
        <v>4</v>
      </c>
      <c r="AI92" s="174" t="s">
        <v>798</v>
      </c>
      <c r="AJ92" s="162" t="str">
        <f>AJ89</f>
        <v>自选两项属性分别+2/+1或自选三项属性+1</v>
      </c>
      <c r="AK92" s="162" t="str">
        <f>AK89</f>
        <v>中型或小型。在你选择种族时选择体型</v>
      </c>
      <c r="AL92" s="162" t="str">
        <f>AL$90</f>
        <v>基础步行速度为30尺</v>
      </c>
      <c r="AM92" s="163" t="str">
        <f>AM89</f>
        <v>，以及任意一门自选语言</v>
      </c>
    </row>
    <row r="93" spans="1:39" ht="14.4" customHeight="1" x14ac:dyDescent="0.25">
      <c r="A93" s="1043"/>
      <c r="B93" s="132" t="s">
        <v>1194</v>
      </c>
      <c r="C93" s="194" t="s">
        <v>1195</v>
      </c>
      <c r="D93" s="194" t="s">
        <v>1196</v>
      </c>
      <c r="E93" s="195" t="s">
        <v>1197</v>
      </c>
      <c r="F93" s="195" t="s">
        <v>1198</v>
      </c>
      <c r="G93" s="119"/>
      <c r="H93" s="180"/>
      <c r="I93" s="180"/>
      <c r="J93" s="180"/>
      <c r="K93" s="180"/>
      <c r="L93" s="180"/>
      <c r="M93" s="180"/>
      <c r="N93" s="180"/>
      <c r="O93" s="180"/>
      <c r="P93" s="180"/>
      <c r="Q93" s="180"/>
      <c r="R93" s="180"/>
      <c r="S93" s="131"/>
      <c r="T93" s="131"/>
      <c r="U93" s="131"/>
      <c r="V93" s="131"/>
      <c r="W93" s="180"/>
      <c r="X93" s="180"/>
      <c r="Y93" s="180"/>
      <c r="Z93" s="180"/>
      <c r="AA93" s="180"/>
      <c r="AB93" s="180"/>
      <c r="AC93" s="180"/>
      <c r="AD93" s="198"/>
      <c r="AE93" s="214" t="s">
        <v>1181</v>
      </c>
      <c r="AF93" s="214">
        <f t="shared" si="63"/>
        <v>31</v>
      </c>
      <c r="AG93" s="214">
        <v>1</v>
      </c>
      <c r="AH93" s="214">
        <f>IF(V2&lt;3,2,3)</f>
        <v>2</v>
      </c>
      <c r="AI93" s="174" t="s">
        <v>1199</v>
      </c>
      <c r="AJ93" s="162" t="s">
        <v>557</v>
      </c>
      <c r="AK93" s="162" t="s">
        <v>478</v>
      </c>
      <c r="AL93" s="162" t="s">
        <v>558</v>
      </c>
      <c r="AM93" s="163" t="s">
        <v>559</v>
      </c>
    </row>
    <row r="94" spans="1:39" ht="14.4" customHeight="1" x14ac:dyDescent="0.25">
      <c r="A94" s="1041" t="s">
        <v>1124</v>
      </c>
      <c r="B94" s="132" t="s">
        <v>1200</v>
      </c>
      <c r="C94" s="132" t="s">
        <v>1201</v>
      </c>
      <c r="D94" s="132" t="s">
        <v>1202</v>
      </c>
      <c r="E94" s="132" t="s">
        <v>1203</v>
      </c>
      <c r="F94" s="132" t="s">
        <v>1204</v>
      </c>
      <c r="G94" s="180"/>
      <c r="H94" s="180"/>
      <c r="I94" s="180"/>
      <c r="J94" s="180"/>
      <c r="K94" s="180"/>
      <c r="L94" s="180"/>
      <c r="M94" s="180"/>
      <c r="N94" s="180"/>
      <c r="O94" s="180"/>
      <c r="P94" s="180"/>
      <c r="Q94" s="180"/>
      <c r="R94" s="180"/>
      <c r="W94" s="180"/>
      <c r="X94" s="180"/>
      <c r="Y94" s="180"/>
      <c r="Z94" s="180"/>
      <c r="AA94" s="180"/>
      <c r="AB94" s="180"/>
      <c r="AC94" s="180"/>
      <c r="AD94" s="198"/>
      <c r="AE94" s="214" t="s">
        <v>1205</v>
      </c>
      <c r="AF94" s="214">
        <f t="shared" si="63"/>
        <v>32</v>
      </c>
      <c r="AG94" s="214">
        <v>1</v>
      </c>
      <c r="AH94" s="214">
        <v>1</v>
      </c>
      <c r="AI94" s="187" t="s">
        <v>1206</v>
      </c>
      <c r="AJ94" s="162" t="s">
        <v>1207</v>
      </c>
      <c r="AK94" s="162" t="s">
        <v>1208</v>
      </c>
      <c r="AL94" s="162" t="s">
        <v>558</v>
      </c>
      <c r="AM94" s="163" t="s">
        <v>1209</v>
      </c>
    </row>
    <row r="95" spans="1:39" ht="14.4" customHeight="1" x14ac:dyDescent="0.25">
      <c r="A95" s="1041"/>
      <c r="B95" s="132" t="s">
        <v>1210</v>
      </c>
      <c r="C95" s="132" t="s">
        <v>1211</v>
      </c>
      <c r="D95" s="132" t="s">
        <v>1212</v>
      </c>
      <c r="E95" s="132" t="s">
        <v>1213</v>
      </c>
      <c r="F95" s="132" t="s">
        <v>1214</v>
      </c>
      <c r="G95" s="180"/>
      <c r="H95" s="180"/>
      <c r="I95" s="180"/>
      <c r="J95" s="180"/>
      <c r="K95" s="180"/>
      <c r="L95" s="180"/>
      <c r="M95" s="180"/>
      <c r="N95" s="180"/>
      <c r="O95" s="180"/>
      <c r="P95" s="131"/>
      <c r="Q95" s="131"/>
      <c r="R95" s="180"/>
      <c r="S95" s="131"/>
      <c r="T95" s="131"/>
      <c r="U95" s="131"/>
      <c r="V95" s="131"/>
      <c r="W95" s="180"/>
      <c r="X95" s="180"/>
      <c r="Y95" s="180"/>
      <c r="Z95" s="180"/>
      <c r="AA95" s="180"/>
      <c r="AB95" s="180"/>
      <c r="AC95" s="180"/>
      <c r="AD95" s="198"/>
      <c r="AE95" s="165" t="s">
        <v>795</v>
      </c>
      <c r="AF95" s="165"/>
      <c r="AG95" s="165">
        <v>2</v>
      </c>
      <c r="AH95" s="165">
        <v>4</v>
      </c>
      <c r="AI95" s="188" t="s">
        <v>1215</v>
      </c>
      <c r="AJ95" s="162" t="s">
        <v>1216</v>
      </c>
      <c r="AK95" s="162" t="s">
        <v>478</v>
      </c>
      <c r="AL95" s="162" t="s">
        <v>1183</v>
      </c>
      <c r="AM95" s="163" t="s">
        <v>1217</v>
      </c>
    </row>
    <row r="96" spans="1:39" ht="14.4" customHeight="1" x14ac:dyDescent="0.25">
      <c r="A96" s="1041" t="s">
        <v>1130</v>
      </c>
      <c r="B96" s="132" t="s">
        <v>1218</v>
      </c>
      <c r="C96" s="132" t="s">
        <v>1219</v>
      </c>
      <c r="D96" s="132" t="s">
        <v>1220</v>
      </c>
      <c r="E96" s="132" t="s">
        <v>1221</v>
      </c>
      <c r="G96" s="180"/>
      <c r="H96" s="180"/>
      <c r="I96" s="180"/>
      <c r="J96" s="180"/>
      <c r="K96" s="180"/>
      <c r="L96" s="180"/>
      <c r="M96" s="180"/>
      <c r="N96" s="180"/>
      <c r="R96" s="180"/>
      <c r="W96" s="180"/>
      <c r="X96" s="180"/>
      <c r="Y96" s="180"/>
      <c r="Z96" s="180"/>
      <c r="AA96" s="180"/>
      <c r="AB96" s="180"/>
      <c r="AC96" s="180"/>
      <c r="AD96" s="198"/>
      <c r="AE96" s="165" t="s">
        <v>796</v>
      </c>
      <c r="AF96" s="165"/>
      <c r="AG96" s="165">
        <v>5</v>
      </c>
      <c r="AH96" s="165">
        <v>6</v>
      </c>
      <c r="AI96" s="188" t="s">
        <v>1222</v>
      </c>
      <c r="AJ96" s="162" t="s">
        <v>557</v>
      </c>
      <c r="AK96" s="162" t="s">
        <v>478</v>
      </c>
      <c r="AL96" s="162" t="s">
        <v>1183</v>
      </c>
      <c r="AM96" s="163" t="s">
        <v>559</v>
      </c>
    </row>
    <row r="97" spans="1:39" ht="14.4" customHeight="1" x14ac:dyDescent="0.25">
      <c r="A97" s="1041"/>
      <c r="B97" s="132" t="s">
        <v>1223</v>
      </c>
      <c r="C97" s="132" t="s">
        <v>1224</v>
      </c>
      <c r="D97" s="132" t="s">
        <v>1225</v>
      </c>
      <c r="E97" s="119" t="s">
        <v>1226</v>
      </c>
      <c r="F97" s="180"/>
      <c r="G97" s="180"/>
      <c r="H97" s="180"/>
      <c r="I97" s="180"/>
      <c r="J97" s="180"/>
      <c r="K97" s="180"/>
      <c r="L97" s="180"/>
      <c r="M97" s="180"/>
      <c r="N97" s="180"/>
      <c r="O97" s="131"/>
      <c r="P97" s="131"/>
      <c r="Q97" s="131"/>
      <c r="R97" s="180"/>
      <c r="S97" s="131"/>
      <c r="T97" s="131"/>
      <c r="U97" s="131"/>
      <c r="V97" s="131"/>
      <c r="W97" s="180"/>
      <c r="X97" s="180"/>
      <c r="Y97" s="180"/>
      <c r="Z97" s="180"/>
      <c r="AA97" s="180"/>
      <c r="AB97" s="180"/>
      <c r="AC97" s="180"/>
      <c r="AD97" s="198"/>
      <c r="AE97" s="165" t="s">
        <v>797</v>
      </c>
      <c r="AF97" s="165"/>
      <c r="AG97" s="165">
        <v>7</v>
      </c>
      <c r="AH97" s="165">
        <v>8</v>
      </c>
      <c r="AI97" s="215" t="s">
        <v>1227</v>
      </c>
      <c r="AJ97" s="162" t="s">
        <v>557</v>
      </c>
      <c r="AK97" s="162" t="s">
        <v>1228</v>
      </c>
      <c r="AL97" s="162" t="s">
        <v>1183</v>
      </c>
      <c r="AM97" s="163" t="s">
        <v>559</v>
      </c>
    </row>
    <row r="98" spans="1:39" ht="14.4" customHeight="1" x14ac:dyDescent="0.25">
      <c r="A98" s="1041" t="s">
        <v>1136</v>
      </c>
      <c r="B98" s="132" t="s">
        <v>1229</v>
      </c>
      <c r="C98" s="132" t="s">
        <v>1230</v>
      </c>
      <c r="D98" s="132" t="s">
        <v>1116</v>
      </c>
      <c r="E98" s="132" t="s">
        <v>1231</v>
      </c>
      <c r="F98" s="132" t="s">
        <v>1232</v>
      </c>
      <c r="G98" s="180"/>
      <c r="H98" s="180"/>
      <c r="I98" s="180"/>
      <c r="J98" s="180"/>
      <c r="K98" s="180"/>
      <c r="L98" s="180"/>
      <c r="M98" s="180"/>
      <c r="N98" s="180"/>
      <c r="R98" s="180"/>
      <c r="W98" s="180"/>
      <c r="X98" s="180"/>
      <c r="Y98" s="180"/>
      <c r="Z98" s="180"/>
      <c r="AA98" s="180"/>
      <c r="AB98" s="180"/>
      <c r="AC98" s="180"/>
      <c r="AD98" s="198"/>
      <c r="AE98" s="165" t="s">
        <v>798</v>
      </c>
      <c r="AF98" s="165"/>
      <c r="AG98" s="165">
        <v>9</v>
      </c>
      <c r="AH98" s="165">
        <v>12</v>
      </c>
      <c r="AI98" s="215" t="s">
        <v>1233</v>
      </c>
      <c r="AJ98" s="162" t="s">
        <v>557</v>
      </c>
      <c r="AK98" s="162" t="s">
        <v>1228</v>
      </c>
      <c r="AL98" s="162" t="s">
        <v>558</v>
      </c>
      <c r="AM98" s="163" t="s">
        <v>559</v>
      </c>
    </row>
    <row r="99" spans="1:39" ht="14.4" customHeight="1" x14ac:dyDescent="0.25">
      <c r="A99" s="1041"/>
      <c r="B99" s="132" t="str">
        <f>D73</f>
        <v>你的负重、推动、拉动及抬起物品的能力视同为体型大一级的生物</v>
      </c>
      <c r="C99" s="132" t="s">
        <v>1234</v>
      </c>
      <c r="D99" s="132" t="s">
        <v>1235</v>
      </c>
      <c r="E99" s="132" t="s">
        <v>1236</v>
      </c>
      <c r="F99" s="132" t="s">
        <v>1237</v>
      </c>
      <c r="G99" s="180"/>
      <c r="H99" s="180"/>
      <c r="I99" s="180"/>
      <c r="J99" s="180"/>
      <c r="K99" s="180"/>
      <c r="L99" s="180"/>
      <c r="M99" s="180"/>
      <c r="N99" s="180"/>
      <c r="O99" s="131"/>
      <c r="P99" s="131"/>
      <c r="Q99" s="131"/>
      <c r="R99" s="180"/>
      <c r="S99" s="131"/>
      <c r="T99" s="131"/>
      <c r="U99" s="131"/>
      <c r="V99" s="131"/>
      <c r="W99" s="180"/>
      <c r="X99" s="180"/>
      <c r="Y99" s="180"/>
      <c r="Z99" s="180"/>
      <c r="AA99" s="180"/>
      <c r="AB99" s="180"/>
      <c r="AC99" s="180"/>
      <c r="AD99" s="198"/>
      <c r="AE99" s="214" t="s">
        <v>1199</v>
      </c>
      <c r="AF99" s="214">
        <f>AF94+1</f>
        <v>33</v>
      </c>
      <c r="AG99" s="214">
        <v>1</v>
      </c>
      <c r="AH99" s="214">
        <v>5</v>
      </c>
      <c r="AI99" s="215" t="s">
        <v>1238</v>
      </c>
      <c r="AJ99" s="162" t="s">
        <v>557</v>
      </c>
      <c r="AK99" s="162" t="s">
        <v>1228</v>
      </c>
      <c r="AL99" s="162" t="s">
        <v>558</v>
      </c>
      <c r="AM99" s="163" t="s">
        <v>559</v>
      </c>
    </row>
    <row r="100" spans="1:39" ht="14.4" customHeight="1" x14ac:dyDescent="0.25">
      <c r="A100" s="1044" t="s">
        <v>1142</v>
      </c>
      <c r="B100" s="132" t="s">
        <v>823</v>
      </c>
      <c r="C100" s="132" t="s">
        <v>751</v>
      </c>
      <c r="D100" s="216" t="str">
        <f>IF(OR(AD19+AD21&lt;IF(V2&gt;=5,2,1),COUNTIF($AB$2:$AB$15,"蝠鲼滑翔")),"蝠鲼滑翔","")</f>
        <v>蝠鲼滑翔</v>
      </c>
      <c r="E100" s="216" t="str">
        <f>IF(OR(AD19+AD21&lt;IF(V2&gt;=5,2,1),COUNTIF($AB$2:$AB$15,"灵活攀登")),"灵活攀登","")</f>
        <v>灵活攀登</v>
      </c>
      <c r="F100" s="216" t="str">
        <f>IF(OR(AD19+AD21&lt;IF(V2&gt;=5,2,1),COUNTIF($AB$2:$AB$15,"水下适应")),"水下适应","")</f>
        <v>水下适应</v>
      </c>
      <c r="G100" s="217" t="str">
        <f>IF(OR(AND(AD21&lt;1,AD19+AD21&lt;2),COUNTIF($AB$2:$AB$15,"斗殴附件")),"斗殴附件","")</f>
        <v>斗殴附件</v>
      </c>
      <c r="H100" s="217" t="str">
        <f>IF(OR(AND(AD21&lt;1,AD19+AD21&lt;2),COUNTIF($AB$2:$AB$15,"甲壳")),"甲壳","")</f>
        <v>甲壳</v>
      </c>
      <c r="I100" s="217" t="str">
        <f>IF(OR(AND(AD21&lt;1,AD19+AD21&lt;2),COUNTIF($AB$2:$AB$15,"酸液喷吐")),"酸液喷吐","")</f>
        <v>酸液喷吐</v>
      </c>
      <c r="J100" s="180"/>
      <c r="K100" s="180"/>
      <c r="L100" s="180"/>
      <c r="M100" s="180"/>
      <c r="N100" s="180"/>
      <c r="R100" s="180"/>
      <c r="W100" s="180"/>
      <c r="X100" s="180"/>
      <c r="Y100" s="180"/>
      <c r="Z100" s="180"/>
      <c r="AA100" s="180"/>
      <c r="AB100" s="180"/>
      <c r="AC100" s="180"/>
      <c r="AD100" s="198"/>
      <c r="AE100" s="218" t="s">
        <v>1206</v>
      </c>
      <c r="AF100" s="218">
        <f>AF99+1</f>
        <v>34</v>
      </c>
      <c r="AG100" s="218">
        <v>1</v>
      </c>
      <c r="AH100" s="218">
        <v>4</v>
      </c>
      <c r="AI100" s="219" t="s">
        <v>1239</v>
      </c>
      <c r="AJ100" s="162" t="s">
        <v>557</v>
      </c>
      <c r="AK100" s="162" t="s">
        <v>1019</v>
      </c>
      <c r="AL100" s="162" t="s">
        <v>558</v>
      </c>
      <c r="AM100" s="163" t="str">
        <f>AM$20</f>
        <v>，以及任意一门自选语言</v>
      </c>
    </row>
    <row r="101" spans="1:39" ht="14.4" customHeight="1" x14ac:dyDescent="0.25">
      <c r="A101" s="1044"/>
      <c r="B101" s="132" t="str">
        <f>B53</f>
        <v>在微光光照下，你身边60尺内可以视为等同于明亮光照。而在黑暗中，该范围内可视为等同于微光光照。你无法在黑暗中分辨颜色，只能看到有灰度的黑白画面</v>
      </c>
      <c r="C101" s="132" t="s">
        <v>1240</v>
      </c>
      <c r="D101" s="216" t="s">
        <v>1241</v>
      </c>
      <c r="E101" s="216" t="str">
        <f>C81</f>
        <v>你获得等于你步行速度的攀爬速度</v>
      </c>
      <c r="F101" s="216" t="s">
        <v>1242</v>
      </c>
      <c r="G101" s="217" t="s">
        <v>1243</v>
      </c>
      <c r="H101" s="217" t="s">
        <v>1244</v>
      </c>
      <c r="I101" s="217" t="s">
        <v>1245</v>
      </c>
      <c r="J101" s="180"/>
      <c r="K101" s="180"/>
      <c r="L101" s="180"/>
      <c r="M101" s="180"/>
      <c r="N101" s="180"/>
      <c r="O101" s="131"/>
      <c r="P101" s="131"/>
      <c r="Q101" s="131"/>
      <c r="R101" s="180"/>
      <c r="S101" s="131"/>
      <c r="T101" s="131"/>
      <c r="U101" s="131"/>
      <c r="V101" s="131"/>
      <c r="W101" s="180"/>
      <c r="X101" s="180"/>
      <c r="Y101" s="180"/>
      <c r="Z101" s="180"/>
      <c r="AA101" s="180"/>
      <c r="AB101" s="180"/>
      <c r="AC101" s="180"/>
      <c r="AD101" s="198"/>
      <c r="AE101" s="220" t="s">
        <v>1215</v>
      </c>
      <c r="AF101" s="220">
        <f>AF100+1</f>
        <v>35</v>
      </c>
      <c r="AG101" s="220">
        <v>1</v>
      </c>
      <c r="AH101" s="220">
        <v>4</v>
      </c>
      <c r="AI101" s="221" t="s">
        <v>1246</v>
      </c>
      <c r="AJ101" s="162" t="s">
        <v>557</v>
      </c>
      <c r="AK101" s="131" t="s">
        <v>518</v>
      </c>
      <c r="AL101" s="162" t="s">
        <v>558</v>
      </c>
      <c r="AM101" s="163" t="str">
        <f>AM$20</f>
        <v>，以及任意一门自选语言</v>
      </c>
    </row>
    <row r="102" spans="1:39" ht="14.4" customHeight="1" x14ac:dyDescent="0.25">
      <c r="A102" s="1041" t="s">
        <v>1148</v>
      </c>
      <c r="B102" s="132" t="s">
        <v>1247</v>
      </c>
      <c r="C102" s="132" t="s">
        <v>1248</v>
      </c>
      <c r="D102" s="132" t="s">
        <v>1249</v>
      </c>
      <c r="J102" s="180"/>
      <c r="K102" s="180"/>
      <c r="L102" s="180"/>
      <c r="M102" s="180"/>
      <c r="N102" s="180"/>
      <c r="R102" s="180"/>
      <c r="W102" s="180"/>
      <c r="X102" s="180"/>
      <c r="Y102" s="180"/>
      <c r="Z102" s="180"/>
      <c r="AA102" s="180"/>
      <c r="AB102" s="180"/>
      <c r="AC102" s="180"/>
      <c r="AD102" s="198"/>
      <c r="AE102" s="220" t="s">
        <v>1222</v>
      </c>
      <c r="AF102" s="220">
        <f>AF101+1</f>
        <v>36</v>
      </c>
      <c r="AG102" s="220">
        <v>1</v>
      </c>
      <c r="AH102" s="220">
        <v>5</v>
      </c>
      <c r="AI102" s="221" t="s">
        <v>1250</v>
      </c>
      <c r="AJ102" s="162" t="s">
        <v>557</v>
      </c>
      <c r="AK102" s="162" t="s">
        <v>1019</v>
      </c>
      <c r="AL102" s="162" t="s">
        <v>558</v>
      </c>
      <c r="AM102" s="163" t="str">
        <f>AM$20</f>
        <v>，以及任意一门自选语言</v>
      </c>
    </row>
    <row r="103" spans="1:39" ht="14.4" customHeight="1" x14ac:dyDescent="0.25">
      <c r="A103" s="1041"/>
      <c r="B103" s="132" t="s">
        <v>1251</v>
      </c>
      <c r="C103" s="132" t="s">
        <v>1252</v>
      </c>
      <c r="D103" s="132" t="s">
        <v>1253</v>
      </c>
      <c r="J103" s="180"/>
      <c r="K103" s="180"/>
      <c r="L103" s="180"/>
      <c r="M103" s="180"/>
      <c r="N103" s="180"/>
      <c r="O103" s="131"/>
      <c r="P103" s="131"/>
      <c r="Q103" s="131"/>
      <c r="R103" s="180"/>
      <c r="S103" s="180"/>
      <c r="T103" s="131"/>
      <c r="U103" s="131"/>
      <c r="V103" s="131"/>
      <c r="W103" s="180"/>
      <c r="X103" s="180"/>
      <c r="Y103" s="180"/>
      <c r="Z103" s="180"/>
      <c r="AA103" s="180"/>
      <c r="AB103" s="180"/>
      <c r="AC103" s="180"/>
      <c r="AD103" s="198"/>
      <c r="AE103" s="222" t="s">
        <v>1227</v>
      </c>
      <c r="AF103" s="222">
        <f>AF102+1</f>
        <v>37</v>
      </c>
      <c r="AG103" s="222">
        <v>1</v>
      </c>
      <c r="AH103" s="222">
        <v>5</v>
      </c>
      <c r="AI103" s="184" t="s">
        <v>1254</v>
      </c>
      <c r="AJ103" s="162" t="s">
        <v>1255</v>
      </c>
      <c r="AK103" s="162" t="s">
        <v>478</v>
      </c>
      <c r="AL103" s="162" t="s">
        <v>1256</v>
      </c>
      <c r="AM103" s="163" t="s">
        <v>1257</v>
      </c>
    </row>
    <row r="104" spans="1:39" ht="14.4" customHeight="1" x14ac:dyDescent="0.25">
      <c r="A104" s="1037" t="s">
        <v>1161</v>
      </c>
      <c r="B104" s="132" t="s">
        <v>1200</v>
      </c>
      <c r="C104" s="132" t="s">
        <v>1258</v>
      </c>
      <c r="D104" s="132" t="s">
        <v>1259</v>
      </c>
      <c r="J104" s="180"/>
      <c r="K104" s="180"/>
      <c r="L104" s="180"/>
      <c r="M104" s="180"/>
      <c r="N104" s="180"/>
      <c r="R104" s="180"/>
      <c r="S104" s="180"/>
      <c r="W104" s="180"/>
      <c r="X104" s="180"/>
      <c r="Y104" s="180"/>
      <c r="Z104" s="180"/>
      <c r="AA104" s="180"/>
      <c r="AB104" s="180"/>
      <c r="AC104" s="180"/>
      <c r="AD104" s="198"/>
      <c r="AE104" s="222" t="s">
        <v>1233</v>
      </c>
      <c r="AF104" s="222">
        <f t="shared" ref="AF104:AF109" si="64">AF103+1</f>
        <v>38</v>
      </c>
      <c r="AG104" s="222">
        <v>1</v>
      </c>
      <c r="AH104" s="222">
        <v>7</v>
      </c>
      <c r="AI104" s="184" t="s">
        <v>1260</v>
      </c>
      <c r="AJ104" s="162" t="s">
        <v>1261</v>
      </c>
      <c r="AK104" s="162" t="s">
        <v>478</v>
      </c>
      <c r="AL104" s="162" t="s">
        <v>558</v>
      </c>
      <c r="AM104" s="163" t="s">
        <v>1262</v>
      </c>
    </row>
    <row r="105" spans="1:39" ht="14.4" customHeight="1" x14ac:dyDescent="0.25">
      <c r="A105" s="1037"/>
      <c r="B105" s="130" t="str">
        <f>B95</f>
        <v>你的生物类型是精类，而非类人</v>
      </c>
      <c r="C105" s="132" t="s">
        <v>1263</v>
      </c>
      <c r="D105" s="132" t="s">
        <v>1264</v>
      </c>
      <c r="J105" s="180"/>
      <c r="K105" s="180"/>
      <c r="L105" s="180"/>
      <c r="M105" s="180"/>
      <c r="N105" s="180"/>
      <c r="O105" s="131"/>
      <c r="P105" s="131"/>
      <c r="Q105" s="131"/>
      <c r="R105" s="180"/>
      <c r="S105" s="180"/>
      <c r="T105" s="131"/>
      <c r="U105" s="131"/>
      <c r="V105" s="131"/>
      <c r="W105" s="180"/>
      <c r="X105" s="180"/>
      <c r="Y105" s="180"/>
      <c r="Z105" s="180"/>
      <c r="AA105" s="180"/>
      <c r="AB105" s="180"/>
      <c r="AC105" s="180"/>
      <c r="AD105" s="198"/>
      <c r="AE105" s="222" t="s">
        <v>1238</v>
      </c>
      <c r="AF105" s="222">
        <f t="shared" si="64"/>
        <v>39</v>
      </c>
      <c r="AG105" s="222">
        <v>1</v>
      </c>
      <c r="AH105" s="222">
        <v>3</v>
      </c>
      <c r="AI105" s="184" t="s">
        <v>811</v>
      </c>
      <c r="AJ105" s="162" t="s">
        <v>1265</v>
      </c>
      <c r="AK105" s="162" t="s">
        <v>478</v>
      </c>
      <c r="AL105" s="162" t="s">
        <v>1256</v>
      </c>
      <c r="AM105" s="163" t="s">
        <v>1266</v>
      </c>
    </row>
    <row r="106" spans="1:39" ht="14.4" customHeight="1" x14ac:dyDescent="0.25">
      <c r="A106" s="1037" t="s">
        <v>1172</v>
      </c>
      <c r="B106" s="132" t="s">
        <v>1267</v>
      </c>
      <c r="C106" s="132" t="s">
        <v>1268</v>
      </c>
      <c r="D106" s="132" t="s">
        <v>1269</v>
      </c>
      <c r="E106" s="132" t="s">
        <v>1270</v>
      </c>
      <c r="F106" s="180"/>
      <c r="G106" s="180"/>
      <c r="H106" s="180"/>
      <c r="I106" s="180"/>
      <c r="J106" s="180"/>
      <c r="K106" s="180"/>
      <c r="L106" s="180"/>
      <c r="M106" s="180"/>
      <c r="N106" s="180"/>
      <c r="R106" s="180"/>
      <c r="S106" s="180"/>
      <c r="W106" s="180"/>
      <c r="X106" s="180"/>
      <c r="Y106" s="180"/>
      <c r="Z106" s="180"/>
      <c r="AA106" s="180"/>
      <c r="AB106" s="180"/>
      <c r="AC106" s="180"/>
      <c r="AD106" s="198"/>
      <c r="AE106" s="223" t="s">
        <v>1239</v>
      </c>
      <c r="AF106" s="223">
        <f t="shared" si="64"/>
        <v>40</v>
      </c>
      <c r="AG106" s="223">
        <v>1</v>
      </c>
      <c r="AH106" s="223">
        <v>3</v>
      </c>
      <c r="AI106" s="184" t="s">
        <v>812</v>
      </c>
      <c r="AJ106" s="162" t="s">
        <v>1271</v>
      </c>
      <c r="AK106" s="162" t="str">
        <f>AK$105</f>
        <v>中型</v>
      </c>
      <c r="AL106" s="162" t="str">
        <f>AL$105</f>
        <v>基础步行速度为30尺，基础游泳速度为30尺</v>
      </c>
      <c r="AM106" s="163" t="str">
        <f>AM$105</f>
        <v>和人鱼语，以及任意一门自选语言</v>
      </c>
    </row>
    <row r="107" spans="1:39" ht="14.4" customHeight="1" x14ac:dyDescent="0.25">
      <c r="A107" s="1037"/>
      <c r="B107" s="132" t="s">
        <v>1272</v>
      </c>
      <c r="C107" s="132" t="s">
        <v>1194</v>
      </c>
      <c r="D107" s="132" t="s">
        <v>1273</v>
      </c>
      <c r="E107" s="132" t="s">
        <v>1274</v>
      </c>
      <c r="F107" s="180"/>
      <c r="G107" s="180"/>
      <c r="H107" s="180"/>
      <c r="I107" s="180"/>
      <c r="J107" s="180"/>
      <c r="K107" s="180"/>
      <c r="L107" s="180"/>
      <c r="M107" s="180"/>
      <c r="N107" s="180"/>
      <c r="O107" s="131"/>
      <c r="P107" s="131"/>
      <c r="Q107" s="131"/>
      <c r="R107" s="180"/>
      <c r="S107" s="180"/>
      <c r="T107" s="131"/>
      <c r="U107" s="131"/>
      <c r="V107" s="131"/>
      <c r="W107" s="180"/>
      <c r="X107" s="180"/>
      <c r="Y107" s="180"/>
      <c r="Z107" s="180"/>
      <c r="AA107" s="180"/>
      <c r="AB107" s="180"/>
      <c r="AC107" s="180"/>
      <c r="AD107" s="198"/>
      <c r="AE107" s="224" t="s">
        <v>1246</v>
      </c>
      <c r="AF107" s="225">
        <f t="shared" si="64"/>
        <v>41</v>
      </c>
      <c r="AG107" s="224">
        <v>1</v>
      </c>
      <c r="AH107" s="224">
        <v>3</v>
      </c>
      <c r="AI107" s="184" t="s">
        <v>814</v>
      </c>
      <c r="AJ107" s="162" t="str">
        <f>IF(V3=A18,"敏捷+2","魅力+2，感知+1")</f>
        <v>魅力+2，感知+1</v>
      </c>
      <c r="AK107" s="162" t="str">
        <f>IF(V3=A18,"小型","中型")</f>
        <v>中型</v>
      </c>
      <c r="AL107" s="162" t="str">
        <f>IF(V3=A18,"基础步行速度为30尺","基础步行速度为25尺")</f>
        <v>基础步行速度为25尺</v>
      </c>
      <c r="AM107" s="163" t="str">
        <f>IF(V3=A18,"和地精语","和吸血鬼语")</f>
        <v>和吸血鬼语</v>
      </c>
    </row>
    <row r="108" spans="1:39" ht="14.4" customHeight="1" x14ac:dyDescent="0.25">
      <c r="A108" s="1037" t="s">
        <v>780</v>
      </c>
      <c r="B108" s="132" t="s">
        <v>823</v>
      </c>
      <c r="C108" s="106" t="s">
        <v>1275</v>
      </c>
      <c r="D108" s="132" t="s">
        <v>1276</v>
      </c>
      <c r="E108" s="204" t="str">
        <f>IF(OR(AC25&lt;1,COUNTIF($AB$2:$AB$15,"兽皮")),"兽皮","")</f>
        <v>兽皮</v>
      </c>
      <c r="F108" s="204" t="str">
        <f>IF(OR(AC25&lt;1,COUNTIF($AB$2:$AB$15,"长牙")),"长牙","")</f>
        <v>长牙</v>
      </c>
      <c r="G108" s="204" t="str">
        <f>IF(OR(AC25&lt;1,COUNTIF($AB$2:$AB$15,"迅捷")),"迅捷","")</f>
        <v>迅捷</v>
      </c>
      <c r="H108" s="204" t="str">
        <f>IF(OR(AC25&lt;1,COUNTIF($AB$2:$AB$15,"猎食")),"猎食","")</f>
        <v>猎食</v>
      </c>
      <c r="W108" s="180"/>
      <c r="X108" s="180"/>
      <c r="Y108" s="180"/>
      <c r="Z108" s="180"/>
      <c r="AA108" s="180"/>
      <c r="AB108" s="180"/>
      <c r="AC108" s="180"/>
      <c r="AD108" s="198"/>
      <c r="AE108" s="224" t="s">
        <v>1250</v>
      </c>
      <c r="AF108" s="225">
        <f t="shared" si="64"/>
        <v>42</v>
      </c>
      <c r="AG108" s="224">
        <v>1</v>
      </c>
      <c r="AH108" s="224">
        <v>4</v>
      </c>
      <c r="AI108" s="184" t="s">
        <v>815</v>
      </c>
      <c r="AJ108" s="162" t="str">
        <f>IF(V3=A18,"体质+2","魅力+2，智力+1")</f>
        <v>魅力+2，智力+1</v>
      </c>
      <c r="AK108" s="162" t="str">
        <f>AK107</f>
        <v>中型</v>
      </c>
      <c r="AL108" s="162" t="str">
        <f>AL$107</f>
        <v>基础步行速度为25尺</v>
      </c>
      <c r="AM108" s="163" t="str">
        <f>AM$107</f>
        <v>和吸血鬼语</v>
      </c>
    </row>
    <row r="109" spans="1:39" ht="14.4" customHeight="1" x14ac:dyDescent="0.25">
      <c r="A109" s="1037"/>
      <c r="B109" s="132" t="str">
        <f>B53</f>
        <v>在微光光照下，你身边60尺内可以视为等同于明亮光照。而在黑暗中，该范围内可视为等同于微光光照。你无法在黑暗中分辨颜色，只能看到有灰度的黑白画面</v>
      </c>
      <c r="C109" s="132" t="s">
        <v>1277</v>
      </c>
      <c r="D109" s="132" t="s">
        <v>1278</v>
      </c>
      <c r="E109" s="204" t="s">
        <v>1279</v>
      </c>
      <c r="F109" s="204" t="s">
        <v>1280</v>
      </c>
      <c r="G109" s="204" t="s">
        <v>1281</v>
      </c>
      <c r="H109" s="204" t="s">
        <v>1282</v>
      </c>
      <c r="U109" s="131"/>
      <c r="V109" s="131"/>
      <c r="W109" s="180"/>
      <c r="X109" s="180"/>
      <c r="Y109" s="180"/>
      <c r="Z109" s="180"/>
      <c r="AA109" s="180"/>
      <c r="AB109" s="180"/>
      <c r="AC109" s="180"/>
      <c r="AD109" s="198"/>
      <c r="AE109" s="226" t="s">
        <v>1254</v>
      </c>
      <c r="AF109" s="226">
        <f t="shared" si="64"/>
        <v>43</v>
      </c>
      <c r="AG109" s="226">
        <v>1</v>
      </c>
      <c r="AH109" s="227">
        <v>4</v>
      </c>
      <c r="AI109" s="191" t="s">
        <v>1283</v>
      </c>
      <c r="AJ109" s="228" t="s">
        <v>1284</v>
      </c>
      <c r="AK109" s="228" t="s">
        <v>478</v>
      </c>
      <c r="AL109" s="228" t="s">
        <v>747</v>
      </c>
      <c r="AM109" s="229" t="s">
        <v>1285</v>
      </c>
    </row>
    <row r="110" spans="1:39" ht="14.4" customHeight="1" x14ac:dyDescent="0.25">
      <c r="A110" s="1037" t="s">
        <v>1179</v>
      </c>
      <c r="B110" s="132" t="s">
        <v>1286</v>
      </c>
      <c r="C110" s="132" t="s">
        <v>1287</v>
      </c>
      <c r="D110" s="132" t="s">
        <v>1288</v>
      </c>
      <c r="E110" s="132" t="s">
        <v>1289</v>
      </c>
      <c r="M110" s="180"/>
      <c r="N110" s="180"/>
      <c r="R110" s="180"/>
      <c r="S110" s="180"/>
      <c r="W110" s="180"/>
      <c r="X110" s="180"/>
      <c r="Y110" s="180"/>
      <c r="Z110" s="180"/>
      <c r="AA110" s="131"/>
      <c r="AB110" s="180"/>
      <c r="AC110" s="180"/>
      <c r="AD110" s="198"/>
      <c r="AE110" s="226" t="s">
        <v>1260</v>
      </c>
      <c r="AF110" s="226">
        <f>AF109+1</f>
        <v>44</v>
      </c>
      <c r="AG110" s="226">
        <v>1</v>
      </c>
      <c r="AH110" s="227">
        <v>3</v>
      </c>
    </row>
    <row r="111" spans="1:39" ht="14.4" customHeight="1" x14ac:dyDescent="0.25">
      <c r="A111" s="1037"/>
      <c r="B111" s="132" t="str">
        <f>C53</f>
        <v>你进行对抗中毒的豁免时具有优势，你对毒素伤害具有抗性</v>
      </c>
      <c r="C111" s="132" t="s">
        <v>1290</v>
      </c>
      <c r="D111" s="132" t="s">
        <v>1291</v>
      </c>
      <c r="E111" s="132" t="s">
        <v>1292</v>
      </c>
      <c r="M111" s="180"/>
      <c r="N111" s="180"/>
      <c r="O111" s="131"/>
      <c r="P111" s="131"/>
      <c r="Q111" s="131"/>
      <c r="R111" s="180"/>
      <c r="S111" s="180"/>
      <c r="T111" s="131"/>
      <c r="U111" s="131"/>
      <c r="V111" s="131"/>
      <c r="W111" s="180"/>
      <c r="X111" s="180"/>
      <c r="Y111" s="180"/>
      <c r="Z111" s="180"/>
      <c r="AA111" s="180"/>
      <c r="AB111" s="180"/>
      <c r="AC111" s="131"/>
      <c r="AD111" s="176"/>
      <c r="AE111" s="226" t="s">
        <v>1293</v>
      </c>
      <c r="AF111" s="226">
        <f>AF110+1</f>
        <v>45</v>
      </c>
      <c r="AG111" s="226">
        <v>1</v>
      </c>
      <c r="AH111" s="227">
        <v>1</v>
      </c>
    </row>
    <row r="112" spans="1:39" ht="14.4" customHeight="1" x14ac:dyDescent="0.25">
      <c r="A112" s="230" t="s">
        <v>1181</v>
      </c>
      <c r="B112" s="132" t="s">
        <v>1294</v>
      </c>
      <c r="C112" s="132" t="s">
        <v>1295</v>
      </c>
      <c r="D112" s="106" t="s">
        <v>1296</v>
      </c>
      <c r="M112" s="180"/>
      <c r="N112" s="180"/>
      <c r="R112" s="180"/>
      <c r="S112" s="180"/>
      <c r="W112" s="180"/>
      <c r="X112" s="180"/>
      <c r="Y112" s="180"/>
      <c r="Z112" s="180"/>
      <c r="AA112" s="180"/>
      <c r="AB112" s="180"/>
      <c r="AD112" s="155"/>
      <c r="AE112" s="168" t="s">
        <v>811</v>
      </c>
      <c r="AF112" s="168"/>
      <c r="AG112" s="168">
        <v>2</v>
      </c>
      <c r="AH112" s="231">
        <v>3</v>
      </c>
    </row>
    <row r="113" spans="1:34" ht="14.4" customHeight="1" x14ac:dyDescent="0.25">
      <c r="A113" s="230"/>
      <c r="B113" s="132" t="s">
        <v>1297</v>
      </c>
      <c r="C113" s="132" t="s">
        <v>1298</v>
      </c>
      <c r="D113" s="119" t="s">
        <v>1299</v>
      </c>
      <c r="M113" s="180"/>
      <c r="N113" s="180"/>
      <c r="O113" s="131"/>
      <c r="P113" s="131"/>
      <c r="Q113" s="131"/>
      <c r="R113" s="180"/>
      <c r="S113" s="180"/>
      <c r="T113" s="131"/>
      <c r="U113" s="131"/>
      <c r="V113" s="131"/>
      <c r="W113" s="180"/>
      <c r="X113" s="180"/>
      <c r="Y113" s="180"/>
      <c r="Z113" s="180"/>
      <c r="AA113" s="180"/>
      <c r="AB113" s="180"/>
      <c r="AC113" s="131"/>
      <c r="AD113" s="176"/>
      <c r="AE113" s="168" t="s">
        <v>812</v>
      </c>
      <c r="AF113" s="168"/>
      <c r="AG113" s="168">
        <v>4</v>
      </c>
      <c r="AH113" s="231">
        <v>5</v>
      </c>
    </row>
    <row r="114" spans="1:34" ht="14.4" customHeight="1" x14ac:dyDescent="0.25">
      <c r="A114" s="230" t="s">
        <v>1205</v>
      </c>
      <c r="B114" s="132" t="s">
        <v>823</v>
      </c>
      <c r="C114" s="194" t="s">
        <v>1300</v>
      </c>
      <c r="D114" s="194" t="s">
        <v>1301</v>
      </c>
      <c r="E114" s="194" t="s">
        <v>1302</v>
      </c>
      <c r="F114" s="195" t="s">
        <v>1303</v>
      </c>
      <c r="G114" s="195" t="s">
        <v>1304</v>
      </c>
      <c r="H114" s="196" t="s">
        <v>1305</v>
      </c>
      <c r="I114" s="196" t="s">
        <v>1306</v>
      </c>
      <c r="J114" s="197" t="s">
        <v>1307</v>
      </c>
      <c r="K114" s="197" t="s">
        <v>1308</v>
      </c>
      <c r="L114" s="197" t="s">
        <v>863</v>
      </c>
      <c r="M114" s="197" t="s">
        <v>1309</v>
      </c>
      <c r="R114" s="180"/>
      <c r="S114" s="180"/>
      <c r="W114" s="180"/>
      <c r="X114" s="180"/>
      <c r="Y114" s="180"/>
      <c r="Z114" s="180"/>
      <c r="AA114" s="180"/>
      <c r="AB114" s="180"/>
      <c r="AD114" s="155"/>
      <c r="AE114" s="226" t="s">
        <v>1310</v>
      </c>
      <c r="AF114" s="226">
        <f>AF111+1</f>
        <v>46</v>
      </c>
      <c r="AG114" s="226">
        <v>1</v>
      </c>
      <c r="AH114" s="227">
        <v>3</v>
      </c>
    </row>
    <row r="115" spans="1:34" ht="14.4" customHeight="1" x14ac:dyDescent="0.25">
      <c r="A115" s="230"/>
      <c r="B115" s="132" t="str">
        <f>B53</f>
        <v>在微光光照下，你身边60尺内可以视为等同于明亮光照。而在黑暗中，该范围内可视为等同于微光光照。你无法在黑暗中分辨颜色，只能看到有灰度的黑白画面</v>
      </c>
      <c r="C115" s="194" t="s">
        <v>1311</v>
      </c>
      <c r="D115" s="194" t="s">
        <v>1047</v>
      </c>
      <c r="E115" s="194" t="s">
        <v>1312</v>
      </c>
      <c r="F115" s="195" t="s">
        <v>1313</v>
      </c>
      <c r="G115" s="195" t="s">
        <v>1314</v>
      </c>
      <c r="H115" s="196" t="str">
        <f>C69</f>
        <v>你对火焰伤害具有抗性</v>
      </c>
      <c r="I115" s="196" t="s">
        <v>1315</v>
      </c>
      <c r="J115" s="197" t="s">
        <v>1316</v>
      </c>
      <c r="K115" s="197" t="str">
        <f>D83</f>
        <v>你能在空气中或水中呼吸</v>
      </c>
      <c r="L115" s="197" t="str">
        <f>Q55</f>
        <v>你拥有等于步行速度的游泳速度</v>
      </c>
      <c r="M115" s="197" t="s">
        <v>1317</v>
      </c>
      <c r="P115" s="131"/>
      <c r="Q115" s="131"/>
      <c r="R115" s="180"/>
      <c r="S115" s="180"/>
      <c r="T115" s="131"/>
      <c r="U115" s="131"/>
      <c r="V115" s="131"/>
      <c r="W115" s="180"/>
      <c r="X115" s="180"/>
      <c r="Y115" s="180"/>
      <c r="Z115" s="180"/>
      <c r="AA115" s="180"/>
      <c r="AB115" s="180"/>
      <c r="AC115" s="131"/>
      <c r="AD115" s="176"/>
      <c r="AE115" s="168" t="s">
        <v>814</v>
      </c>
      <c r="AF115" s="168"/>
      <c r="AG115" s="168">
        <f>IF(V3=A18,10,4)</f>
        <v>4</v>
      </c>
      <c r="AH115" s="231">
        <f>IF(V3=A18,10,4)</f>
        <v>4</v>
      </c>
    </row>
    <row r="116" spans="1:34" ht="14.4" customHeight="1" x14ac:dyDescent="0.25">
      <c r="A116" s="230" t="s">
        <v>1199</v>
      </c>
      <c r="B116" s="132" t="s">
        <v>1318</v>
      </c>
      <c r="C116" s="132" t="s">
        <v>1319</v>
      </c>
      <c r="D116" s="132" t="s">
        <v>1116</v>
      </c>
      <c r="E116" s="132" t="s">
        <v>1117</v>
      </c>
      <c r="F116" s="132" t="s">
        <v>1320</v>
      </c>
      <c r="I116" s="180"/>
      <c r="J116" s="180"/>
      <c r="K116" s="180"/>
      <c r="L116" s="180"/>
      <c r="M116" s="180"/>
      <c r="N116" s="180"/>
      <c r="R116" s="180"/>
      <c r="S116" s="180"/>
      <c r="W116" s="180"/>
      <c r="X116" s="180"/>
      <c r="Y116" s="180"/>
      <c r="Z116" s="180"/>
      <c r="AA116" s="180"/>
      <c r="AB116" s="180"/>
      <c r="AD116" s="155"/>
      <c r="AE116" s="168" t="s">
        <v>815</v>
      </c>
      <c r="AF116" s="168"/>
      <c r="AG116" s="168">
        <f>IF(V3=A18,11,5)</f>
        <v>5</v>
      </c>
      <c r="AH116" s="231">
        <f>IF(V3=A18,11,5)</f>
        <v>5</v>
      </c>
    </row>
    <row r="117" spans="1:34" ht="14.4" customHeight="1" x14ac:dyDescent="0.25">
      <c r="A117" s="230"/>
      <c r="B117" s="132" t="s">
        <v>1321</v>
      </c>
      <c r="C117" s="132" t="s">
        <v>1322</v>
      </c>
      <c r="D117" s="132" t="s">
        <v>1323</v>
      </c>
      <c r="E117" s="132" t="s">
        <v>1324</v>
      </c>
      <c r="F117" s="132" t="s">
        <v>1325</v>
      </c>
      <c r="H117" s="132"/>
      <c r="I117" s="180"/>
      <c r="J117" s="180"/>
      <c r="K117" s="119"/>
      <c r="M117" s="180"/>
      <c r="N117" s="180"/>
      <c r="O117" s="132"/>
      <c r="P117" s="131"/>
      <c r="Q117" s="131"/>
      <c r="R117" s="180"/>
      <c r="S117" s="180"/>
      <c r="T117" s="131"/>
      <c r="U117" s="131"/>
      <c r="V117" s="131"/>
      <c r="W117" s="180"/>
      <c r="X117" s="180"/>
      <c r="Y117" s="180"/>
      <c r="Z117" s="180"/>
      <c r="AA117" s="180"/>
      <c r="AB117" s="180"/>
      <c r="AC117" s="131"/>
      <c r="AD117" s="176"/>
      <c r="AE117" s="232" t="s">
        <v>1283</v>
      </c>
      <c r="AF117" s="232">
        <f>AF114+1</f>
        <v>47</v>
      </c>
      <c r="AG117" s="232">
        <v>1</v>
      </c>
      <c r="AH117" s="233">
        <v>2</v>
      </c>
    </row>
    <row r="118" spans="1:34" ht="14.4" customHeight="1" x14ac:dyDescent="0.25">
      <c r="A118" s="1040" t="s">
        <v>1206</v>
      </c>
      <c r="B118" s="132" t="s">
        <v>1326</v>
      </c>
      <c r="C118" s="132" t="s">
        <v>1327</v>
      </c>
      <c r="D118" s="132" t="s">
        <v>1328</v>
      </c>
      <c r="E118" s="132" t="s">
        <v>1329</v>
      </c>
      <c r="M118" s="180"/>
      <c r="N118" s="180"/>
      <c r="R118" s="180"/>
      <c r="S118" s="180"/>
      <c r="W118" s="180"/>
      <c r="X118" s="180"/>
      <c r="Y118" s="180"/>
      <c r="Z118" s="180"/>
      <c r="AA118" s="180"/>
      <c r="AB118" s="180"/>
      <c r="AD118" s="155"/>
    </row>
    <row r="119" spans="1:34" ht="14.4" customHeight="1" x14ac:dyDescent="0.25">
      <c r="A119" s="1040"/>
      <c r="B119" s="132" t="s">
        <v>1330</v>
      </c>
      <c r="C119" s="132" t="s">
        <v>1331</v>
      </c>
      <c r="D119" s="132" t="s">
        <v>1332</v>
      </c>
      <c r="E119" s="132" t="s">
        <v>1333</v>
      </c>
      <c r="M119" s="180"/>
      <c r="N119" s="180"/>
      <c r="O119" s="131"/>
      <c r="P119" s="131"/>
      <c r="Q119" s="131"/>
      <c r="R119" s="180"/>
      <c r="S119" s="180"/>
      <c r="T119" s="131"/>
      <c r="U119" s="131"/>
      <c r="V119" s="131"/>
      <c r="W119" s="180"/>
      <c r="X119" s="180"/>
      <c r="Y119" s="180"/>
      <c r="Z119" s="180"/>
      <c r="AA119" s="180"/>
      <c r="AB119" s="180"/>
      <c r="AC119" s="131"/>
      <c r="AD119" s="176"/>
    </row>
    <row r="120" spans="1:34" ht="14.4" customHeight="1" x14ac:dyDescent="0.25">
      <c r="A120" s="1039" t="s">
        <v>1215</v>
      </c>
      <c r="B120" s="132" t="s">
        <v>823</v>
      </c>
      <c r="C120" s="132" t="s">
        <v>1334</v>
      </c>
      <c r="D120" s="132" t="s">
        <v>1335</v>
      </c>
      <c r="E120" s="132" t="s">
        <v>1336</v>
      </c>
      <c r="M120" s="180"/>
      <c r="N120" s="180"/>
      <c r="R120" s="180"/>
      <c r="S120" s="180"/>
      <c r="W120" s="180"/>
      <c r="X120" s="180"/>
      <c r="Y120" s="180"/>
      <c r="Z120" s="180"/>
      <c r="AA120" s="180"/>
      <c r="AB120" s="180"/>
      <c r="AD120" s="155"/>
    </row>
    <row r="121" spans="1:34" ht="14.4" customHeight="1" x14ac:dyDescent="0.25">
      <c r="A121" s="1039"/>
      <c r="B121" s="132" t="str">
        <f>B53</f>
        <v>在微光光照下，你身边60尺内可以视为等同于明亮光照。而在黑暗中，该范围内可视为等同于微光光照。你无法在黑暗中分辨颜色，只能看到有灰度的黑白画面</v>
      </c>
      <c r="C121" s="132" t="s">
        <v>1337</v>
      </c>
      <c r="D121" s="132" t="s">
        <v>1338</v>
      </c>
      <c r="E121" s="132" t="s">
        <v>1339</v>
      </c>
      <c r="S121" s="180"/>
      <c r="T121" s="131"/>
      <c r="U121" s="131"/>
      <c r="V121" s="131"/>
      <c r="W121" s="180"/>
      <c r="X121" s="180"/>
      <c r="Y121" s="180"/>
      <c r="Z121" s="180"/>
      <c r="AA121" s="180"/>
      <c r="AB121" s="180"/>
      <c r="AC121" s="131"/>
      <c r="AD121" s="176"/>
    </row>
    <row r="122" spans="1:34" ht="14.4" customHeight="1" x14ac:dyDescent="0.25">
      <c r="A122" s="1039" t="s">
        <v>1222</v>
      </c>
      <c r="B122" s="132" t="s">
        <v>331</v>
      </c>
      <c r="C122" s="132" t="s">
        <v>1340</v>
      </c>
      <c r="D122" s="132" t="s">
        <v>1184</v>
      </c>
      <c r="E122" s="132" t="s">
        <v>1341</v>
      </c>
      <c r="F122" s="132" t="s">
        <v>1342</v>
      </c>
      <c r="G122" s="180"/>
      <c r="H122" s="180"/>
      <c r="I122" s="180"/>
      <c r="J122" s="180"/>
      <c r="S122" s="180"/>
      <c r="W122" s="180"/>
      <c r="X122" s="180"/>
      <c r="Y122" s="180"/>
      <c r="Z122" s="180"/>
      <c r="AA122" s="180"/>
      <c r="AB122" s="180"/>
      <c r="AD122" s="155"/>
    </row>
    <row r="123" spans="1:34" ht="14.4" customHeight="1" x14ac:dyDescent="0.25">
      <c r="A123" s="1039"/>
      <c r="B123" s="132" t="str">
        <f>B95</f>
        <v>你的生物类型是精类，而非类人</v>
      </c>
      <c r="C123" s="132" t="s">
        <v>1343</v>
      </c>
      <c r="D123" s="132" t="str">
        <f>C91</f>
        <v>你进行对抗法术的豁免时具有优势</v>
      </c>
      <c r="E123" s="132" t="s">
        <v>1344</v>
      </c>
      <c r="F123" s="132" t="s">
        <v>1345</v>
      </c>
      <c r="G123" s="180"/>
      <c r="H123" s="180"/>
      <c r="I123" s="180"/>
      <c r="J123" s="180"/>
      <c r="S123" s="180"/>
      <c r="T123" s="131"/>
      <c r="U123" s="131"/>
      <c r="V123" s="131"/>
      <c r="W123" s="180"/>
      <c r="X123" s="180"/>
      <c r="Y123" s="180"/>
      <c r="Z123" s="180"/>
      <c r="AA123" s="180"/>
      <c r="AB123" s="180"/>
      <c r="AC123" s="131"/>
      <c r="AD123" s="176"/>
    </row>
    <row r="124" spans="1:34" ht="14.4" customHeight="1" x14ac:dyDescent="0.25">
      <c r="A124" s="1038" t="s">
        <v>1227</v>
      </c>
      <c r="B124" s="119" t="s">
        <v>1346</v>
      </c>
      <c r="C124" s="119" t="s">
        <v>823</v>
      </c>
      <c r="D124" s="119" t="s">
        <v>1347</v>
      </c>
      <c r="E124" s="119" t="s">
        <v>1348</v>
      </c>
      <c r="F124" s="119" t="s">
        <v>1349</v>
      </c>
      <c r="G124" s="180"/>
      <c r="H124" s="180"/>
      <c r="I124" s="180"/>
      <c r="J124" s="180"/>
      <c r="S124" s="180"/>
      <c r="W124" s="180"/>
      <c r="X124" s="180"/>
      <c r="Y124" s="180"/>
      <c r="Z124" s="180"/>
      <c r="AA124" s="180"/>
      <c r="AB124" s="180"/>
      <c r="AD124" s="155"/>
    </row>
    <row r="125" spans="1:34" ht="14.4" customHeight="1" x14ac:dyDescent="0.25">
      <c r="A125" s="1038"/>
      <c r="B125" s="119" t="s">
        <v>1350</v>
      </c>
      <c r="C125" s="119" t="str">
        <f>B53</f>
        <v>在微光光照下，你身边60尺内可以视为等同于明亮光照。而在黑暗中，该范围内可视为等同于微光光照。你无法在黑暗中分辨颜色，只能看到有灰度的黑白画面</v>
      </c>
      <c r="D125" s="119" t="s">
        <v>1351</v>
      </c>
      <c r="E125" s="119" t="s">
        <v>1352</v>
      </c>
      <c r="F125" s="119" t="s">
        <v>1353</v>
      </c>
      <c r="G125" s="180"/>
      <c r="H125" s="180"/>
      <c r="I125" s="180"/>
      <c r="J125" s="180"/>
      <c r="S125" s="180"/>
      <c r="T125" s="131"/>
      <c r="U125" s="131"/>
      <c r="V125" s="131"/>
      <c r="W125" s="180"/>
      <c r="X125" s="180"/>
      <c r="Y125" s="180"/>
      <c r="Z125" s="180"/>
      <c r="AA125" s="180"/>
      <c r="AB125" s="180"/>
      <c r="AC125" s="131"/>
      <c r="AD125" s="176"/>
    </row>
    <row r="126" spans="1:34" ht="14.4" customHeight="1" x14ac:dyDescent="0.25">
      <c r="A126" s="1038" t="s">
        <v>1233</v>
      </c>
      <c r="B126" s="119" t="s">
        <v>1346</v>
      </c>
      <c r="C126" s="132" t="s">
        <v>1200</v>
      </c>
      <c r="D126" s="119" t="s">
        <v>823</v>
      </c>
      <c r="E126" s="119" t="s">
        <v>1354</v>
      </c>
      <c r="F126" s="119" t="s">
        <v>1355</v>
      </c>
      <c r="G126" s="119" t="s">
        <v>1356</v>
      </c>
      <c r="H126" s="119" t="s">
        <v>1357</v>
      </c>
      <c r="I126" s="180"/>
      <c r="J126" s="180"/>
      <c r="S126" s="180"/>
      <c r="W126" s="180"/>
      <c r="X126" s="180"/>
      <c r="Y126" s="180"/>
      <c r="Z126" s="180"/>
      <c r="AA126" s="180"/>
      <c r="AB126" s="180"/>
      <c r="AD126" s="155"/>
    </row>
    <row r="127" spans="1:34" ht="14.4" customHeight="1" x14ac:dyDescent="0.25">
      <c r="A127" s="1038"/>
      <c r="B127" s="180" t="str">
        <f>B125</f>
        <v>你获得两项自选的技能作为熟练项或保留原种族的技能熟练以及攀爬、飞行、游泳速度</v>
      </c>
      <c r="C127" s="180" t="str">
        <f>B95</f>
        <v>你的生物类型是精类，而非类人</v>
      </c>
      <c r="D127" s="180" t="str">
        <f>B53</f>
        <v>在微光光照下，你身边60尺内可以视为等同于明亮光照。而在黑暗中，该范围内可视为等同于微光光照。你无法在黑暗中分辨颜色，只能看到有灰度的黑白画面</v>
      </c>
      <c r="E127" s="119" t="s">
        <v>1358</v>
      </c>
      <c r="F127" s="119" t="s">
        <v>1359</v>
      </c>
      <c r="G127" s="119" t="s">
        <v>1360</v>
      </c>
      <c r="H127" s="119" t="s">
        <v>1361</v>
      </c>
      <c r="I127" s="180"/>
      <c r="J127" s="180"/>
      <c r="S127" s="180"/>
      <c r="T127" s="131"/>
      <c r="U127" s="131"/>
      <c r="V127" s="131"/>
      <c r="W127" s="180"/>
      <c r="X127" s="180"/>
      <c r="Y127" s="180"/>
      <c r="Z127" s="180"/>
      <c r="AA127" s="180"/>
      <c r="AB127" s="180"/>
      <c r="AC127" s="131"/>
      <c r="AD127" s="176"/>
    </row>
    <row r="128" spans="1:34" ht="14.4" customHeight="1" x14ac:dyDescent="0.25">
      <c r="A128" s="1038" t="s">
        <v>1238</v>
      </c>
      <c r="B128" s="119" t="s">
        <v>1346</v>
      </c>
      <c r="C128" s="119" t="s">
        <v>1347</v>
      </c>
      <c r="D128" s="119" t="s">
        <v>1362</v>
      </c>
      <c r="E128" s="180"/>
      <c r="F128" s="180"/>
      <c r="G128" s="180"/>
      <c r="H128" s="180"/>
      <c r="I128" s="180"/>
      <c r="J128" s="180"/>
      <c r="S128" s="180"/>
      <c r="W128" s="180"/>
      <c r="X128" s="180"/>
      <c r="Y128" s="180"/>
      <c r="Z128" s="180"/>
      <c r="AA128" s="180"/>
      <c r="AB128" s="180"/>
      <c r="AD128" s="155"/>
    </row>
    <row r="129" spans="1:30" ht="14.4" customHeight="1" x14ac:dyDescent="0.25">
      <c r="A129" s="1038"/>
      <c r="B129" s="180" t="str">
        <f>B125</f>
        <v>你获得两项自选的技能作为熟练项或保留原种族的技能熟练以及攀爬、飞行、游泳速度</v>
      </c>
      <c r="C129" s="119" t="s">
        <v>1363</v>
      </c>
      <c r="D129" s="119" t="s">
        <v>1364</v>
      </c>
      <c r="E129" s="180"/>
      <c r="F129" s="180"/>
      <c r="G129" s="180"/>
      <c r="H129" s="180"/>
      <c r="I129" s="180"/>
      <c r="J129" s="180"/>
      <c r="S129" s="180"/>
      <c r="T129" s="180"/>
      <c r="U129" s="131"/>
      <c r="V129" s="131"/>
      <c r="W129" s="180"/>
      <c r="X129" s="180"/>
      <c r="Y129" s="180"/>
      <c r="Z129" s="180"/>
      <c r="AA129" s="180"/>
      <c r="AB129" s="180"/>
      <c r="AC129" s="131"/>
      <c r="AD129" s="176"/>
    </row>
    <row r="130" spans="1:30" ht="14.4" customHeight="1" x14ac:dyDescent="0.25">
      <c r="A130" s="1045" t="s">
        <v>1239</v>
      </c>
      <c r="B130" s="106" t="s">
        <v>823</v>
      </c>
      <c r="C130" s="106" t="s">
        <v>1294</v>
      </c>
      <c r="D130" s="106" t="s">
        <v>1365</v>
      </c>
      <c r="I130" s="180"/>
      <c r="J130" s="180"/>
      <c r="S130" s="180"/>
      <c r="T130" s="180"/>
      <c r="W130" s="180"/>
      <c r="X130" s="180"/>
      <c r="Y130" s="180"/>
      <c r="Z130" s="180"/>
      <c r="AA130" s="180"/>
      <c r="AB130" s="180"/>
      <c r="AD130" s="155"/>
    </row>
    <row r="131" spans="1:30" ht="14.4" customHeight="1" x14ac:dyDescent="0.25">
      <c r="A131" s="1046"/>
      <c r="B131" s="130" t="str">
        <f>B53</f>
        <v>在微光光照下，你身边60尺内可以视为等同于明亮光照。而在黑暗中，该范围内可视为等同于微光光照。你无法在黑暗中分辨颜色，只能看到有灰度的黑白画面</v>
      </c>
      <c r="C131" s="106" t="s">
        <v>1366</v>
      </c>
      <c r="D131" s="106" t="s">
        <v>1367</v>
      </c>
      <c r="I131" s="180"/>
      <c r="J131" s="180"/>
      <c r="S131" s="180"/>
      <c r="T131" s="180"/>
      <c r="U131" s="131"/>
      <c r="V131" s="131"/>
      <c r="W131" s="180"/>
      <c r="X131" s="180"/>
      <c r="Y131" s="180"/>
      <c r="Z131" s="180"/>
      <c r="AA131" s="180"/>
      <c r="AB131" s="180"/>
      <c r="AC131" s="131"/>
      <c r="AD131" s="176"/>
    </row>
    <row r="132" spans="1:30" ht="14.4" customHeight="1" x14ac:dyDescent="0.25">
      <c r="A132" s="1042" t="s">
        <v>1246</v>
      </c>
      <c r="B132" s="132" t="s">
        <v>1200</v>
      </c>
      <c r="C132" s="106" t="s">
        <v>1368</v>
      </c>
      <c r="D132" s="106" t="s">
        <v>1294</v>
      </c>
      <c r="AD132" s="155"/>
    </row>
    <row r="133" spans="1:30" ht="14.4" customHeight="1" x14ac:dyDescent="0.25">
      <c r="A133" s="1042"/>
      <c r="B133" s="180" t="str">
        <f>B95</f>
        <v>你的生物类型是精类，而非类人</v>
      </c>
      <c r="C133" s="132" t="s">
        <v>1369</v>
      </c>
      <c r="D133" s="132" t="s">
        <v>1297</v>
      </c>
      <c r="AD133" s="155"/>
    </row>
    <row r="134" spans="1:30" ht="14.4" customHeight="1" x14ac:dyDescent="0.25">
      <c r="A134" s="1042" t="s">
        <v>1250</v>
      </c>
      <c r="B134" s="106" t="s">
        <v>1370</v>
      </c>
      <c r="C134" s="106" t="s">
        <v>1371</v>
      </c>
      <c r="D134" s="106" t="s">
        <v>1372</v>
      </c>
      <c r="E134" s="106" t="s">
        <v>1373</v>
      </c>
      <c r="AD134" s="155"/>
    </row>
    <row r="135" spans="1:30" ht="14.4" customHeight="1" x14ac:dyDescent="0.25">
      <c r="A135" s="1042"/>
      <c r="B135" s="119" t="s">
        <v>1374</v>
      </c>
      <c r="C135" s="106" t="s">
        <v>874</v>
      </c>
      <c r="D135" s="119" t="s">
        <v>1375</v>
      </c>
      <c r="E135" s="119" t="s">
        <v>1376</v>
      </c>
      <c r="AD135" s="155"/>
    </row>
    <row r="136" spans="1:30" ht="14.4" customHeight="1" x14ac:dyDescent="0.25">
      <c r="A136" s="1035" t="s">
        <v>1254</v>
      </c>
      <c r="B136" s="132" t="s">
        <v>1116</v>
      </c>
      <c r="C136" s="132" t="s">
        <v>1377</v>
      </c>
      <c r="D136" s="132" t="s">
        <v>1378</v>
      </c>
      <c r="E136" s="132" t="s">
        <v>1379</v>
      </c>
      <c r="I136" s="180"/>
      <c r="J136" s="180"/>
      <c r="S136" s="180"/>
      <c r="T136" s="180"/>
      <c r="W136" s="180"/>
      <c r="X136" s="180"/>
      <c r="Y136" s="180"/>
      <c r="Z136" s="180"/>
      <c r="AA136" s="180"/>
      <c r="AB136" s="180"/>
      <c r="AD136" s="155"/>
    </row>
    <row r="137" spans="1:30" ht="14.4" customHeight="1" x14ac:dyDescent="0.25">
      <c r="A137" s="1035"/>
      <c r="B137" s="132" t="s">
        <v>1380</v>
      </c>
      <c r="C137" s="132" t="s">
        <v>1381</v>
      </c>
      <c r="D137" s="132" t="s">
        <v>1382</v>
      </c>
      <c r="E137" s="132" t="s">
        <v>1383</v>
      </c>
      <c r="I137" s="180"/>
      <c r="J137" s="180"/>
      <c r="S137" s="180"/>
      <c r="T137" s="180"/>
      <c r="U137" s="131"/>
      <c r="V137" s="131"/>
      <c r="W137" s="180"/>
      <c r="X137" s="180"/>
      <c r="Y137" s="180"/>
      <c r="Z137" s="180"/>
      <c r="AA137" s="180"/>
      <c r="AB137" s="180"/>
      <c r="AC137" s="131"/>
      <c r="AD137" s="176"/>
    </row>
    <row r="138" spans="1:30" ht="14.4" customHeight="1" x14ac:dyDescent="0.25">
      <c r="A138" s="1035" t="s">
        <v>1260</v>
      </c>
      <c r="B138" s="132" t="s">
        <v>1384</v>
      </c>
      <c r="C138" s="132" t="s">
        <v>1053</v>
      </c>
      <c r="D138" s="132" t="s">
        <v>1385</v>
      </c>
      <c r="E138" s="180"/>
      <c r="F138" s="180"/>
      <c r="G138" s="180"/>
      <c r="H138" s="180"/>
      <c r="I138" s="180"/>
      <c r="J138" s="180"/>
      <c r="S138" s="180"/>
      <c r="T138" s="180"/>
      <c r="W138" s="180"/>
      <c r="X138" s="180"/>
      <c r="Y138" s="180"/>
      <c r="Z138" s="180"/>
      <c r="AA138" s="180"/>
      <c r="AB138" s="180"/>
      <c r="AD138" s="155"/>
    </row>
    <row r="139" spans="1:30" ht="14.4" customHeight="1" x14ac:dyDescent="0.25">
      <c r="A139" s="1035"/>
      <c r="B139" s="132" t="s">
        <v>1386</v>
      </c>
      <c r="C139" s="132" t="s">
        <v>1387</v>
      </c>
      <c r="D139" s="132" t="s">
        <v>1388</v>
      </c>
      <c r="E139" s="180"/>
      <c r="F139" s="180"/>
      <c r="G139" s="180"/>
      <c r="H139" s="180"/>
      <c r="I139" s="180"/>
      <c r="J139" s="180"/>
      <c r="K139" s="180"/>
      <c r="L139" s="180"/>
      <c r="M139" s="180"/>
      <c r="N139" s="180"/>
      <c r="O139" s="131"/>
      <c r="P139" s="131"/>
      <c r="Q139" s="132"/>
      <c r="R139" s="180"/>
      <c r="S139" s="180"/>
      <c r="T139" s="180"/>
      <c r="U139" s="131"/>
      <c r="V139" s="131"/>
      <c r="W139" s="180"/>
      <c r="X139" s="180"/>
      <c r="Y139" s="180"/>
      <c r="Z139" s="180"/>
      <c r="AA139" s="180"/>
      <c r="AB139" s="180"/>
      <c r="AC139" s="131"/>
      <c r="AD139" s="176"/>
    </row>
    <row r="140" spans="1:30" ht="14.4" customHeight="1" x14ac:dyDescent="0.25">
      <c r="A140" s="1035" t="s">
        <v>1293</v>
      </c>
      <c r="B140" s="132" t="s">
        <v>1308</v>
      </c>
      <c r="C140" s="194" t="s">
        <v>1389</v>
      </c>
      <c r="D140" s="194" t="s">
        <v>855</v>
      </c>
      <c r="E140" s="195" t="s">
        <v>1390</v>
      </c>
      <c r="F140" s="195" t="s">
        <v>855</v>
      </c>
      <c r="G140" s="180"/>
      <c r="H140" s="180"/>
      <c r="I140" s="180"/>
      <c r="J140" s="180"/>
      <c r="K140" s="180"/>
      <c r="L140" s="180"/>
      <c r="M140" s="180"/>
      <c r="N140" s="180"/>
      <c r="R140" s="180"/>
      <c r="S140" s="180"/>
      <c r="T140" s="180"/>
      <c r="W140" s="180"/>
      <c r="X140" s="180"/>
      <c r="Y140" s="180"/>
      <c r="Z140" s="180"/>
      <c r="AA140" s="180"/>
      <c r="AB140" s="180"/>
      <c r="AD140" s="155"/>
    </row>
    <row r="141" spans="1:30" ht="14.4" customHeight="1" x14ac:dyDescent="0.25">
      <c r="A141" s="1035"/>
      <c r="B141" s="132" t="str">
        <f>D83</f>
        <v>你能在空气中或水中呼吸</v>
      </c>
      <c r="C141" s="194" t="s">
        <v>1391</v>
      </c>
      <c r="D141" s="194" t="s">
        <v>1392</v>
      </c>
      <c r="E141" s="195" t="s">
        <v>1393</v>
      </c>
      <c r="F141" s="195" t="str">
        <f>G55</f>
        <v>你掌握一个法师法术列表中自选戏法</v>
      </c>
      <c r="G141" s="180"/>
      <c r="H141" s="180"/>
      <c r="I141" s="180"/>
      <c r="J141" s="180"/>
      <c r="K141" s="180"/>
      <c r="L141" s="180"/>
      <c r="M141" s="180"/>
      <c r="N141" s="180"/>
      <c r="R141" s="180"/>
      <c r="S141" s="180"/>
      <c r="T141" s="180"/>
      <c r="W141" s="180"/>
      <c r="X141" s="180"/>
      <c r="Y141" s="180"/>
      <c r="Z141" s="180"/>
      <c r="AA141" s="180"/>
      <c r="AB141" s="180"/>
      <c r="AD141" s="155"/>
    </row>
    <row r="142" spans="1:30" ht="14.4" customHeight="1" x14ac:dyDescent="0.25">
      <c r="A142" s="1035" t="s">
        <v>1310</v>
      </c>
      <c r="B142" s="132" t="s">
        <v>823</v>
      </c>
      <c r="C142" s="132" t="s">
        <v>1394</v>
      </c>
      <c r="D142" s="132" t="s">
        <v>1395</v>
      </c>
      <c r="E142" s="194" t="s">
        <v>1396</v>
      </c>
      <c r="F142" s="195" t="s">
        <v>1397</v>
      </c>
      <c r="AD142" s="155"/>
    </row>
    <row r="143" spans="1:30" ht="14.4" customHeight="1" x14ac:dyDescent="0.25">
      <c r="A143" s="1035"/>
      <c r="B143" s="132" t="str">
        <f>B53</f>
        <v>在微光光照下，你身边60尺内可以视为等同于明亮光照。而在黑暗中，该范围内可视为等同于微光光照。你无法在黑暗中分辨颜色，只能看到有灰度的黑白画面</v>
      </c>
      <c r="C143" s="132" t="s">
        <v>888</v>
      </c>
      <c r="D143" s="132" t="s">
        <v>1398</v>
      </c>
      <c r="E143" s="194" t="s">
        <v>1399</v>
      </c>
      <c r="F143" s="195" t="s">
        <v>1400</v>
      </c>
      <c r="AD143" s="155"/>
    </row>
    <row r="144" spans="1:30" ht="14.4" customHeight="1" x14ac:dyDescent="0.25">
      <c r="A144" s="1035" t="s">
        <v>1283</v>
      </c>
      <c r="B144" s="132" t="s">
        <v>1294</v>
      </c>
      <c r="C144" s="132" t="s">
        <v>1401</v>
      </c>
      <c r="D144" s="180"/>
      <c r="E144" s="180"/>
      <c r="F144" s="180"/>
      <c r="AD144" s="155"/>
    </row>
    <row r="145" spans="1:30" ht="14.4" customHeight="1" x14ac:dyDescent="0.25">
      <c r="A145" s="1036"/>
      <c r="B145" s="235" t="s">
        <v>1402</v>
      </c>
      <c r="C145" s="236" t="s">
        <v>1403</v>
      </c>
      <c r="D145" s="235"/>
      <c r="E145" s="235"/>
      <c r="F145" s="23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83"/>
    </row>
  </sheetData>
  <sheetProtection sheet="1" objects="1" scenarios="1"/>
  <mergeCells count="48">
    <mergeCell ref="A138:A139"/>
    <mergeCell ref="A100:A101"/>
    <mergeCell ref="A136:A137"/>
    <mergeCell ref="A74:A75"/>
    <mergeCell ref="A88:A89"/>
    <mergeCell ref="A130:A131"/>
    <mergeCell ref="A84:A85"/>
    <mergeCell ref="A82:A83"/>
    <mergeCell ref="A80:A81"/>
    <mergeCell ref="A86:A87"/>
    <mergeCell ref="A128:A129"/>
    <mergeCell ref="A106:A107"/>
    <mergeCell ref="A120:A121"/>
    <mergeCell ref="A126:A127"/>
    <mergeCell ref="A110:A111"/>
    <mergeCell ref="A102:A103"/>
    <mergeCell ref="A90:A91"/>
    <mergeCell ref="A96:A97"/>
    <mergeCell ref="A68:A69"/>
    <mergeCell ref="A92:A93"/>
    <mergeCell ref="A94:A95"/>
    <mergeCell ref="A142:A143"/>
    <mergeCell ref="A64:A65"/>
    <mergeCell ref="A62:A63"/>
    <mergeCell ref="A144:A145"/>
    <mergeCell ref="A108:A109"/>
    <mergeCell ref="A124:A125"/>
    <mergeCell ref="A122:A123"/>
    <mergeCell ref="A76:A77"/>
    <mergeCell ref="A118:A119"/>
    <mergeCell ref="A104:A105"/>
    <mergeCell ref="A70:A71"/>
    <mergeCell ref="A140:A141"/>
    <mergeCell ref="A98:A99"/>
    <mergeCell ref="A132:A133"/>
    <mergeCell ref="A72:A73"/>
    <mergeCell ref="A134:A135"/>
    <mergeCell ref="T1:U1"/>
    <mergeCell ref="V1:Y1"/>
    <mergeCell ref="Z1:AA1"/>
    <mergeCell ref="AB1:AD1"/>
    <mergeCell ref="A78:A79"/>
    <mergeCell ref="A54:A55"/>
    <mergeCell ref="A60:A61"/>
    <mergeCell ref="A56:A57"/>
    <mergeCell ref="A58:A59"/>
    <mergeCell ref="A52:A53"/>
    <mergeCell ref="A66:A67"/>
  </mergeCells>
  <phoneticPr fontId="8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58"/>
  <sheetViews>
    <sheetView topLeftCell="A13" workbookViewId="0">
      <pane xSplit="1" topLeftCell="U1" activePane="topRight" state="frozen"/>
      <selection pane="topRight" activeCell="AE25" sqref="AE25"/>
    </sheetView>
  </sheetViews>
  <sheetFormatPr defaultColWidth="9" defaultRowHeight="14.4" customHeight="1" x14ac:dyDescent="0.25"/>
  <cols>
    <col min="1" max="1" width="8.90625" style="130"/>
    <col min="2" max="5" width="8.90625" customWidth="1"/>
    <col min="14" max="15" width="8.90625" customWidth="1"/>
    <col min="17" max="17" width="8.90625" customWidth="1"/>
    <col min="39" max="42" width="8.90625" style="130"/>
    <col min="45" max="46" width="8.90625" customWidth="1"/>
    <col min="52" max="52" width="8.90625" customWidth="1"/>
    <col min="55" max="55" width="8.90625" customWidth="1"/>
    <col min="57" max="57" width="8.90625" customWidth="1"/>
    <col min="59" max="59" width="8.90625" customWidth="1"/>
  </cols>
  <sheetData>
    <row r="1" spans="1:80" ht="14.4" customHeight="1" x14ac:dyDescent="0.25">
      <c r="A1" s="107"/>
      <c r="B1" s="108" t="s">
        <v>1404</v>
      </c>
      <c r="C1" s="108" t="s">
        <v>242</v>
      </c>
      <c r="D1" s="237" t="s">
        <v>243</v>
      </c>
      <c r="E1" s="135" t="s">
        <v>245</v>
      </c>
      <c r="F1" s="238" t="s">
        <v>247</v>
      </c>
      <c r="G1" s="239" t="s">
        <v>249</v>
      </c>
      <c r="H1" s="240" t="s">
        <v>342</v>
      </c>
      <c r="I1" s="142" t="s">
        <v>253</v>
      </c>
      <c r="J1" s="241" t="s">
        <v>254</v>
      </c>
      <c r="K1" s="242" t="s">
        <v>255</v>
      </c>
      <c r="L1" s="143" t="s">
        <v>256</v>
      </c>
      <c r="M1" s="148"/>
      <c r="N1" s="243" t="s">
        <v>379</v>
      </c>
      <c r="O1" s="148"/>
      <c r="P1" s="148"/>
      <c r="Q1" s="148"/>
      <c r="R1" s="148"/>
      <c r="S1" s="109"/>
      <c r="U1" s="107" t="s">
        <v>439</v>
      </c>
      <c r="V1" s="108" t="s">
        <v>231</v>
      </c>
      <c r="W1" s="108" t="s">
        <v>233</v>
      </c>
      <c r="X1" s="108" t="s">
        <v>234</v>
      </c>
      <c r="Y1" s="108" t="s">
        <v>235</v>
      </c>
      <c r="Z1" s="108" t="s">
        <v>236</v>
      </c>
      <c r="AA1" s="108" t="s">
        <v>237</v>
      </c>
      <c r="AB1" s="108" t="s">
        <v>238</v>
      </c>
      <c r="AC1" s="108" t="s">
        <v>1405</v>
      </c>
      <c r="AD1" s="108" t="s">
        <v>1406</v>
      </c>
      <c r="AE1" s="108" t="s">
        <v>1407</v>
      </c>
      <c r="AF1" s="108" t="s">
        <v>1408</v>
      </c>
      <c r="AG1" s="108" t="s">
        <v>1409</v>
      </c>
      <c r="AH1" s="106" t="s">
        <v>1410</v>
      </c>
      <c r="AI1" s="108" t="s">
        <v>1411</v>
      </c>
      <c r="AJ1" s="108" t="s">
        <v>1412</v>
      </c>
      <c r="AK1" s="108" t="s">
        <v>1413</v>
      </c>
      <c r="AL1" s="114" t="s">
        <v>1414</v>
      </c>
      <c r="AM1" s="108" t="s">
        <v>165</v>
      </c>
      <c r="AN1" s="108" t="s">
        <v>1415</v>
      </c>
      <c r="AO1" s="108" t="s">
        <v>1416</v>
      </c>
      <c r="AP1" s="108" t="s">
        <v>1417</v>
      </c>
      <c r="AQ1" s="1026" t="s">
        <v>1418</v>
      </c>
      <c r="AR1" s="1027"/>
      <c r="AS1" s="1027"/>
      <c r="AT1" s="1028"/>
      <c r="AU1" s="1026" t="s">
        <v>1419</v>
      </c>
      <c r="AV1" s="1027"/>
      <c r="AW1" s="1027"/>
      <c r="AX1" s="1028"/>
      <c r="AY1" s="1026" t="s">
        <v>1420</v>
      </c>
      <c r="AZ1" s="1027"/>
      <c r="BA1" s="1027"/>
      <c r="BB1" s="1028"/>
      <c r="BC1" s="1026" t="s">
        <v>1421</v>
      </c>
      <c r="BD1" s="1028"/>
      <c r="BE1" s="1047" t="s">
        <v>434</v>
      </c>
      <c r="BF1" s="1048"/>
      <c r="BG1" s="1026" t="s">
        <v>435</v>
      </c>
      <c r="BH1" s="1027"/>
      <c r="BI1" s="1028"/>
      <c r="BJ1" s="180" t="s">
        <v>1422</v>
      </c>
      <c r="BK1" s="180" t="s">
        <v>1423</v>
      </c>
      <c r="BL1" s="180" t="s">
        <v>1424</v>
      </c>
      <c r="BM1" s="119" t="s">
        <v>1425</v>
      </c>
      <c r="BN1" s="180" t="s">
        <v>1426</v>
      </c>
      <c r="BO1" s="180" t="s">
        <v>1427</v>
      </c>
      <c r="BP1" s="119" t="s">
        <v>1428</v>
      </c>
      <c r="BQ1" s="119" t="s">
        <v>1429</v>
      </c>
      <c r="BR1" s="119" t="s">
        <v>1430</v>
      </c>
      <c r="BS1" s="119" t="s">
        <v>1431</v>
      </c>
      <c r="BT1" s="119" t="s">
        <v>1432</v>
      </c>
      <c r="BU1" s="119" t="s">
        <v>1433</v>
      </c>
      <c r="BV1" s="119" t="s">
        <v>1434</v>
      </c>
      <c r="BW1" s="119" t="s">
        <v>1435</v>
      </c>
      <c r="BX1" s="119" t="s">
        <v>1436</v>
      </c>
      <c r="BY1" s="119" t="s">
        <v>1437</v>
      </c>
      <c r="BZ1" s="119" t="s">
        <v>1438</v>
      </c>
      <c r="CA1" s="119" t="s">
        <v>1439</v>
      </c>
      <c r="CB1" s="119" t="s">
        <v>1440</v>
      </c>
    </row>
    <row r="2" spans="1:80" ht="14.4" customHeight="1" x14ac:dyDescent="0.25">
      <c r="A2" s="246" t="s">
        <v>1441</v>
      </c>
      <c r="B2" s="106" t="s">
        <v>1442</v>
      </c>
      <c r="C2" s="106" t="s">
        <v>1443</v>
      </c>
      <c r="D2" s="166" t="str">
        <f>IF(综合数据!B5=TRUE,"战狂道途","")</f>
        <v>战狂道途</v>
      </c>
      <c r="E2" s="247" t="str">
        <f>IF(综合数据!B7=TRUE,"先祖守卫道途","")</f>
        <v>先祖守卫道途</v>
      </c>
      <c r="F2" s="247" t="str">
        <f>IF(综合数据!B7=TRUE,"风暴先驱道途","")</f>
        <v>风暴先驱道途</v>
      </c>
      <c r="G2" s="247" t="str">
        <f>IF(综合数据!B7=TRUE,"狂热者道途","")</f>
        <v>狂热者道途</v>
      </c>
      <c r="H2" s="248" t="str">
        <f>IF(综合数据!B14=TRUE,"狂野魔法道途","")</f>
        <v>狂野魔法道途</v>
      </c>
      <c r="I2" s="248" t="str">
        <f>IF(综合数据!B14=TRUE,"野兽道途","")</f>
        <v>野兽道途</v>
      </c>
      <c r="J2" s="130"/>
      <c r="K2" s="130"/>
      <c r="L2" s="130"/>
      <c r="M2" s="130"/>
      <c r="N2" s="130"/>
      <c r="O2" s="130"/>
      <c r="P2" s="130"/>
      <c r="Q2" s="130"/>
      <c r="R2" s="130"/>
      <c r="S2" s="155"/>
      <c r="U2" s="246" t="s">
        <v>1441</v>
      </c>
      <c r="V2" s="119" t="s">
        <v>1444</v>
      </c>
      <c r="W2" s="119" t="s">
        <v>1445</v>
      </c>
      <c r="X2" s="119" t="s">
        <v>1446</v>
      </c>
      <c r="Y2" s="119"/>
      <c r="Z2" s="119" t="s">
        <v>1447</v>
      </c>
      <c r="AA2" s="119" t="s">
        <v>1448</v>
      </c>
      <c r="AB2" s="119" t="s">
        <v>1449</v>
      </c>
      <c r="AC2" s="119" t="s">
        <v>1450</v>
      </c>
      <c r="AD2" s="119" t="s">
        <v>1446</v>
      </c>
      <c r="AE2" s="119"/>
      <c r="AF2" s="119"/>
      <c r="AG2" s="130">
        <f t="shared" ref="AG2:AG14" si="0">IFERROR(VLOOKUP(U2,$AC$16:$AE$18,3,0),0)</f>
        <v>0</v>
      </c>
      <c r="AH2" s="130"/>
      <c r="AI2" s="130" t="str">
        <f>IF(AND(SUM(主要!I14:M14)&gt;=13,$AC$16&lt;&gt;0,$AC$16&lt;&gt;$A2,主要!Y3-主要!Y4&gt;=1),$A2,"")</f>
        <v/>
      </c>
      <c r="AJ2" s="130" t="str">
        <f>IF(AND($AC$17&lt;&gt;0,$AC$17&lt;&gt;$A2,AI2&lt;&gt;"",主要!Y3-主要!Y4-主要!Y6&gt;=1),$A2,"")</f>
        <v/>
      </c>
      <c r="AK2" s="130" t="str">
        <f>IF(AG2&gt;=3,1,"")</f>
        <v/>
      </c>
      <c r="AL2" s="117" t="s">
        <v>1451</v>
      </c>
      <c r="AM2" s="249" t="s">
        <v>1441</v>
      </c>
      <c r="AN2" s="249">
        <v>1</v>
      </c>
      <c r="AO2" s="249">
        <v>1</v>
      </c>
      <c r="AP2" s="249">
        <f>IF($AG$2=20,15,IF($AG$2&gt;=18,14,IF($AG$2&gt;=15,13,IF($AG$2&gt;=11,12,IF($AG$2&gt;=9,11,IF($AG$2&gt;=7,10,IF($AG$2&gt;=5,8,IF($AG$2&gt;=3,6,IF($AG$2&gt;=2,4,IF($AG$2&gt;=1,2,0))))))))))</f>
        <v>0</v>
      </c>
      <c r="AQ2" s="156"/>
      <c r="AR2" s="106" t="s">
        <v>1415</v>
      </c>
      <c r="AS2" s="106" t="s">
        <v>1416</v>
      </c>
      <c r="AT2" s="116" t="s">
        <v>1417</v>
      </c>
      <c r="AU2" s="156"/>
      <c r="AV2" s="106" t="s">
        <v>1415</v>
      </c>
      <c r="AW2" s="106" t="s">
        <v>1416</v>
      </c>
      <c r="AX2" s="116" t="s">
        <v>1417</v>
      </c>
      <c r="AY2" s="156"/>
      <c r="AZ2" s="106" t="s">
        <v>1415</v>
      </c>
      <c r="BA2" s="106" t="s">
        <v>1416</v>
      </c>
      <c r="BB2" s="116" t="s">
        <v>1417</v>
      </c>
      <c r="BC2" s="156" t="e">
        <f>VLOOKUP(主要!$B$82,$AC$16:$AF$18,4,0)*4-2</f>
        <v>#N/A</v>
      </c>
      <c r="BD2" s="130" t="e">
        <f>VLOOKUP(主要!$B$82,$AC$16:$AF$18,4,0)*4-1</f>
        <v>#N/A</v>
      </c>
      <c r="BE2" s="250" t="str">
        <f t="shared" ref="BE2:BE8" si="1">IFERROR(IF(COUNTIF($BG$2:$BG$46,BC4),"",BC4),"")</f>
        <v/>
      </c>
      <c r="BF2" s="198" t="str">
        <f t="array" ref="BF2">INDEX(BE:BE,SMALL(IF($BE$2:$BE$143&lt;&gt;"",ROW($2:$143),144),ROW(BE1)))&amp;""</f>
        <v/>
      </c>
      <c r="BG2" s="156" t="str">
        <f>IF(主要!C84="",0,主要!C84)</f>
        <v>生命骰</v>
      </c>
      <c r="BH2" s="130" t="str">
        <f t="shared" ref="BH2:BH46" si="2">IFERROR(VLOOKUP($BG2,$BC$4:$BD$143,2,0),"")</f>
        <v>1×</v>
      </c>
      <c r="BI2" s="155">
        <f t="shared" ref="BI2:BI9" si="3">IF($BG2=0,"",COUNTIF($BG$2:$BG$46,$BG2))</f>
        <v>1</v>
      </c>
      <c r="BJ2" s="180" t="s">
        <v>1452</v>
      </c>
      <c r="BK2" s="180" t="s">
        <v>1453</v>
      </c>
      <c r="BL2" s="180" t="s">
        <v>1454</v>
      </c>
      <c r="BM2" s="180" t="s">
        <v>1455</v>
      </c>
      <c r="BN2" s="180" t="s">
        <v>1456</v>
      </c>
      <c r="BO2" s="180" t="s">
        <v>1457</v>
      </c>
      <c r="BP2" s="180" t="s">
        <v>1458</v>
      </c>
      <c r="BQ2" s="180" t="s">
        <v>1459</v>
      </c>
      <c r="BR2" s="180" t="s">
        <v>1460</v>
      </c>
      <c r="BS2" s="180" t="s">
        <v>1461</v>
      </c>
      <c r="BT2" s="180" t="s">
        <v>1462</v>
      </c>
      <c r="BU2" s="180" t="s">
        <v>1463</v>
      </c>
      <c r="BV2" s="180" t="s">
        <v>1464</v>
      </c>
      <c r="BW2" s="180" t="s">
        <v>1465</v>
      </c>
      <c r="BX2" s="180" t="s">
        <v>1466</v>
      </c>
      <c r="BY2" s="119" t="s">
        <v>1467</v>
      </c>
      <c r="BZ2" s="180" t="s">
        <v>1468</v>
      </c>
      <c r="CA2" s="180" t="s">
        <v>1469</v>
      </c>
      <c r="CB2" s="180" t="s">
        <v>1470</v>
      </c>
    </row>
    <row r="3" spans="1:80" ht="14.4" customHeight="1" x14ac:dyDescent="0.25">
      <c r="A3" s="246" t="s">
        <v>1471</v>
      </c>
      <c r="B3" s="106" t="s">
        <v>1472</v>
      </c>
      <c r="C3" s="106" t="s">
        <v>1473</v>
      </c>
      <c r="D3" s="251" t="str">
        <f>IF(综合数据!B7=TRUE,"迷惑学院","")</f>
        <v>迷惑学院</v>
      </c>
      <c r="E3" s="251" t="str">
        <f>IF(综合数据!B7=TRUE,"剑舞学院","")</f>
        <v>剑舞学院</v>
      </c>
      <c r="F3" s="251" t="str">
        <f>IF(综合数据!B7=TRUE,"低语学院","")</f>
        <v>低语学院</v>
      </c>
      <c r="G3" s="252" t="str">
        <f>IF(综合数据!B13=TRUE,"雄辩学院","")</f>
        <v>雄辩学院</v>
      </c>
      <c r="H3" s="253" t="str">
        <f>IF(综合数据!B14=TRUE,"创造学院","")</f>
        <v>创造学院</v>
      </c>
      <c r="I3" s="242" t="str">
        <f>IF(综合数据!B15=TRUE,"精魂学院","")</f>
        <v>精魂学院</v>
      </c>
      <c r="J3" s="130"/>
      <c r="K3" s="130"/>
      <c r="L3" s="130"/>
      <c r="M3" s="130"/>
      <c r="N3" s="130"/>
      <c r="O3" s="130"/>
      <c r="P3" s="130"/>
      <c r="Q3" s="130"/>
      <c r="R3" s="130"/>
      <c r="S3" s="155"/>
      <c r="U3" s="246" t="s">
        <v>1471</v>
      </c>
      <c r="V3" s="119" t="s">
        <v>1474</v>
      </c>
      <c r="W3" s="119" t="s">
        <v>1475</v>
      </c>
      <c r="X3" s="119" t="s">
        <v>1476</v>
      </c>
      <c r="Y3" s="119" t="s">
        <v>1477</v>
      </c>
      <c r="Z3" s="119" t="s">
        <v>1478</v>
      </c>
      <c r="AA3" s="119" t="s">
        <v>1479</v>
      </c>
      <c r="AB3" s="119" t="str">
        <f>AB2</f>
        <v>4、8、12、16、19</v>
      </c>
      <c r="AC3" s="119" t="s">
        <v>1475</v>
      </c>
      <c r="AD3" s="119"/>
      <c r="AE3" s="119" t="s">
        <v>1480</v>
      </c>
      <c r="AF3" s="119" t="s">
        <v>1481</v>
      </c>
      <c r="AG3" s="130">
        <f t="shared" si="0"/>
        <v>0</v>
      </c>
      <c r="AH3" s="130">
        <f>AG3</f>
        <v>0</v>
      </c>
      <c r="AI3" s="130" t="str">
        <f>IF(AND(SUM(主要!I19:M19)&gt;=13,$AC$16&lt;&gt;0,$AC$16&lt;&gt;$A3,主要!Y3-主要!Y4&gt;=1),$A3,"")</f>
        <v/>
      </c>
      <c r="AJ3" s="130" t="str">
        <f>IF(AND($AC$17&lt;&gt;0,$AC$17&lt;&gt;$A3,AI3&lt;&gt;"",主要!Y3-主要!Y4-主要!Y6&gt;=1),$A3,"")</f>
        <v/>
      </c>
      <c r="AK3" s="130" t="str">
        <f>IF(AG3&gt;=2,2,"")</f>
        <v/>
      </c>
      <c r="AL3" s="157" t="e">
        <f t="array" ref="AL3">INDEX(AI:AI,SMALL(IF($AI$18:$AI$35&lt;&gt;"",ROW($18:$35),36),ROW(AI1)))&amp;""</f>
        <v>#N/A</v>
      </c>
      <c r="AM3" s="106" t="s">
        <v>1442</v>
      </c>
      <c r="AN3" s="106"/>
      <c r="AO3" s="106">
        <v>16</v>
      </c>
      <c r="AP3" s="106">
        <f>IF($AG$2&gt;=14,19,IF($AG$2&gt;=10,18,IF($AG$2&gt;=6,17,IF($AG$2&gt;=3,16,0))))</f>
        <v>0</v>
      </c>
      <c r="AQ3" s="158" t="e">
        <f>VLOOKUP(AC16,AM:AN,2,0)</f>
        <v>#N/A</v>
      </c>
      <c r="AR3" s="106" t="e">
        <f>AQ3*2</f>
        <v>#N/A</v>
      </c>
      <c r="AS3" s="106">
        <v>1</v>
      </c>
      <c r="AT3" s="116" t="e">
        <f>VLOOKUP(AC16,AM:AP,4,0)</f>
        <v>#N/A</v>
      </c>
      <c r="AU3" s="158" t="e">
        <f>VLOOKUP(AC17,AM:AN,2,0)</f>
        <v>#N/A</v>
      </c>
      <c r="AV3" s="106" t="e">
        <f>AU3*2</f>
        <v>#N/A</v>
      </c>
      <c r="AW3" s="106">
        <v>1</v>
      </c>
      <c r="AX3" s="116" t="e">
        <f>VLOOKUP(AC17,AM:AP,4,0)</f>
        <v>#N/A</v>
      </c>
      <c r="AY3" s="158" t="e">
        <f>VLOOKUP(AC18,AM:AN,2,0)</f>
        <v>#N/A</v>
      </c>
      <c r="AZ3" s="106" t="e">
        <f>AY3*2</f>
        <v>#N/A</v>
      </c>
      <c r="BA3" s="106">
        <v>1</v>
      </c>
      <c r="BB3" s="116" t="e">
        <f>VLOOKUP(AC18,AM:AP,4,0)</f>
        <v>#N/A</v>
      </c>
      <c r="BC3" s="115" t="s">
        <v>109</v>
      </c>
      <c r="BD3" s="106" t="s">
        <v>169</v>
      </c>
      <c r="BE3" s="250" t="str">
        <f t="shared" si="1"/>
        <v/>
      </c>
      <c r="BF3" s="198" t="str">
        <f t="array" ref="BF3">INDEX(BE:BE,SMALL(IF($BE$2:$BE$143&lt;&gt;"",ROW($2:$143),144),ROW(BE2)))&amp;""</f>
        <v/>
      </c>
      <c r="BG3" s="156" t="str">
        <f>IF(主要!C85="",0,主要!C85)</f>
        <v>护甲熟练项</v>
      </c>
      <c r="BH3" s="130" t="str">
        <f t="shared" si="2"/>
        <v/>
      </c>
      <c r="BI3" s="155">
        <f t="shared" si="3"/>
        <v>1</v>
      </c>
      <c r="BJ3" s="180" t="s">
        <v>1482</v>
      </c>
      <c r="BK3" s="180" t="s">
        <v>1483</v>
      </c>
      <c r="BL3" s="180" t="s">
        <v>1484</v>
      </c>
      <c r="BM3" s="180" t="s">
        <v>1485</v>
      </c>
      <c r="BN3" s="180" t="s">
        <v>1486</v>
      </c>
      <c r="BO3" s="180" t="s">
        <v>1487</v>
      </c>
      <c r="BP3" s="180" t="s">
        <v>1488</v>
      </c>
      <c r="BQ3" s="180" t="s">
        <v>1489</v>
      </c>
      <c r="BR3" s="180" t="s">
        <v>1490</v>
      </c>
      <c r="BS3" s="180" t="s">
        <v>1491</v>
      </c>
      <c r="BT3" s="180" t="s">
        <v>1492</v>
      </c>
      <c r="BU3" s="180" t="s">
        <v>1493</v>
      </c>
      <c r="BV3" s="180" t="s">
        <v>1494</v>
      </c>
      <c r="BW3" s="180" t="s">
        <v>1495</v>
      </c>
      <c r="BX3" s="180" t="s">
        <v>1496</v>
      </c>
      <c r="BY3" s="180" t="s">
        <v>1497</v>
      </c>
      <c r="BZ3" s="180" t="s">
        <v>1498</v>
      </c>
      <c r="CA3" s="180" t="s">
        <v>1499</v>
      </c>
      <c r="CB3" s="180" t="s">
        <v>1500</v>
      </c>
    </row>
    <row r="4" spans="1:80" ht="14.4" customHeight="1" x14ac:dyDescent="0.25">
      <c r="A4" s="246" t="s">
        <v>1501</v>
      </c>
      <c r="B4" s="106" t="s">
        <v>1502</v>
      </c>
      <c r="C4" s="106" t="s">
        <v>1503</v>
      </c>
      <c r="D4" s="106" t="s">
        <v>1504</v>
      </c>
      <c r="E4" s="106" t="s">
        <v>1505</v>
      </c>
      <c r="F4" s="106" t="s">
        <v>1506</v>
      </c>
      <c r="G4" s="106" t="s">
        <v>1507</v>
      </c>
      <c r="H4" s="106" t="s">
        <v>1508</v>
      </c>
      <c r="I4" s="237" t="str">
        <f>IF(综合数据!B3=TRUE,"死亡领域","")</f>
        <v>死亡领域</v>
      </c>
      <c r="J4" s="166" t="str">
        <f>IF(综合数据!B5=TRUE,"奥秘领域","")</f>
        <v>奥秘领域</v>
      </c>
      <c r="K4" s="247" t="str">
        <f>IF(综合数据!B7=TRUE,"锻造领域","")</f>
        <v>锻造领域</v>
      </c>
      <c r="L4" s="247" t="str">
        <f>IF(综合数据!B7=TRUE,"坟墓领域","")</f>
        <v>坟墓领域</v>
      </c>
      <c r="M4" s="254" t="str">
        <f>IF(综合数据!B9=TRUE,"秩序领域","")</f>
        <v>秩序领域</v>
      </c>
      <c r="N4" s="248" t="str">
        <f>IF(综合数据!B14=TRUE,"和平领域","")</f>
        <v>和平领域</v>
      </c>
      <c r="O4" s="248" t="str">
        <f>IF(综合数据!B14=TRUE,"暮光领域","")</f>
        <v>暮光领域</v>
      </c>
      <c r="P4" s="168" t="str">
        <f>IF(综合数据!B19=TRUE,"团结领域","")</f>
        <v/>
      </c>
      <c r="Q4" s="168" t="str">
        <f>IF(综合数据!B19=TRUE,"力量领域","")</f>
        <v/>
      </c>
      <c r="R4" s="168" t="str">
        <f>IF(综合数据!B19=TRUE,"野心领域","")</f>
        <v/>
      </c>
      <c r="S4" s="231" t="str">
        <f>IF(综合数据!B19=TRUE,"热忱领域","")</f>
        <v/>
      </c>
      <c r="U4" s="246" t="s">
        <v>1501</v>
      </c>
      <c r="V4" s="119" t="s">
        <v>1474</v>
      </c>
      <c r="W4" s="119" t="s">
        <v>1445</v>
      </c>
      <c r="X4" s="119" t="s">
        <v>1509</v>
      </c>
      <c r="Y4" s="119"/>
      <c r="Z4" s="119" t="s">
        <v>1510</v>
      </c>
      <c r="AA4" s="119" t="s">
        <v>1511</v>
      </c>
      <c r="AB4" s="119" t="str">
        <f>AB2</f>
        <v>4、8、12、16、19</v>
      </c>
      <c r="AC4" s="119" t="s">
        <v>1445</v>
      </c>
      <c r="AD4" s="119"/>
      <c r="AE4" s="119"/>
      <c r="AF4" s="119"/>
      <c r="AG4" s="130">
        <f t="shared" si="0"/>
        <v>0</v>
      </c>
      <c r="AH4" s="130">
        <f>AG4</f>
        <v>0</v>
      </c>
      <c r="AI4" s="130" t="str">
        <f>IF(AND(SUM(主要!I18:M18)&gt;=13,$AC$16&lt;&gt;0,$AC$16&lt;&gt;$A4,主要!Y3-主要!Y4&gt;=1),$A4,"")</f>
        <v/>
      </c>
      <c r="AJ4" s="130" t="str">
        <f>IF(AND($AC$17&lt;&gt;0,$AC$17&lt;&gt;$A4,AI4&lt;&gt;"",主要!Y3-主要!Y4-主要!Y6&gt;=1),$A4,"")</f>
        <v/>
      </c>
      <c r="AK4" s="130">
        <v>3</v>
      </c>
      <c r="AL4" s="157" t="e">
        <f t="array" ref="AL4">INDEX(AI:AI,SMALL(IF($AI$18:$AI$35&lt;&gt;"",ROW($18:$35),36),ROW(AI2)))&amp;""</f>
        <v>#N/A</v>
      </c>
      <c r="AM4" s="106" t="s">
        <v>1443</v>
      </c>
      <c r="AN4" s="106"/>
      <c r="AO4" s="106">
        <v>20</v>
      </c>
      <c r="AP4" s="106">
        <f>IF($AG$2&gt;=14,39,IF($AG$2&gt;=10,33,IF($AG$2&gt;=6,32,IF($AG$2&gt;=3,26,0))))</f>
        <v>0</v>
      </c>
      <c r="AQ4" s="158"/>
      <c r="AR4" s="255" t="e">
        <f>AR3-1</f>
        <v>#N/A</v>
      </c>
      <c r="AS4" s="106" t="e">
        <f>VLOOKUP(AD16,AM:AO,3,0)</f>
        <v>#N/A</v>
      </c>
      <c r="AT4" s="116">
        <f>IF(AD19=0,0,VLOOKUP(AD16,AM:AP,4,0))</f>
        <v>0</v>
      </c>
      <c r="AU4" s="158"/>
      <c r="AV4" s="255" t="e">
        <f>AV3-1</f>
        <v>#N/A</v>
      </c>
      <c r="AW4" s="106" t="e">
        <f>VLOOKUP(AD17,AM:AO,3,0)</f>
        <v>#N/A</v>
      </c>
      <c r="AX4" s="116" t="e">
        <f>IF(AD20=0,0,VLOOKUP(AD17,AM:AP,4,0))</f>
        <v>#N/A</v>
      </c>
      <c r="AY4" s="158"/>
      <c r="AZ4" s="106" t="e">
        <f>AZ3-1</f>
        <v>#N/A</v>
      </c>
      <c r="BA4" s="106" t="e">
        <f>VLOOKUP(AD18,AM:AO,3,0)</f>
        <v>#N/A</v>
      </c>
      <c r="BB4" s="116" t="e">
        <f>IF(AD21=0,0,VLOOKUP(AD18,AM:AP,4,0))</f>
        <v>#N/A</v>
      </c>
      <c r="BC4" s="115" t="s">
        <v>231</v>
      </c>
      <c r="BD4" s="119" t="str">
        <f>IF(AC16&gt;0,AE16&amp;"×"&amp;AS6,"")&amp;IF(AC17&gt;0,"＋"&amp;AE17&amp;"×"&amp;AW6,"")&amp;IF(AC18&gt;0,"＋"&amp;AE18&amp;"×"&amp;BA6,"")</f>
        <v>1×</v>
      </c>
      <c r="BE4" s="250" t="str">
        <f t="shared" si="1"/>
        <v/>
      </c>
      <c r="BF4" s="198" t="str">
        <f t="array" ref="BF4">INDEX(BE:BE,SMALL(IF($BE$2:$BE$143&lt;&gt;"",ROW($2:$143),144),ROW(BE3)))&amp;""</f>
        <v/>
      </c>
      <c r="BG4" s="156" t="str">
        <f>IF(主要!C86="",0,主要!C86)</f>
        <v>武器熟练项</v>
      </c>
      <c r="BH4" s="130" t="str">
        <f t="shared" si="2"/>
        <v/>
      </c>
      <c r="BI4" s="155">
        <f t="shared" si="3"/>
        <v>1</v>
      </c>
      <c r="BJ4" s="180" t="s">
        <v>1512</v>
      </c>
      <c r="BK4" s="180" t="s">
        <v>1513</v>
      </c>
      <c r="BL4" s="180" t="s">
        <v>1514</v>
      </c>
      <c r="BM4" s="180" t="s">
        <v>1515</v>
      </c>
      <c r="BN4" s="180" t="s">
        <v>1516</v>
      </c>
      <c r="BO4" s="180" t="s">
        <v>1517</v>
      </c>
      <c r="BP4" s="180" t="s">
        <v>1518</v>
      </c>
      <c r="BQ4" s="180" t="s">
        <v>1519</v>
      </c>
      <c r="BR4" s="180" t="s">
        <v>1520</v>
      </c>
      <c r="BS4" s="180" t="s">
        <v>1521</v>
      </c>
      <c r="BT4" s="180" t="s">
        <v>1522</v>
      </c>
      <c r="BU4" s="180" t="s">
        <v>1523</v>
      </c>
      <c r="BV4" s="180" t="s">
        <v>1524</v>
      </c>
      <c r="BW4" s="180" t="s">
        <v>1525</v>
      </c>
      <c r="BX4" s="180" t="s">
        <v>1526</v>
      </c>
      <c r="BY4" s="180" t="s">
        <v>1527</v>
      </c>
      <c r="BZ4" s="180" t="s">
        <v>1528</v>
      </c>
      <c r="CA4" s="180" t="s">
        <v>1529</v>
      </c>
      <c r="CB4" s="180" t="s">
        <v>1530</v>
      </c>
    </row>
    <row r="5" spans="1:80" ht="14.4" customHeight="1" x14ac:dyDescent="0.25">
      <c r="A5" s="246" t="s">
        <v>1531</v>
      </c>
      <c r="B5" s="106" t="s">
        <v>1532</v>
      </c>
      <c r="C5" s="106" t="s">
        <v>1533</v>
      </c>
      <c r="D5" s="251" t="str">
        <f>IF(综合数据!B7=TRUE,"梦境结社","")</f>
        <v>梦境结社</v>
      </c>
      <c r="E5" s="251" t="str">
        <f>IF(综合数据!B7=TRUE,"牧人结社","")</f>
        <v>牧人结社</v>
      </c>
      <c r="F5" s="256" t="str">
        <f>IF(综合数据!B9=TRUE,"孢子结社","")</f>
        <v>孢子结社</v>
      </c>
      <c r="G5" s="253" t="s">
        <v>1534</v>
      </c>
      <c r="H5" s="253" t="s">
        <v>1535</v>
      </c>
      <c r="I5" s="130"/>
      <c r="J5" s="130"/>
      <c r="K5" s="130"/>
      <c r="L5" s="130"/>
      <c r="M5" s="130"/>
      <c r="N5" s="130"/>
      <c r="O5" s="130"/>
      <c r="P5" s="130"/>
      <c r="Q5" s="130"/>
      <c r="R5" s="130"/>
      <c r="S5" s="155"/>
      <c r="U5" s="246" t="s">
        <v>1531</v>
      </c>
      <c r="V5" s="119" t="s">
        <v>1474</v>
      </c>
      <c r="W5" s="119" t="s">
        <v>1536</v>
      </c>
      <c r="X5" s="119" t="s">
        <v>1537</v>
      </c>
      <c r="Y5" s="119" t="s">
        <v>1538</v>
      </c>
      <c r="Z5" s="119" t="s">
        <v>1539</v>
      </c>
      <c r="AA5" s="119" t="s">
        <v>1540</v>
      </c>
      <c r="AB5" s="119" t="str">
        <f>AB2</f>
        <v>4、8、12、16、19</v>
      </c>
      <c r="AC5" s="119" t="s">
        <v>1541</v>
      </c>
      <c r="AD5" s="119"/>
      <c r="AE5" s="119"/>
      <c r="AF5" s="119"/>
      <c r="AG5" s="130">
        <f t="shared" si="0"/>
        <v>0</v>
      </c>
      <c r="AH5" s="130">
        <f>AG5</f>
        <v>0</v>
      </c>
      <c r="AI5" s="130" t="str">
        <f>IF(AND(SUM(主要!I18:M18)&gt;=13,$AC$16&lt;&gt;0,$AC$16&lt;&gt;$A5,主要!Y3-主要!Y4&gt;=1),$A5,"")</f>
        <v/>
      </c>
      <c r="AJ5" s="130" t="str">
        <f>IF(AND($AC$17&lt;&gt;0,$AC$17&lt;&gt;$A5,AI5&lt;&gt;"",主要!Y3-主要!Y4-主要!Y6&gt;=1),$A5,"")</f>
        <v/>
      </c>
      <c r="AK5" s="130" t="str">
        <f>IF(AG5&gt;=2,4,"")</f>
        <v/>
      </c>
      <c r="AL5" s="157" t="e">
        <f t="array" ref="AL5">INDEX(AI:AI,SMALL(IF($AI$18:$AI$35&lt;&gt;"",ROW($18:$35),36),ROW(AI3)))&amp;""</f>
        <v>#N/A</v>
      </c>
      <c r="AM5" s="166" t="s">
        <v>1542</v>
      </c>
      <c r="AN5" s="166"/>
      <c r="AO5" s="166">
        <v>40</v>
      </c>
      <c r="AP5" s="166">
        <f>IF($AG$2&gt;=14,43,IF($AG$2&gt;=10,42,IF($AG$2&gt;=6,41,IF($AG$2&gt;=3,40,0))))</f>
        <v>0</v>
      </c>
      <c r="AQ5" s="115" t="s">
        <v>596</v>
      </c>
      <c r="AR5" s="106" t="s">
        <v>109</v>
      </c>
      <c r="AS5" s="106" t="s">
        <v>169</v>
      </c>
      <c r="AT5" s="116" t="s">
        <v>597</v>
      </c>
      <c r="AU5" s="115" t="s">
        <v>596</v>
      </c>
      <c r="AV5" s="106" t="s">
        <v>109</v>
      </c>
      <c r="AW5" s="106" t="s">
        <v>169</v>
      </c>
      <c r="AX5" s="116" t="s">
        <v>597</v>
      </c>
      <c r="AY5" s="115" t="s">
        <v>596</v>
      </c>
      <c r="AZ5" s="106" t="s">
        <v>109</v>
      </c>
      <c r="BA5" s="106" t="s">
        <v>169</v>
      </c>
      <c r="BB5" s="116" t="s">
        <v>597</v>
      </c>
      <c r="BC5" s="118" t="s">
        <v>233</v>
      </c>
      <c r="BD5" s="119" t="str">
        <f>IF(COUNTIF(AS7,"全部*"),"全部护甲",IF(COUNTIF(AS7:BA7,"*中甲*"),"轻甲、中甲",IF(COUNTIF(AS7:BA7,"*轻甲*"),"轻甲","")))&amp;IF(COUNTIF(AS7:BA7,"*盾牌*"),IF(COUNTIF(AS7:BA7,"*甲*"),"、","")&amp;"盾牌","")&amp;IF(COUNTIF(AS7:BA7,"*金属*"),"（不能装备或使用金属质的护甲和盾）","")</f>
        <v/>
      </c>
      <c r="BE5" s="250" t="str">
        <f t="shared" si="1"/>
        <v/>
      </c>
      <c r="BF5" s="198" t="str">
        <f t="array" ref="BF5">INDEX(BE:BE,SMALL(IF($BE$2:$BE$143&lt;&gt;"",ROW($2:$143),144),ROW(BE4)))&amp;""</f>
        <v/>
      </c>
      <c r="BG5" s="156" t="str">
        <f>IF(主要!C87="",0,主要!C87)</f>
        <v>工具熟练项</v>
      </c>
      <c r="BH5" s="130" t="str">
        <f t="shared" si="2"/>
        <v/>
      </c>
      <c r="BI5" s="155">
        <f t="shared" si="3"/>
        <v>1</v>
      </c>
      <c r="BJ5" s="180" t="s">
        <v>1543</v>
      </c>
      <c r="BK5" s="180" t="s">
        <v>1544</v>
      </c>
      <c r="BL5" s="180" t="s">
        <v>1545</v>
      </c>
      <c r="BM5" s="180" t="s">
        <v>1546</v>
      </c>
      <c r="BN5" s="180" t="s">
        <v>1547</v>
      </c>
      <c r="BO5" s="180" t="s">
        <v>1548</v>
      </c>
      <c r="BP5" s="180" t="s">
        <v>1549</v>
      </c>
      <c r="BQ5" s="180" t="s">
        <v>1550</v>
      </c>
      <c r="BR5" s="180" t="s">
        <v>1551</v>
      </c>
      <c r="BS5" s="180" t="s">
        <v>1552</v>
      </c>
      <c r="BT5" s="180" t="s">
        <v>1553</v>
      </c>
      <c r="BU5" s="180" t="s">
        <v>1554</v>
      </c>
      <c r="BV5" s="180" t="s">
        <v>1555</v>
      </c>
      <c r="BW5" s="180" t="s">
        <v>1556</v>
      </c>
      <c r="BX5" s="180" t="s">
        <v>1557</v>
      </c>
      <c r="BY5" s="180" t="s">
        <v>1558</v>
      </c>
      <c r="BZ5" s="180" t="s">
        <v>1559</v>
      </c>
      <c r="CA5" s="180" t="s">
        <v>1560</v>
      </c>
      <c r="CB5" s="180" t="s">
        <v>1561</v>
      </c>
    </row>
    <row r="6" spans="1:80" ht="14.4" customHeight="1" x14ac:dyDescent="0.25">
      <c r="A6" s="246" t="s">
        <v>1562</v>
      </c>
      <c r="B6" s="106" t="s">
        <v>1563</v>
      </c>
      <c r="C6" s="106" t="s">
        <v>1564</v>
      </c>
      <c r="D6" s="106" t="s">
        <v>1565</v>
      </c>
      <c r="E6" s="166" t="str">
        <f>IF(综合数据!B5=TRUE,"紫龙骑士","")</f>
        <v>紫龙骑士</v>
      </c>
      <c r="F6" s="247" t="str">
        <f>IF(综合数据!B7=TRUE,"魔射手","")</f>
        <v>魔射手</v>
      </c>
      <c r="G6" s="247" t="str">
        <f>IF(综合数据!B7=TRUE,"骑兵","")</f>
        <v>骑兵</v>
      </c>
      <c r="H6" s="247" t="str">
        <f>IF(综合数据!B7=TRUE,"武士","")</f>
        <v>武士</v>
      </c>
      <c r="I6" s="257" t="str">
        <f>IF(综合数据!B11=TRUE,"回音骑士","")</f>
        <v>回音骑士</v>
      </c>
      <c r="J6" s="248" t="str">
        <f>IF(综合数据!B14=TRUE,"符文骑士","")</f>
        <v>符文骑士</v>
      </c>
      <c r="K6" s="248" t="str">
        <f>IF(综合数据!B14=TRUE,"灵能武士","")</f>
        <v>灵能武士</v>
      </c>
      <c r="L6" s="130"/>
      <c r="M6" s="130"/>
      <c r="N6" s="130"/>
      <c r="O6" s="130"/>
      <c r="P6" s="130"/>
      <c r="Q6" s="130"/>
      <c r="R6" s="130"/>
      <c r="S6" s="155"/>
      <c r="U6" s="246" t="s">
        <v>1562</v>
      </c>
      <c r="V6" s="119" t="s">
        <v>1566</v>
      </c>
      <c r="W6" s="119" t="s">
        <v>1567</v>
      </c>
      <c r="X6" s="119" t="s">
        <v>1446</v>
      </c>
      <c r="Y6" s="119"/>
      <c r="Z6" s="119" t="s">
        <v>1447</v>
      </c>
      <c r="AA6" s="119" t="s">
        <v>1568</v>
      </c>
      <c r="AB6" s="119" t="s">
        <v>1569</v>
      </c>
      <c r="AC6" s="119" t="s">
        <v>1445</v>
      </c>
      <c r="AD6" s="119" t="s">
        <v>1446</v>
      </c>
      <c r="AE6" s="119"/>
      <c r="AF6" s="119"/>
      <c r="AG6" s="130">
        <f t="shared" si="0"/>
        <v>0</v>
      </c>
      <c r="AH6" s="130">
        <f>IF(AND(COUNTIF(AD16:AD18,D6),AG6&gt;=3),IF(SUM(AG3:AG5)+ROUNDDOWN(AG8/2, )+ROUNDDOWN(AG9/2, )+COUNTIF(AD16:AD18,D10)+AG11+SUM(AG13:AG14)=0,ROUNDUP(AG6/3, ),ROUNDDOWN(AG6/3, )),0)</f>
        <v>0</v>
      </c>
      <c r="AI6" s="130" t="str">
        <f>IF(AND(OR(SUM(主要!I14:M14)&gt;=13,SUM(主要!I15:M15)&gt;=13),$AC$16&lt;&gt;0,$AC$16&lt;&gt;$A6,主要!Y3-主要!Y4&gt;=1),$A6,"")</f>
        <v/>
      </c>
      <c r="AJ6" s="130" t="str">
        <f>IF(AND($AC$17&lt;&gt;0,$AC$17&lt;&gt;$A6,AI6&lt;&gt;"",主要!Y3-主要!Y4-主要!Y6&gt;=1),$A6,"")</f>
        <v/>
      </c>
      <c r="AK6" s="130" t="str">
        <f>IF(AG6&gt;=3,5,"")</f>
        <v/>
      </c>
      <c r="AL6" s="157" t="e">
        <f t="array" ref="AL6">INDEX(AI:AI,SMALL(IF($AI$18:$AI$35&lt;&gt;"",ROW($18:$35),36),ROW(AI4)))&amp;""</f>
        <v>#N/A</v>
      </c>
      <c r="AM6" s="247" t="s">
        <v>1570</v>
      </c>
      <c r="AN6" s="247"/>
      <c r="AO6" s="247">
        <v>44</v>
      </c>
      <c r="AP6" s="247">
        <f>IF($AG$2&gt;=14,47,IF($AG$2&gt;=10,46,IF($AG$2&gt;=6,45,IF($AG$2&gt;=3,44,0))))</f>
        <v>0</v>
      </c>
      <c r="AQ6" s="115" t="s">
        <v>236</v>
      </c>
      <c r="AR6" s="106" t="s">
        <v>231</v>
      </c>
      <c r="AS6" s="106" t="str">
        <f>IFERROR(INDEX(V2:AB14,$AQ$3,1),"")</f>
        <v/>
      </c>
      <c r="AT6" s="116"/>
      <c r="AU6" s="115"/>
      <c r="AV6" s="106" t="s">
        <v>231</v>
      </c>
      <c r="AW6" s="106" t="str">
        <f>IFERROR(INDEX(V2:AB14,$AU$3,1),"")</f>
        <v/>
      </c>
      <c r="AX6" s="116"/>
      <c r="AY6" s="115"/>
      <c r="AZ6" s="106" t="s">
        <v>231</v>
      </c>
      <c r="BA6" s="106" t="str">
        <f>IFERROR(INDEX(V2:AB14,$AY$3,1),"")</f>
        <v/>
      </c>
      <c r="BB6" s="116"/>
      <c r="BC6" s="118" t="s">
        <v>234</v>
      </c>
      <c r="BD6" s="119" t="str">
        <f>IF(COUNTIF(AS8:BA8,"简易*"),"简易武器",IF(COUNTIF(AS8,"*短棒*"),"短棒、匕首、飞镖、标枪、硬头锤、长棍、镰刀、投石索、矛",IF(COUNTIF(AS8,"*轻弩"),"匕首、飞镖、投石索、长棍、轻弩","")))&amp;IF(COUNTIF(AS8:BA8,"*军用*"),"、军用武器",IF(COUNTIF(AS8,"*手弩*"),"、手弩、长剑、刺剑",IF(COUNTIF(AS8,"*弯刀*"),"、弯刀",""))&amp;IF(COUNTIF(AS8:BA8,"*短剑"),"、短剑",""))&amp;IF(COUNTIF(AS8:BA8,"*火器"),"、火器","")</f>
        <v/>
      </c>
      <c r="BE6" s="250" t="str">
        <f t="shared" si="1"/>
        <v/>
      </c>
      <c r="BF6" s="198" t="str">
        <f t="array" ref="BF6">INDEX(BE:BE,SMALL(IF($BE$2:$BE$143&lt;&gt;"",ROW($2:$143),144),ROW(BE5)))&amp;""</f>
        <v/>
      </c>
      <c r="BG6" s="156" t="str">
        <f>IF(主要!C88="",0,主要!C88)</f>
        <v>豁免熟练项</v>
      </c>
      <c r="BH6" s="130" t="str">
        <f t="shared" si="2"/>
        <v/>
      </c>
      <c r="BI6" s="155">
        <f t="shared" si="3"/>
        <v>1</v>
      </c>
      <c r="BJ6" s="130"/>
      <c r="BK6" s="180" t="s">
        <v>1571</v>
      </c>
      <c r="BL6" s="180" t="s">
        <v>1572</v>
      </c>
      <c r="BM6" s="180" t="s">
        <v>1573</v>
      </c>
      <c r="BN6" s="180" t="s">
        <v>1574</v>
      </c>
      <c r="BO6" s="180" t="s">
        <v>1575</v>
      </c>
      <c r="BP6" s="180" t="s">
        <v>1576</v>
      </c>
      <c r="BQ6" s="180" t="s">
        <v>1577</v>
      </c>
      <c r="BR6" s="180" t="s">
        <v>1578</v>
      </c>
      <c r="BS6" s="130"/>
      <c r="BT6" s="180" t="s">
        <v>1579</v>
      </c>
      <c r="BU6" s="180" t="s">
        <v>1580</v>
      </c>
      <c r="BV6" s="180" t="s">
        <v>1581</v>
      </c>
      <c r="BW6" s="180" t="s">
        <v>1582</v>
      </c>
      <c r="BX6" s="180" t="s">
        <v>1583</v>
      </c>
      <c r="BY6" s="180" t="s">
        <v>1584</v>
      </c>
      <c r="BZ6" s="180" t="s">
        <v>1585</v>
      </c>
      <c r="CA6" s="180" t="s">
        <v>1586</v>
      </c>
      <c r="CB6" s="180" t="s">
        <v>1587</v>
      </c>
    </row>
    <row r="7" spans="1:80" ht="14.4" customHeight="1" x14ac:dyDescent="0.25">
      <c r="A7" s="246" t="s">
        <v>1588</v>
      </c>
      <c r="B7" s="106" t="s">
        <v>1589</v>
      </c>
      <c r="C7" s="106" t="s">
        <v>1590</v>
      </c>
      <c r="D7" s="106" t="s">
        <v>1591</v>
      </c>
      <c r="E7" s="258" t="str">
        <f>IF(综合数据!B5=TRUE,"永亡宗","")</f>
        <v>永亡宗</v>
      </c>
      <c r="F7" s="247" t="str">
        <f>IF(综合数据!B7=TRUE,"醉拳宗","")</f>
        <v>醉拳宗</v>
      </c>
      <c r="G7" s="247" t="str">
        <f>IF(综合数据!B7=TRUE,"剑圣宗","")</f>
        <v>剑圣宗</v>
      </c>
      <c r="H7" s="247" t="str">
        <f>IF(综合数据!B7=TRUE,"日魂宗","")</f>
        <v>日魂宗</v>
      </c>
      <c r="I7" s="248" t="str">
        <f>IF(综合数据!B14=TRUE,"命流宗","")</f>
        <v>命流宗</v>
      </c>
      <c r="J7" s="248" t="str">
        <f>IF(综合数据!B14=TRUE,"星我宗","")</f>
        <v>星我宗</v>
      </c>
      <c r="K7" s="130" t="str">
        <f>IF(综合数据!B16=TRUE,"神龙宗","")</f>
        <v>神龙宗</v>
      </c>
      <c r="L7" s="130"/>
      <c r="M7" s="130"/>
      <c r="N7" s="130"/>
      <c r="O7" s="130"/>
      <c r="P7" s="130"/>
      <c r="Q7" s="130"/>
      <c r="R7" s="130"/>
      <c r="S7" s="155"/>
      <c r="U7" s="246" t="s">
        <v>1588</v>
      </c>
      <c r="V7" s="119" t="s">
        <v>1474</v>
      </c>
      <c r="W7" s="119"/>
      <c r="X7" s="119" t="s">
        <v>1592</v>
      </c>
      <c r="Y7" s="119" t="s">
        <v>1593</v>
      </c>
      <c r="Z7" s="119" t="s">
        <v>1594</v>
      </c>
      <c r="AA7" s="119" t="s">
        <v>1595</v>
      </c>
      <c r="AB7" s="119" t="str">
        <f>AB2</f>
        <v>4、8、12、16、19</v>
      </c>
      <c r="AC7" s="119"/>
      <c r="AD7" s="119" t="s">
        <v>1592</v>
      </c>
      <c r="AE7" s="119"/>
      <c r="AF7" s="119"/>
      <c r="AG7" s="130">
        <f t="shared" si="0"/>
        <v>0</v>
      </c>
      <c r="AH7" s="130"/>
      <c r="AI7" s="130" t="str">
        <f>IF(AND(SUM(主要!I15:M15)&gt;=13,SUM(主要!I18:M18)&gt;=13,$AC$16&lt;&gt;0,$AC$16&lt;&gt;$A7,主要!Y3-主要!Y4&gt;=1),$A7,"")</f>
        <v/>
      </c>
      <c r="AJ7" s="130" t="str">
        <f>IF(AND($AC$17&lt;&gt;0,$AC$17&lt;&gt;$A7,AI7&lt;&gt;"",主要!Y3-主要!Y4-主要!Y6&gt;=1),$A7,"")</f>
        <v/>
      </c>
      <c r="AK7" s="130" t="str">
        <f>IF(AG7&gt;=3,6,"")</f>
        <v/>
      </c>
      <c r="AL7" s="157" t="e">
        <f t="array" ref="AL7">INDEX(AI:AI,SMALL(IF($AI$18:$AI$35&lt;&gt;"",ROW($18:$35),36),ROW(AI5)))&amp;""</f>
        <v>#N/A</v>
      </c>
      <c r="AM7" s="247" t="s">
        <v>1596</v>
      </c>
      <c r="AN7" s="247"/>
      <c r="AO7" s="247">
        <v>48</v>
      </c>
      <c r="AP7" s="247">
        <f>IF($AG$2&gt;=14,60,IF($AG$2&gt;=10,56,IF($AG$2&gt;=6,55,IF($AG$2&gt;=3,51,0))))</f>
        <v>0</v>
      </c>
      <c r="AQ7" s="115" t="str">
        <f>IFERROR(INDEX(V2:AA14,$AQ$3,5),"")</f>
        <v/>
      </c>
      <c r="AR7" s="119" t="s">
        <v>233</v>
      </c>
      <c r="AS7" s="119">
        <f>IFERROR(INDEX(V2:AB14,$AQ$3,2),0)</f>
        <v>0</v>
      </c>
      <c r="AT7" s="116"/>
      <c r="AU7" s="115"/>
      <c r="AV7" s="119" t="s">
        <v>1597</v>
      </c>
      <c r="AW7" s="119">
        <f>IFERROR(INDEX(AC2:AF14,$AU$3,1),0)</f>
        <v>0</v>
      </c>
      <c r="AX7" s="116"/>
      <c r="AY7" s="115"/>
      <c r="AZ7" s="119" t="s">
        <v>1597</v>
      </c>
      <c r="BA7" s="119">
        <f>IFERROR(INDEX(AC2:AF14,$AY$3,1),0)</f>
        <v>0</v>
      </c>
      <c r="BB7" s="116"/>
      <c r="BC7" s="118" t="s">
        <v>235</v>
      </c>
      <c r="BD7" s="119" t="str">
        <f>IF(AS9=0,"",AS9)&amp;IF(AW9=0,"",IF(AS9=0,"","、")&amp;AW9)&amp;IF(BA9=0,"",IF(AND(AS9=0,AW9=0),"","、")&amp;BA9)</f>
        <v/>
      </c>
      <c r="BE7" s="250" t="str">
        <f t="shared" si="1"/>
        <v/>
      </c>
      <c r="BF7" s="198" t="str">
        <f t="array" ref="BF7">INDEX(BE:BE,SMALL(IF($BE$2:$BE$143&lt;&gt;"",ROW($2:$143),144),ROW(BE6)))&amp;""</f>
        <v/>
      </c>
      <c r="BG7" s="156" t="str">
        <f>IF(主要!C89="",0,主要!C89)</f>
        <v>技能熟练项</v>
      </c>
      <c r="BH7" s="130" t="str">
        <f t="shared" si="2"/>
        <v/>
      </c>
      <c r="BI7" s="155">
        <f t="shared" si="3"/>
        <v>1</v>
      </c>
      <c r="BJ7" s="130"/>
      <c r="BK7" s="180" t="s">
        <v>1598</v>
      </c>
      <c r="BL7" s="180" t="s">
        <v>1599</v>
      </c>
      <c r="BM7" s="180" t="s">
        <v>1600</v>
      </c>
      <c r="BN7" s="180" t="s">
        <v>1601</v>
      </c>
      <c r="BO7" s="180" t="s">
        <v>1602</v>
      </c>
      <c r="BP7" s="180" t="s">
        <v>1603</v>
      </c>
      <c r="BQ7" s="180" t="s">
        <v>1604</v>
      </c>
      <c r="BR7" s="180" t="s">
        <v>1605</v>
      </c>
      <c r="BS7" s="130"/>
      <c r="BT7" s="130"/>
      <c r="BU7" s="180" t="s">
        <v>1606</v>
      </c>
      <c r="BV7" s="180" t="s">
        <v>1607</v>
      </c>
      <c r="BW7" s="180" t="s">
        <v>1608</v>
      </c>
      <c r="BX7" s="180" t="s">
        <v>1609</v>
      </c>
      <c r="BY7" s="180" t="s">
        <v>1610</v>
      </c>
      <c r="BZ7" s="180" t="s">
        <v>1611</v>
      </c>
      <c r="CA7" s="180" t="s">
        <v>1612</v>
      </c>
      <c r="CB7" s="180" t="s">
        <v>1613</v>
      </c>
    </row>
    <row r="8" spans="1:80" ht="14.4" customHeight="1" x14ac:dyDescent="0.25">
      <c r="A8" s="246" t="s">
        <v>1614</v>
      </c>
      <c r="B8" s="106" t="s">
        <v>1615</v>
      </c>
      <c r="C8" s="106" t="s">
        <v>1616</v>
      </c>
      <c r="D8" s="106" t="s">
        <v>1617</v>
      </c>
      <c r="E8" s="237" t="str">
        <f>IF(综合数据!B3=TRUE,"破誓者","")</f>
        <v>破誓者</v>
      </c>
      <c r="F8" s="259" t="str">
        <f>IF(综合数据!B5=TRUE,"王冠之誓","")</f>
        <v>王冠之誓</v>
      </c>
      <c r="G8" s="251" t="str">
        <f>IF(综合数据!B7=TRUE,"征服之誓","")</f>
        <v>征服之誓</v>
      </c>
      <c r="H8" s="251" t="str">
        <f>IF(综合数据!B7=TRUE,"救赎之誓","")</f>
        <v>救赎之誓</v>
      </c>
      <c r="I8" s="252" t="str">
        <f>IF(综合数据!B13=TRUE,"荣耀之誓","")</f>
        <v>荣耀之誓</v>
      </c>
      <c r="J8" s="253" t="str">
        <f>IF(综合数据!B14=TRUE,"守望之誓","")</f>
        <v>守望之誓</v>
      </c>
      <c r="K8" s="130"/>
      <c r="L8" s="130"/>
      <c r="M8" s="130"/>
      <c r="N8" s="130"/>
      <c r="O8" s="130"/>
      <c r="P8" s="130"/>
      <c r="Q8" s="130"/>
      <c r="R8" s="130"/>
      <c r="S8" s="155"/>
      <c r="U8" s="246" t="s">
        <v>1614</v>
      </c>
      <c r="V8" s="119" t="s">
        <v>1566</v>
      </c>
      <c r="W8" s="119" t="s">
        <v>1567</v>
      </c>
      <c r="X8" s="119" t="s">
        <v>1446</v>
      </c>
      <c r="Y8" s="119"/>
      <c r="Z8" s="119" t="s">
        <v>1510</v>
      </c>
      <c r="AA8" s="119" t="s">
        <v>1618</v>
      </c>
      <c r="AB8" s="119" t="str">
        <f>AB2</f>
        <v>4、8、12、16、19</v>
      </c>
      <c r="AC8" s="119" t="s">
        <v>1445</v>
      </c>
      <c r="AD8" s="119" t="s">
        <v>1446</v>
      </c>
      <c r="AE8" s="119"/>
      <c r="AF8" s="119"/>
      <c r="AG8" s="130">
        <f t="shared" si="0"/>
        <v>0</v>
      </c>
      <c r="AH8" s="130">
        <f>IF(AG8&gt;=2,IF(SUM(AG3:AG5)+COUNTIF(AD16:AD18,D6)+ROUNDDOWN(AG9/2, )+COUNTIF(AD16:AD18,D10)+AG11+SUM(AG13:AG14)=0,ROUNDUP(AG8/2, ),ROUNDDOWN(AG8/2, )),0)</f>
        <v>0</v>
      </c>
      <c r="AI8" s="130" t="str">
        <f>IF(AND(SUM(主要!I14:M14)&gt;=13,SUM(主要!I19:M19)&gt;=13,$AC$16&lt;&gt;0,$AC$16&lt;&gt;$A8,主要!Y3-主要!Y4&gt;=1),$A8,"")</f>
        <v/>
      </c>
      <c r="AJ8" s="130" t="str">
        <f>IF(AND($AC$17&lt;&gt;0,$AC$17&lt;&gt;$A8,AI8&lt;&gt;"",主要!Y3-主要!Y4-主要!Y6&gt;=1),$A8,"")</f>
        <v/>
      </c>
      <c r="AK8" s="130" t="str">
        <f>IF(AG8&gt;=3,7,"")</f>
        <v/>
      </c>
      <c r="AL8" s="157" t="e">
        <f t="array" ref="AL8">INDEX(AI:AI,SMALL(IF($AI$18:$AI$35&lt;&gt;"",ROW($18:$35),36),ROW(AI6)))&amp;""</f>
        <v>#N/A</v>
      </c>
      <c r="AM8" s="247" t="s">
        <v>1619</v>
      </c>
      <c r="AN8" s="247"/>
      <c r="AO8" s="247">
        <v>61</v>
      </c>
      <c r="AP8" s="247">
        <f>IF($AG$2&gt;=14,65,IF($AG$2&gt;=10,64,IF($AG$2&gt;=6,63,IF($AG$2&gt;=3,62,0))))</f>
        <v>0</v>
      </c>
      <c r="AQ8" s="115"/>
      <c r="AR8" s="119" t="s">
        <v>234</v>
      </c>
      <c r="AS8" s="119">
        <f>IFERROR(INDEX(V2:AB14,$AQ$3,3),0)</f>
        <v>0</v>
      </c>
      <c r="AT8" s="116"/>
      <c r="AU8" s="115"/>
      <c r="AV8" s="119" t="s">
        <v>234</v>
      </c>
      <c r="AW8" s="119">
        <f>IFERROR(INDEX(AC2:AF14,$AU$3,2),0)</f>
        <v>0</v>
      </c>
      <c r="AX8" s="116"/>
      <c r="AY8" s="115"/>
      <c r="AZ8" s="119" t="s">
        <v>234</v>
      </c>
      <c r="BA8" s="119">
        <f>IFERROR(INDEX(AC2:AF14,$AY$3,2),0)</f>
        <v>0</v>
      </c>
      <c r="BB8" s="116"/>
      <c r="BC8" s="118" t="s">
        <v>236</v>
      </c>
      <c r="BD8" s="119" t="str">
        <f>AQ7</f>
        <v/>
      </c>
      <c r="BE8" s="250" t="str">
        <f t="shared" si="1"/>
        <v/>
      </c>
      <c r="BF8" s="198" t="str">
        <f t="array" ref="BF8">INDEX(BE:BE,SMALL(IF($BE$2:$BE$143&lt;&gt;"",ROW($2:$143),144),ROW(BE7)))&amp;""</f>
        <v/>
      </c>
      <c r="BG8" s="156" t="str">
        <f>IF(主要!C90="",0,主要!C90)</f>
        <v>属性值提升</v>
      </c>
      <c r="BH8" s="130" t="str">
        <f t="shared" si="2"/>
        <v>当达到第级时，你可以选择一项属性值提升2点，或是选择两项属性各提升1点。不过你不能通过此特性让属性值超过20</v>
      </c>
      <c r="BI8" s="155">
        <f t="shared" si="3"/>
        <v>1</v>
      </c>
      <c r="BJ8" s="130"/>
      <c r="BK8" s="180" t="s">
        <v>1620</v>
      </c>
      <c r="BL8" s="180" t="s">
        <v>1621</v>
      </c>
      <c r="BM8" s="130"/>
      <c r="BN8" s="130"/>
      <c r="BO8" s="180" t="s">
        <v>1622</v>
      </c>
      <c r="BP8" s="130"/>
      <c r="BQ8" s="130"/>
      <c r="BR8" s="130"/>
      <c r="BS8" s="130"/>
      <c r="BT8" s="130"/>
      <c r="BU8" s="130"/>
      <c r="BV8" s="130"/>
      <c r="BW8" s="130"/>
      <c r="BX8" s="130"/>
      <c r="BY8" s="130"/>
      <c r="BZ8" s="130"/>
    </row>
    <row r="9" spans="1:80" ht="14.4" customHeight="1" x14ac:dyDescent="0.25">
      <c r="A9" s="249" t="s">
        <v>1623</v>
      </c>
      <c r="B9" s="106" t="s">
        <v>1624</v>
      </c>
      <c r="C9" s="106" t="s">
        <v>1625</v>
      </c>
      <c r="D9" s="251" t="str">
        <f>IF(综合数据!B7=TRUE,"幽域追踪者","")</f>
        <v>幽域追踪者</v>
      </c>
      <c r="E9" s="251" t="str">
        <f>IF(综合数据!B7=TRUE,"边界行者","")</f>
        <v>边界行者</v>
      </c>
      <c r="F9" s="251" t="str">
        <f>IF(综合数据!B7=TRUE,"怪物杀手","")</f>
        <v>怪物杀手</v>
      </c>
      <c r="G9" s="253" t="str">
        <f>IF(综合数据!B14=TRUE,"集群守卫","")</f>
        <v>集群守卫</v>
      </c>
      <c r="H9" s="253" t="str">
        <f>IF(综合数据!B14=TRUE,"妖精漫游者","")</f>
        <v>妖精漫游者</v>
      </c>
      <c r="I9" s="260" t="str">
        <f>IF(综合数据!B16=TRUE,"龙兽守卫","")</f>
        <v>龙兽守卫</v>
      </c>
      <c r="J9" s="130"/>
      <c r="K9" s="130"/>
      <c r="L9" s="130"/>
      <c r="M9" s="130"/>
      <c r="N9" s="130"/>
      <c r="O9" s="130"/>
      <c r="P9" s="130"/>
      <c r="Q9" s="130"/>
      <c r="R9" s="130"/>
      <c r="S9" s="155"/>
      <c r="U9" s="246" t="s">
        <v>1623</v>
      </c>
      <c r="V9" s="119" t="s">
        <v>1566</v>
      </c>
      <c r="W9" s="119" t="s">
        <v>1445</v>
      </c>
      <c r="X9" s="119" t="s">
        <v>1446</v>
      </c>
      <c r="Y9" s="119"/>
      <c r="Z9" s="119" t="s">
        <v>1594</v>
      </c>
      <c r="AA9" s="119" t="s">
        <v>1626</v>
      </c>
      <c r="AB9" s="119" t="str">
        <f>AB2</f>
        <v>4、8、12、16、19</v>
      </c>
      <c r="AC9" s="119" t="s">
        <v>1445</v>
      </c>
      <c r="AD9" s="119" t="s">
        <v>1446</v>
      </c>
      <c r="AE9" s="119"/>
      <c r="AF9" s="119" t="s">
        <v>1627</v>
      </c>
      <c r="AG9" s="130">
        <f t="shared" si="0"/>
        <v>0</v>
      </c>
      <c r="AH9" s="130">
        <f>IF(AG9&gt;=2,IF(SUM(AG3:AG5)+COUNTIF(AD16:AD18,D6)+ROUNDDOWN(AG8/2, )+COUNTIF(AD16:AD18,D10)+AG11+SUM(AG13:AG14)=0,ROUNDUP(AG9/2, ),ROUNDDOWN(AG9/2, )),0)</f>
        <v>0</v>
      </c>
      <c r="AI9" s="130" t="str">
        <f>IF(AND(SUM(主要!I15:M15)&gt;=13,SUM(主要!I18:M18)&gt;=13,$AC$16&lt;&gt;0,$AC$16&lt;&gt;$A9,主要!Y3-主要!Y4&gt;=1),$A9,"")</f>
        <v/>
      </c>
      <c r="AJ9" s="130" t="str">
        <f>IF(AND($AC$17&lt;&gt;0,$AC$17&lt;&gt;$A9,AI9&lt;&gt;"",主要!Y3-主要!Y4-主要!Y6&gt;=1),$A9,"")</f>
        <v/>
      </c>
      <c r="AK9" s="130" t="str">
        <f>IF(AG9&gt;=3,8,"")</f>
        <v/>
      </c>
      <c r="AL9" s="157" t="e">
        <f t="array" ref="AL9">INDEX(AI:AI,SMALL(IF($AI$18:$AI$35&lt;&gt;"",ROW($18:$35),36),ROW(AI7)))&amp;""</f>
        <v>#N/A</v>
      </c>
      <c r="AM9" s="248" t="s">
        <v>1628</v>
      </c>
      <c r="AN9" s="248"/>
      <c r="AO9" s="248">
        <v>66</v>
      </c>
      <c r="AP9" s="248">
        <f>IF($AG$2&gt;=14,70,IF($AG$2&gt;=10,69,IF($AG$2&gt;=6,68,IF($AG$2&gt;=3,67,0))))</f>
        <v>0</v>
      </c>
      <c r="AQ9" s="115"/>
      <c r="AR9" s="119" t="s">
        <v>235</v>
      </c>
      <c r="AS9" s="119">
        <f>IFERROR(INDEX(V2:AB14,$AQ$3,4),0)</f>
        <v>0</v>
      </c>
      <c r="AT9" s="116"/>
      <c r="AU9" s="115"/>
      <c r="AV9" s="119" t="s">
        <v>235</v>
      </c>
      <c r="AW9" s="119">
        <f>IFERROR(INDEX(AC2:AF14,$AU$3,3),0)</f>
        <v>0</v>
      </c>
      <c r="AX9" s="116"/>
      <c r="AY9" s="115"/>
      <c r="AZ9" s="119" t="s">
        <v>235</v>
      </c>
      <c r="BA9" s="119">
        <f>IFERROR(INDEX(AC2:AF14,$AY$3,3),0)</f>
        <v>0</v>
      </c>
      <c r="BB9" s="116"/>
      <c r="BC9" s="118" t="s">
        <v>237</v>
      </c>
      <c r="BD9" s="119" t="str">
        <f>AS10&amp;IF(AW10=0,"",AW10)&amp;IF(BA10=0,"",BA10)</f>
        <v/>
      </c>
      <c r="BE9" s="250" t="str">
        <f t="shared" ref="BE9:BE24" si="4">IFERROR(IF(OR(BC11="",COUNTIF($BG$2:$BG$46,BC11)),"",BC11),"")</f>
        <v/>
      </c>
      <c r="BF9" s="198" t="str">
        <f t="array" ref="BF9">INDEX(BE:BE,SMALL(IF($BE$2:$BE$143&lt;&gt;"",ROW($2:$143),144),ROW(BE8)))&amp;""</f>
        <v/>
      </c>
      <c r="BG9" s="156">
        <f>IF(主要!C91="",0,主要!C91)</f>
        <v>0</v>
      </c>
      <c r="BH9" s="130" t="str">
        <f t="shared" si="2"/>
        <v/>
      </c>
      <c r="BI9" s="155" t="str">
        <f t="shared" si="3"/>
        <v/>
      </c>
      <c r="BJ9" s="130"/>
      <c r="BK9" s="180" t="s">
        <v>1629</v>
      </c>
      <c r="BL9" s="180" t="s">
        <v>1630</v>
      </c>
      <c r="BM9" s="130"/>
      <c r="BN9" s="130"/>
      <c r="BO9" s="180" t="s">
        <v>1631</v>
      </c>
      <c r="BP9" s="130"/>
      <c r="BQ9" s="130"/>
      <c r="BR9" s="130"/>
      <c r="BS9" s="130"/>
      <c r="BT9" s="130"/>
      <c r="BU9" s="130"/>
      <c r="BV9" s="130"/>
      <c r="BW9" s="130"/>
      <c r="BX9" s="130"/>
      <c r="BY9" s="130"/>
      <c r="BZ9" s="130"/>
    </row>
    <row r="10" spans="1:80" ht="14.4" customHeight="1" x14ac:dyDescent="0.25">
      <c r="A10" s="246" t="s">
        <v>1632</v>
      </c>
      <c r="B10" s="106" t="s">
        <v>1633</v>
      </c>
      <c r="C10" s="106" t="s">
        <v>1634</v>
      </c>
      <c r="D10" s="106" t="s">
        <v>1635</v>
      </c>
      <c r="E10" s="251" t="str">
        <f>IF(综合数据!B7=TRUE,"审判官","")</f>
        <v>审判官</v>
      </c>
      <c r="F10" s="251" t="str">
        <f>IF(综合数据!B7=TRUE,"策士","")</f>
        <v>策士</v>
      </c>
      <c r="G10" s="251" t="str">
        <f>IF(综合数据!B7=TRUE,"斥候","")</f>
        <v>斥候</v>
      </c>
      <c r="H10" s="251" t="str">
        <f>IF(综合数据!B7=TRUE,"游荡剑客","")</f>
        <v>游荡剑客</v>
      </c>
      <c r="I10" s="253" t="str">
        <f>IF(综合数据!B14=TRUE,"鬼魅","")</f>
        <v>鬼魅</v>
      </c>
      <c r="J10" s="253" t="str">
        <f>IF(综合数据!B14=TRUE,"魂刃","")</f>
        <v>魂刃</v>
      </c>
      <c r="K10" s="130"/>
      <c r="L10" s="130"/>
      <c r="M10" s="130"/>
      <c r="N10" s="130"/>
      <c r="O10" s="130"/>
      <c r="P10" s="130"/>
      <c r="Q10" s="130"/>
      <c r="R10" s="130"/>
      <c r="S10" s="155"/>
      <c r="U10" s="246" t="s">
        <v>1632</v>
      </c>
      <c r="V10" s="119" t="s">
        <v>1474</v>
      </c>
      <c r="W10" s="119" t="s">
        <v>1475</v>
      </c>
      <c r="X10" s="119" t="s">
        <v>1476</v>
      </c>
      <c r="Y10" s="119" t="str">
        <f>IF(COUNTIF(AC16:AC18,A14),0,"盗贼工具")</f>
        <v>盗贼工具</v>
      </c>
      <c r="Z10" s="119" t="s">
        <v>1636</v>
      </c>
      <c r="AA10" s="119" t="s">
        <v>1637</v>
      </c>
      <c r="AB10" s="119" t="s">
        <v>1638</v>
      </c>
      <c r="AC10" s="119" t="s">
        <v>1475</v>
      </c>
      <c r="AD10" s="119"/>
      <c r="AE10" s="119" t="str">
        <f>IF(COUNTIF(AC16:AC18,A14),0,"盗贼工具")</f>
        <v>盗贼工具</v>
      </c>
      <c r="AF10" s="119" t="s">
        <v>1639</v>
      </c>
      <c r="AG10" s="130">
        <f t="shared" si="0"/>
        <v>0</v>
      </c>
      <c r="AH10" s="130">
        <f>IF(AND(COUNTIF(AD16:AD18,D10),AG10&gt;=3),IF(SUM(AG3:AG5)+COUNTIF(AD16:AD18,D6)+ROUNDDOWN(AG8/2, )+ROUNDDOWN(AG9/2, )+AG11+SUM(AG13:AG14)=0,ROUNDUP(AG10/3, ),ROUNDDOWN(AG10/3, )),0)</f>
        <v>0</v>
      </c>
      <c r="AI10" s="130" t="str">
        <f>IF(AND(SUM(主要!I15:M15)&gt;=13,$AC$16&lt;&gt;0,$AC$16&lt;&gt;$A10,主要!Y3-主要!Y4&gt;=1),$A10,"")</f>
        <v/>
      </c>
      <c r="AJ10" s="130" t="str">
        <f>IF(AND($AC$17&lt;&gt;0,$AC$17&lt;&gt;$A10,AI10&lt;&gt;"",主要!Y3-主要!Y4-主要!Y6&gt;=1),$A10,"")</f>
        <v/>
      </c>
      <c r="AK10" s="130" t="str">
        <f>IF(AG10&gt;=3,9,"")</f>
        <v/>
      </c>
      <c r="AL10" s="157" t="e">
        <f t="array" ref="AL10">INDEX(AI:AI,SMALL(IF($AI$18:$AI$35&lt;&gt;"",ROW($18:$35),36),ROW(AI8)))&amp;""</f>
        <v>#N/A</v>
      </c>
      <c r="AM10" s="248" t="s">
        <v>1640</v>
      </c>
      <c r="AN10" s="248"/>
      <c r="AO10" s="248">
        <v>71</v>
      </c>
      <c r="AP10" s="248">
        <f>IF($AG$2&gt;=14,77,IF($AG$2&gt;=10,76,IF($AG$2&gt;=6,55,IF($AG$2&gt;=3,71,0))))</f>
        <v>0</v>
      </c>
      <c r="AQ10" s="115"/>
      <c r="AR10" s="119" t="s">
        <v>237</v>
      </c>
      <c r="AS10" s="119" t="str">
        <f>IFERROR(INDEX(V2:AB14,$AQ$3,6),"")</f>
        <v/>
      </c>
      <c r="AT10" s="116"/>
      <c r="AU10" s="115"/>
      <c r="AV10" s="119" t="s">
        <v>237</v>
      </c>
      <c r="AW10" s="119">
        <f>IFERROR(INDEX(AC2:AF14,$AU$3,4),0)</f>
        <v>0</v>
      </c>
      <c r="AX10" s="116"/>
      <c r="AY10" s="115"/>
      <c r="AZ10" s="119" t="s">
        <v>237</v>
      </c>
      <c r="BA10" s="119">
        <f>IFERROR(INDEX(AC2:AF14,$AY$3,4),0)</f>
        <v>0</v>
      </c>
      <c r="BB10" s="116"/>
      <c r="BC10" s="118" t="s">
        <v>238</v>
      </c>
      <c r="BD10" s="119" t="str">
        <f>IF(AC16&gt;0,"当达到第"&amp;IFERROR(INDEX(AQ11:BB11,1,$BD$2),"")&amp;"级时，你可以选择一项属性值提升2点，或是选择两项属性各提升1点。不过你不能通过此特性让属性值超过20","")</f>
        <v>当达到第级时，你可以选择一项属性值提升2点，或是选择两项属性各提升1点。不过你不能通过此特性让属性值超过20</v>
      </c>
      <c r="BE10" s="250" t="str">
        <f t="shared" si="4"/>
        <v/>
      </c>
      <c r="BF10" s="198" t="str">
        <f t="array" ref="BF10">INDEX(BE:BE,SMALL(IF($BE$2:$BE$143&lt;&gt;"",ROW($2:$143),144),ROW(BE9)))&amp;""</f>
        <v/>
      </c>
      <c r="BG10" s="156">
        <f>IF(主要!C92="",0,主要!C92)</f>
        <v>0</v>
      </c>
      <c r="BH10" s="130" t="str">
        <f t="shared" si="2"/>
        <v/>
      </c>
      <c r="BI10" s="155" t="str">
        <f t="shared" ref="BI10:BI46" si="5">IF($BG10=0,"",COUNTIF($BG$2:$BG$46,$BG10))</f>
        <v/>
      </c>
      <c r="BJ10" s="130"/>
      <c r="BK10" s="130"/>
      <c r="BL10" s="180" t="s">
        <v>1641</v>
      </c>
      <c r="BM10" s="130"/>
      <c r="BN10" s="130"/>
      <c r="BO10" s="130"/>
      <c r="BP10" s="130"/>
      <c r="BQ10" s="130"/>
      <c r="BR10" s="130"/>
      <c r="BS10" s="130"/>
      <c r="BT10" s="130"/>
      <c r="BU10" s="130"/>
      <c r="BV10" s="130"/>
      <c r="BW10" s="130"/>
      <c r="BX10" s="130"/>
      <c r="BY10" s="130"/>
      <c r="BZ10" s="261"/>
      <c r="CA10" s="262"/>
    </row>
    <row r="11" spans="1:80" ht="14.4" customHeight="1" x14ac:dyDescent="0.25">
      <c r="A11" s="246" t="s">
        <v>1642</v>
      </c>
      <c r="B11" s="106" t="s">
        <v>1643</v>
      </c>
      <c r="C11" s="106" t="s">
        <v>1644</v>
      </c>
      <c r="D11" s="251" t="str">
        <f>IF(综合数据!B7=TRUE,"神性之魂","")</f>
        <v>神性之魂</v>
      </c>
      <c r="E11" s="251" t="str">
        <f>IF(综合数据!B7=TRUE,"幽影魔法","")</f>
        <v>幽影魔法</v>
      </c>
      <c r="F11" s="251" t="str">
        <f>IF(综合数据!B7=TRUE,"风暴术法","")</f>
        <v>风暴术法</v>
      </c>
      <c r="G11" s="253" t="str">
        <f>IF(综合数据!B14=TRUE,"畸变心智","")</f>
        <v>畸变心智</v>
      </c>
      <c r="H11" s="253" t="str">
        <f>IF(综合数据!B14=TRUE,"时械之魂","")</f>
        <v>时械之魂</v>
      </c>
      <c r="I11" s="130"/>
      <c r="J11" s="130"/>
      <c r="K11" s="130"/>
      <c r="L11" s="130"/>
      <c r="M11" s="130"/>
      <c r="N11" s="130"/>
      <c r="O11" s="130"/>
      <c r="P11" s="130"/>
      <c r="Q11" s="130"/>
      <c r="R11" s="130"/>
      <c r="S11" s="155"/>
      <c r="U11" s="246" t="s">
        <v>1642</v>
      </c>
      <c r="V11" s="119" t="s">
        <v>1645</v>
      </c>
      <c r="W11" s="119"/>
      <c r="X11" s="119" t="s">
        <v>1646</v>
      </c>
      <c r="Y11" s="119"/>
      <c r="Z11" s="119" t="s">
        <v>1647</v>
      </c>
      <c r="AA11" s="119" t="s">
        <v>1648</v>
      </c>
      <c r="AB11" s="119" t="str">
        <f>AB2</f>
        <v>4、8、12、16、19</v>
      </c>
      <c r="AC11" s="119"/>
      <c r="AD11" s="119"/>
      <c r="AE11" s="119"/>
      <c r="AF11" s="119"/>
      <c r="AG11" s="130">
        <f t="shared" si="0"/>
        <v>0</v>
      </c>
      <c r="AH11" s="130">
        <f>AG11</f>
        <v>0</v>
      </c>
      <c r="AI11" s="130" t="str">
        <f>IF(AND(SUM(主要!I19:M19)&gt;=13,$AC$16&lt;&gt;0,$AC$16&lt;&gt;$A11,主要!Y3-主要!Y4&gt;=1),$A11,"")</f>
        <v/>
      </c>
      <c r="AJ11" s="130" t="str">
        <f>IF(AND($AC$17&lt;&gt;0,$AC$17&lt;&gt;$A11,AI11&lt;&gt;"",主要!Y3-主要!Y4-主要!Y6&gt;=1),$A11,"")</f>
        <v/>
      </c>
      <c r="AK11" s="130">
        <v>10</v>
      </c>
      <c r="AL11" s="157" t="e">
        <f t="array" ref="AL11">INDEX(AI:AI,SMALL(IF($AI$18:$AI$35&lt;&gt;"",ROW($18:$35),36),ROW(AI9)))&amp;""</f>
        <v>#N/A</v>
      </c>
      <c r="AM11" s="249" t="s">
        <v>1471</v>
      </c>
      <c r="AN11" s="249">
        <v>2</v>
      </c>
      <c r="AO11" s="249">
        <v>1</v>
      </c>
      <c r="AP11" s="249">
        <f>IF($AG$3=20,18,IF($AG$3&gt;=10,17,IF($AG$3&gt;=6,16,IF($AG$3&gt;=5,15,IF($AG$3&gt;=4,14,IF($AG$3&gt;=3,13,IF($AG$3&gt;=2,11,IF($AG$3&gt;=1,8,0))))))))</f>
        <v>0</v>
      </c>
      <c r="AQ11" s="115"/>
      <c r="AR11" s="119" t="s">
        <v>238</v>
      </c>
      <c r="AS11" s="130">
        <f>IFERROR(INDEX(V2:AB14,$AQ$3,7),0)</f>
        <v>0</v>
      </c>
      <c r="AT11" s="116"/>
      <c r="AU11" s="115"/>
      <c r="AV11" s="106" t="s">
        <v>238</v>
      </c>
      <c r="AW11" s="130">
        <f>IFERROR(INDEX(V2:AB14,$AU$3,7),0)</f>
        <v>0</v>
      </c>
      <c r="AX11" s="155"/>
      <c r="AY11" s="115"/>
      <c r="AZ11" s="106" t="s">
        <v>238</v>
      </c>
      <c r="BA11" s="130">
        <f>IFERROR(INDEX(V2:AB14,$AY$3,7),0)</f>
        <v>0</v>
      </c>
      <c r="BB11" s="155"/>
      <c r="BC11" s="118" t="str">
        <f>IFERROR(INDEX($AQ$12:$BF$87,1,$BC$2),"")</f>
        <v/>
      </c>
      <c r="BD11" s="119" t="str">
        <f>IFERROR(INDEX($AQ$12:$BF$87,1,$BD$2),"")</f>
        <v/>
      </c>
      <c r="BE11" s="250" t="str">
        <f t="shared" si="4"/>
        <v/>
      </c>
      <c r="BF11" s="198" t="str">
        <f t="array" ref="BF11">INDEX(BE:BE,SMALL(IF($BE$2:$BE$143&lt;&gt;"",ROW($2:$143),144),ROW(BE10)))&amp;""</f>
        <v/>
      </c>
      <c r="BG11" s="156">
        <f>IF(主要!C93="",0,主要!C93)</f>
        <v>0</v>
      </c>
      <c r="BH11" s="130" t="str">
        <f t="shared" si="2"/>
        <v/>
      </c>
      <c r="BI11" s="155" t="str">
        <f t="shared" si="5"/>
        <v/>
      </c>
      <c r="BJ11" s="130"/>
      <c r="BK11" s="130"/>
      <c r="BL11" s="180" t="s">
        <v>1649</v>
      </c>
      <c r="BM11" s="130"/>
      <c r="BN11" s="130"/>
      <c r="BO11" s="130"/>
      <c r="BP11" s="130"/>
      <c r="BQ11" s="130"/>
      <c r="BR11" s="130"/>
      <c r="BS11" s="130"/>
      <c r="BT11" s="130"/>
      <c r="BU11" s="180"/>
      <c r="BV11" s="180"/>
      <c r="BW11" s="130"/>
      <c r="BX11" s="130"/>
      <c r="BY11" s="130"/>
      <c r="BZ11" s="261"/>
      <c r="CA11" s="262"/>
    </row>
    <row r="12" spans="1:80" ht="14.4" customHeight="1" x14ac:dyDescent="0.25">
      <c r="A12" s="246" t="s">
        <v>1650</v>
      </c>
      <c r="B12" s="106" t="s">
        <v>1651</v>
      </c>
      <c r="C12" s="106" t="s">
        <v>338</v>
      </c>
      <c r="D12" s="106" t="s">
        <v>1652</v>
      </c>
      <c r="E12" s="259" t="str">
        <f>IF(综合数据!B5=TRUE,"不朽者","")</f>
        <v>不朽者</v>
      </c>
      <c r="F12" s="251" t="str">
        <f>IF(综合数据!B7=TRUE,"天界宗主","")</f>
        <v>天界宗主</v>
      </c>
      <c r="G12" s="251" t="str">
        <f>IF(综合数据!B7=TRUE,"咒剑士","")</f>
        <v>咒剑士</v>
      </c>
      <c r="H12" s="253" t="str">
        <f>IF(综合数据!B14=TRUE,"巨灵宗主","")</f>
        <v>巨灵宗主</v>
      </c>
      <c r="I12" s="253" t="str">
        <f>IF(综合数据!B14=TRUE,"深海意志","")</f>
        <v>深海意志</v>
      </c>
      <c r="J12" s="263" t="str">
        <f>IF(综合数据!B15=TRUE,"死灵宗主","")</f>
        <v>死灵宗主</v>
      </c>
      <c r="K12" s="130"/>
      <c r="L12" s="130"/>
      <c r="M12" s="130"/>
      <c r="N12" s="130"/>
      <c r="O12" s="130"/>
      <c r="P12" s="130"/>
      <c r="Q12" s="130"/>
      <c r="R12" s="130"/>
      <c r="S12" s="155"/>
      <c r="U12" s="246" t="s">
        <v>1650</v>
      </c>
      <c r="V12" s="119" t="s">
        <v>1474</v>
      </c>
      <c r="W12" s="119" t="s">
        <v>1475</v>
      </c>
      <c r="X12" s="119" t="s">
        <v>1509</v>
      </c>
      <c r="Y12" s="119"/>
      <c r="Z12" s="119" t="s">
        <v>1653</v>
      </c>
      <c r="AA12" s="119" t="s">
        <v>1654</v>
      </c>
      <c r="AB12" s="119" t="str">
        <f>AB2</f>
        <v>4、8、12、16、19</v>
      </c>
      <c r="AC12" s="119" t="s">
        <v>1475</v>
      </c>
      <c r="AD12" s="119" t="s">
        <v>1509</v>
      </c>
      <c r="AE12" s="119"/>
      <c r="AF12" s="119"/>
      <c r="AG12" s="130">
        <f t="shared" si="0"/>
        <v>0</v>
      </c>
      <c r="AH12" s="130"/>
      <c r="AI12" s="130" t="str">
        <f>IF(AND(SUM(主要!I19:M19)&gt;=13,$AC$16&lt;&gt;0,$AC$16&lt;&gt;$A12,主要!Y3-主要!Y4&gt;=1),$A12,"")</f>
        <v/>
      </c>
      <c r="AJ12" s="130" t="str">
        <f>IF(AND($AC$17&lt;&gt;0,$AC$17&lt;&gt;$A12,AI12&lt;&gt;"",主要!Y3-主要!Y4-主要!Y6&gt;=1),$A12,"")</f>
        <v/>
      </c>
      <c r="AK12" s="130">
        <v>11</v>
      </c>
      <c r="AL12" s="157" t="e">
        <f t="array" ref="AL12">INDEX(AI:AI,SMALL(IF($AI$18:$AI$35&lt;&gt;"",ROW($18:$35),36),ROW(AI10)))&amp;""</f>
        <v>#N/A</v>
      </c>
      <c r="AM12" s="106" t="s">
        <v>1472</v>
      </c>
      <c r="AN12" s="106"/>
      <c r="AO12" s="106">
        <v>19</v>
      </c>
      <c r="AP12" s="106">
        <f>IF($AG$3&gt;=14,22,IF($AG$3&gt;=6,21,IF($AG$3&gt;=3,20,0)))</f>
        <v>0</v>
      </c>
      <c r="AQ12" s="115" t="e">
        <f t="shared" ref="AQ12:AQ43" si="6">IF(AQ11+1&gt;$AT$3,IF(AQ11+1&gt;$AT$3,IF($AS$4+AT11&gt;$AT$4,"",$AS$4+AT11)),AQ11+1)</f>
        <v>#N/A</v>
      </c>
      <c r="AR12" s="119" t="e">
        <f t="shared" ref="AR12:AR43" si="7">INDEX($B$17:$AA$154,AQ12,$AR$4)</f>
        <v>#N/A</v>
      </c>
      <c r="AS12" s="119" t="e">
        <f t="shared" ref="AS12:AS43" si="8">INDEX($B$17:$AA$154,AQ12,$AR$3)</f>
        <v>#N/A</v>
      </c>
      <c r="AT12" s="116" t="e">
        <f t="shared" ref="AT12:AT43" si="9">IF(AQ11+1&gt;$AT$3,AT11+1,0)</f>
        <v>#N/A</v>
      </c>
      <c r="AU12" s="115" t="e">
        <f t="shared" ref="AU12:AU43" si="10">IF($AU11+1&gt;$AX$3,IF($AU11+1&gt;$AX$3,IF($AW$4+AX11&gt;$AX$4,"",$AW$4+AX11)),$AU11+1)</f>
        <v>#N/A</v>
      </c>
      <c r="AV12" s="119" t="e">
        <f t="shared" ref="AV12:AV43" si="11">INDEX($B$17:$AA$154,AU12,$AV$4)</f>
        <v>#N/A</v>
      </c>
      <c r="AW12" s="119" t="e">
        <f t="shared" ref="AW12:AW43" si="12">INDEX($B$17:$AA$154,AU12,$AV$3)</f>
        <v>#N/A</v>
      </c>
      <c r="AX12" s="116" t="e">
        <f t="shared" ref="AX12:AX43" si="13">IF($AU11+1&gt;$AX$3,$AX11+1,0)</f>
        <v>#N/A</v>
      </c>
      <c r="AY12" s="115" t="e">
        <f t="shared" ref="AY12:AY43" si="14">IF($AY11+1&gt;$BB$3,IF($AY11+1&gt;$BB$3,IF($BA$4+BB11&gt;$BB$4,"",$BA$4+BB11)),$AY11+1)</f>
        <v>#N/A</v>
      </c>
      <c r="AZ12" s="119" t="e">
        <f t="shared" ref="AZ12:AZ43" si="15">INDEX($B$17:$AA$154,AY12,$AZ$4)</f>
        <v>#N/A</v>
      </c>
      <c r="BA12" s="119" t="e">
        <f t="shared" ref="BA12:BA43" si="16">INDEX($B$17:$AA$154,AY12,$AZ$3)</f>
        <v>#N/A</v>
      </c>
      <c r="BB12" s="116" t="e">
        <f t="shared" ref="BB12:BB43" si="17">IF($AY11+1&gt;$BB$3,$BB11+1,0)</f>
        <v>#N/A</v>
      </c>
      <c r="BC12" s="118" t="str">
        <f>IFERROR(INDEX($AQ$12:$BF$87,2,$BC$2),"")</f>
        <v/>
      </c>
      <c r="BD12" s="119" t="str">
        <f>IFERROR(INDEX($AQ$12:$BF$87,2,$BD$2),"")</f>
        <v/>
      </c>
      <c r="BE12" s="250" t="str">
        <f t="shared" si="4"/>
        <v/>
      </c>
      <c r="BF12" s="198" t="str">
        <f t="array" ref="BF12">INDEX(BE:BE,SMALL(IF($BE$2:$BE$143&lt;&gt;"",ROW($2:$143),144),ROW(BE11)))&amp;""</f>
        <v/>
      </c>
      <c r="BG12" s="156">
        <f>IF(主要!C94="",0,主要!C94)</f>
        <v>0</v>
      </c>
      <c r="BH12" s="130" t="str">
        <f t="shared" si="2"/>
        <v/>
      </c>
      <c r="BI12" s="155" t="str">
        <f t="shared" si="5"/>
        <v/>
      </c>
      <c r="BJ12" s="130"/>
      <c r="BK12" s="130"/>
      <c r="BL12" s="130"/>
      <c r="BM12" s="130"/>
      <c r="BN12" s="130"/>
      <c r="BO12" s="130"/>
      <c r="BP12" s="130"/>
      <c r="BQ12" s="130"/>
      <c r="BR12" s="130"/>
      <c r="BS12" s="130"/>
      <c r="BT12" s="130"/>
      <c r="BU12" s="130"/>
      <c r="BV12" s="130"/>
      <c r="BW12" s="130"/>
      <c r="BX12" s="130"/>
      <c r="BY12" s="130"/>
      <c r="BZ12" s="261"/>
      <c r="CA12" s="262"/>
    </row>
    <row r="13" spans="1:80" ht="14.4" customHeight="1" x14ac:dyDescent="0.25">
      <c r="A13" s="246" t="s">
        <v>1655</v>
      </c>
      <c r="B13" s="106" t="s">
        <v>1656</v>
      </c>
      <c r="C13" s="106" t="s">
        <v>1657</v>
      </c>
      <c r="D13" s="106" t="s">
        <v>1658</v>
      </c>
      <c r="E13" s="106" t="s">
        <v>1659</v>
      </c>
      <c r="F13" s="106" t="s">
        <v>1660</v>
      </c>
      <c r="G13" s="106" t="s">
        <v>1661</v>
      </c>
      <c r="H13" s="106" t="s">
        <v>1662</v>
      </c>
      <c r="I13" s="106" t="s">
        <v>1663</v>
      </c>
      <c r="J13" s="259" t="str">
        <f>IF(综合数据!B5=TRUE,"剑咏者","")</f>
        <v>剑咏者</v>
      </c>
      <c r="K13" s="251" t="str">
        <f>IF(综合数据!B7=TRUE,"战法师","")</f>
        <v>战法师</v>
      </c>
      <c r="L13" s="264" t="str">
        <f>IF(综合数据!B11=TRUE,"时间魔法","")</f>
        <v>时间魔法</v>
      </c>
      <c r="M13" s="264" t="str">
        <f>IF(综合数据!B11=TRUE,"重力魔法","")</f>
        <v>重力魔法</v>
      </c>
      <c r="N13" s="253" t="str">
        <f>IF(综合数据!B14=TRUE,"书士会","")</f>
        <v>书士会</v>
      </c>
      <c r="O13" s="130"/>
      <c r="P13" s="130"/>
      <c r="Q13" s="130"/>
      <c r="R13" s="130"/>
      <c r="S13" s="155"/>
      <c r="U13" s="246" t="s">
        <v>1655</v>
      </c>
      <c r="V13" s="119" t="s">
        <v>1645</v>
      </c>
      <c r="W13" s="119"/>
      <c r="X13" s="119" t="s">
        <v>1646</v>
      </c>
      <c r="Y13" s="119"/>
      <c r="Z13" s="119" t="s">
        <v>1539</v>
      </c>
      <c r="AA13" s="119" t="s">
        <v>1664</v>
      </c>
      <c r="AB13" s="119" t="str">
        <f>AB2</f>
        <v>4、8、12、16、19</v>
      </c>
      <c r="AC13" s="119"/>
      <c r="AD13" s="119"/>
      <c r="AE13" s="119"/>
      <c r="AF13" s="119"/>
      <c r="AG13" s="130">
        <f t="shared" si="0"/>
        <v>0</v>
      </c>
      <c r="AH13" s="130">
        <f>AG13</f>
        <v>0</v>
      </c>
      <c r="AI13" s="130" t="str">
        <f>IF(AND(SUM(主要!I17:M17)&gt;=13,$AC$16&lt;&gt;0,$AC$16&lt;&gt;$A13,主要!Y3-主要!Y4&gt;=1),$A13,"")</f>
        <v/>
      </c>
      <c r="AJ13" s="130" t="str">
        <f>IF(AND($AC$17&lt;&gt;0,$AC$17&lt;&gt;$A13,AI13&lt;&gt;"",主要!Y3-主要!Y4-主要!Y6&gt;=1),$A13,"")</f>
        <v/>
      </c>
      <c r="AK13" s="130" t="str">
        <f>IF(AG13&gt;=2,12,"")</f>
        <v/>
      </c>
      <c r="AL13" s="157" t="e">
        <f t="array" ref="AL13">INDEX(AI:AI,SMALL(IF($AI$18:$AI$35&lt;&gt;"",ROW($18:$35),36),ROW(AI11)))&amp;""</f>
        <v>#N/A</v>
      </c>
      <c r="AM13" s="106" t="s">
        <v>1473</v>
      </c>
      <c r="AN13" s="106"/>
      <c r="AO13" s="106">
        <v>23</v>
      </c>
      <c r="AP13" s="106">
        <f>IF($AG$3&gt;=14,26,IF($AG$3&gt;=6,25,IF($AG$3&gt;=3,24,0)))</f>
        <v>0</v>
      </c>
      <c r="AQ13" s="115" t="e">
        <f t="shared" si="6"/>
        <v>#N/A</v>
      </c>
      <c r="AR13" s="119" t="e">
        <f t="shared" si="7"/>
        <v>#N/A</v>
      </c>
      <c r="AS13" s="119" t="e">
        <f t="shared" si="8"/>
        <v>#N/A</v>
      </c>
      <c r="AT13" s="116" t="e">
        <f t="shared" si="9"/>
        <v>#N/A</v>
      </c>
      <c r="AU13" s="115" t="e">
        <f t="shared" si="10"/>
        <v>#N/A</v>
      </c>
      <c r="AV13" s="119" t="e">
        <f t="shared" si="11"/>
        <v>#N/A</v>
      </c>
      <c r="AW13" s="119" t="e">
        <f t="shared" si="12"/>
        <v>#N/A</v>
      </c>
      <c r="AX13" s="116" t="e">
        <f t="shared" si="13"/>
        <v>#N/A</v>
      </c>
      <c r="AY13" s="115" t="e">
        <f t="shared" si="14"/>
        <v>#N/A</v>
      </c>
      <c r="AZ13" s="119" t="e">
        <f t="shared" si="15"/>
        <v>#N/A</v>
      </c>
      <c r="BA13" s="119" t="e">
        <f t="shared" si="16"/>
        <v>#N/A</v>
      </c>
      <c r="BB13" s="116" t="e">
        <f t="shared" si="17"/>
        <v>#N/A</v>
      </c>
      <c r="BC13" s="118" t="str">
        <f>IFERROR(INDEX($AQ$12:$BF$87,3,$BC$2),"")</f>
        <v/>
      </c>
      <c r="BD13" s="119" t="str">
        <f>IFERROR(INDEX($AQ$12:$BF$87,3,$BD$2),"")</f>
        <v/>
      </c>
      <c r="BE13" s="250" t="str">
        <f t="shared" si="4"/>
        <v/>
      </c>
      <c r="BF13" s="198" t="str">
        <f t="array" ref="BF13">INDEX(BE:BE,SMALL(IF($BE$2:$BE$143&lt;&gt;"",ROW($2:$143),144),ROW(BE12)))&amp;""</f>
        <v/>
      </c>
      <c r="BG13" s="156" t="str">
        <f>IF(主要!C95="",0,主要!C95)</f>
        <v>施法关键属性</v>
      </c>
      <c r="BH13" s="130" t="str">
        <f t="shared" si="2"/>
        <v/>
      </c>
      <c r="BI13" s="155">
        <f t="shared" si="5"/>
        <v>1</v>
      </c>
      <c r="BJ13" s="130"/>
      <c r="BK13" s="130"/>
      <c r="BL13" s="130"/>
      <c r="BM13" s="130"/>
      <c r="BN13" s="130"/>
      <c r="BO13" s="130"/>
      <c r="BP13" s="130"/>
      <c r="BQ13" s="130"/>
      <c r="BR13" s="130"/>
      <c r="BS13" s="130"/>
      <c r="BT13" s="130"/>
      <c r="BU13" s="130"/>
      <c r="BV13" s="130"/>
      <c r="BW13" s="130"/>
      <c r="BX13" s="130"/>
      <c r="BY13" s="130"/>
      <c r="BZ13" s="261"/>
      <c r="CA13" s="262"/>
    </row>
    <row r="14" spans="1:80" ht="14.4" customHeight="1" x14ac:dyDescent="0.25">
      <c r="A14" s="265" t="str">
        <f>IF(OR(综合数据!B10=TRUE,综合数据!B14=TRUE),"奇械师","")</f>
        <v>奇械师</v>
      </c>
      <c r="B14" s="126" t="s">
        <v>1665</v>
      </c>
      <c r="C14" s="126" t="s">
        <v>1666</v>
      </c>
      <c r="D14" s="126" t="s">
        <v>1667</v>
      </c>
      <c r="E14" s="266" t="str">
        <f>IF(综合数据!B14=TRUE,"装甲师","")</f>
        <v>装甲师</v>
      </c>
      <c r="F14" s="175"/>
      <c r="G14" s="175"/>
      <c r="H14" s="175"/>
      <c r="I14" s="175"/>
      <c r="J14" s="175"/>
      <c r="K14" s="175"/>
      <c r="L14" s="175"/>
      <c r="M14" s="175"/>
      <c r="N14" s="175"/>
      <c r="O14" s="175"/>
      <c r="P14" s="175"/>
      <c r="Q14" s="175"/>
      <c r="R14" s="175"/>
      <c r="S14" s="183"/>
      <c r="U14" s="265" t="s">
        <v>1668</v>
      </c>
      <c r="V14" s="129" t="s">
        <v>1474</v>
      </c>
      <c r="W14" s="129" t="s">
        <v>1445</v>
      </c>
      <c r="X14" s="129" t="str">
        <f>"简易武器"&amp;IF(综合数据!B3=TRUE,"、火器","")</f>
        <v>简易武器、火器</v>
      </c>
      <c r="Y14" s="129" t="s">
        <v>1669</v>
      </c>
      <c r="Z14" s="129" t="s">
        <v>1670</v>
      </c>
      <c r="AA14" s="129" t="s">
        <v>1671</v>
      </c>
      <c r="AB14" s="129" t="str">
        <f>AB2</f>
        <v>4、8、12、16、19</v>
      </c>
      <c r="AC14" s="129" t="s">
        <v>1672</v>
      </c>
      <c r="AD14" s="129" t="str">
        <f>IF(综合数据!B3=TRUE,"火器","")</f>
        <v>火器</v>
      </c>
      <c r="AE14" s="129" t="s">
        <v>1673</v>
      </c>
      <c r="AF14" s="129"/>
      <c r="AG14" s="175">
        <f t="shared" si="0"/>
        <v>0</v>
      </c>
      <c r="AH14" s="175">
        <f>ROUNDUP(AG14/2, )</f>
        <v>0</v>
      </c>
      <c r="AI14" s="175" t="str">
        <f>IF(AND(SUM(主要!I17:M17)&gt;=13,$AC$16&lt;&gt;0,$AC$16&lt;&gt;$A14,主要!Y3-主要!Y4&gt;=1),$A14,"")</f>
        <v/>
      </c>
      <c r="AJ14" s="175" t="str">
        <f>IF(AND($AC$17&lt;&gt;0,$AC$17&lt;&gt;$A14,AI14&lt;&gt;"",主要!Y3-主要!Y4-主要!Y6&gt;=1),$A14,"")</f>
        <v/>
      </c>
      <c r="AK14" s="175" t="str">
        <f>IF(AG14&gt;=3,13,"")</f>
        <v/>
      </c>
      <c r="AL14" s="157" t="e">
        <f t="array" ref="AL14">INDEX(AI:AI,SMALL(IF($AI$18:$AI$35&lt;&gt;"",ROW($18:$35),36),ROW(AI12)))&amp;""</f>
        <v>#N/A</v>
      </c>
      <c r="AM14" s="251" t="s">
        <v>1674</v>
      </c>
      <c r="AN14" s="251"/>
      <c r="AO14" s="251">
        <v>27</v>
      </c>
      <c r="AP14" s="251">
        <f>IF($AG$3&gt;=14,30,IF($AG$3&gt;=6,29,IF($AG$3&gt;=3,28,0)))</f>
        <v>0</v>
      </c>
      <c r="AQ14" s="115" t="e">
        <f t="shared" si="6"/>
        <v>#N/A</v>
      </c>
      <c r="AR14" s="119" t="e">
        <f t="shared" si="7"/>
        <v>#N/A</v>
      </c>
      <c r="AS14" s="119" t="e">
        <f t="shared" si="8"/>
        <v>#N/A</v>
      </c>
      <c r="AT14" s="116" t="e">
        <f t="shared" si="9"/>
        <v>#N/A</v>
      </c>
      <c r="AU14" s="115" t="e">
        <f t="shared" si="10"/>
        <v>#N/A</v>
      </c>
      <c r="AV14" s="119" t="e">
        <f t="shared" si="11"/>
        <v>#N/A</v>
      </c>
      <c r="AW14" s="119" t="e">
        <f t="shared" si="12"/>
        <v>#N/A</v>
      </c>
      <c r="AX14" s="116" t="e">
        <f t="shared" si="13"/>
        <v>#N/A</v>
      </c>
      <c r="AY14" s="115" t="e">
        <f t="shared" si="14"/>
        <v>#N/A</v>
      </c>
      <c r="AZ14" s="119" t="e">
        <f t="shared" si="15"/>
        <v>#N/A</v>
      </c>
      <c r="BA14" s="119" t="e">
        <f t="shared" si="16"/>
        <v>#N/A</v>
      </c>
      <c r="BB14" s="116" t="e">
        <f t="shared" si="17"/>
        <v>#N/A</v>
      </c>
      <c r="BC14" s="118" t="str">
        <f>IFERROR(INDEX($AQ$12:$BF$87,4,$BC$2),"")</f>
        <v/>
      </c>
      <c r="BD14" s="119" t="str">
        <f>IFERROR(INDEX($AQ$12:$BF$87,4,$BD$2),"")</f>
        <v/>
      </c>
      <c r="BE14" s="250" t="str">
        <f t="shared" si="4"/>
        <v/>
      </c>
      <c r="BF14" s="198" t="str">
        <f t="array" ref="BF14">INDEX(BE:BE,SMALL(IF($BE$2:$BE$143&lt;&gt;"",ROW($2:$143),144),ROW(BE13)))&amp;""</f>
        <v/>
      </c>
      <c r="BG14" s="156">
        <f>IF(主要!C96="",0,主要!C96)</f>
        <v>0</v>
      </c>
      <c r="BH14" s="130" t="str">
        <f t="shared" si="2"/>
        <v/>
      </c>
      <c r="BI14" s="155" t="str">
        <f t="shared" si="5"/>
        <v/>
      </c>
      <c r="BJ14" s="130"/>
      <c r="BK14" s="130"/>
      <c r="BL14" s="130"/>
      <c r="BM14" s="130"/>
      <c r="BN14" s="130"/>
      <c r="BO14" s="130"/>
      <c r="BP14" s="130"/>
      <c r="BQ14" s="130"/>
      <c r="BR14" s="130"/>
      <c r="BS14" s="130"/>
      <c r="BT14" s="130"/>
      <c r="BU14" s="130"/>
      <c r="BV14" s="130"/>
      <c r="BW14" s="130"/>
      <c r="BX14" s="130"/>
      <c r="BY14" s="130"/>
      <c r="BZ14" s="261"/>
      <c r="CA14" s="262"/>
    </row>
    <row r="15" spans="1:80" ht="14.4" customHeight="1" x14ac:dyDescent="0.25">
      <c r="B15" s="130"/>
      <c r="C15" s="130"/>
      <c r="D15" s="130"/>
      <c r="E15" s="130"/>
      <c r="F15" s="130"/>
      <c r="G15" s="130"/>
      <c r="H15" s="130"/>
      <c r="I15" s="130"/>
      <c r="J15" s="130"/>
      <c r="K15" s="130"/>
      <c r="L15" s="130"/>
      <c r="M15" s="130"/>
      <c r="N15" s="130"/>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57" t="e">
        <f t="array" ref="AL15">INDEX(AI:AI,SMALL(IF($AI$18:$AI$35&lt;&gt;"",ROW($18:$35),36),ROW(AI13)))&amp;""</f>
        <v>#N/A</v>
      </c>
      <c r="AM15" s="251" t="s">
        <v>1675</v>
      </c>
      <c r="AN15" s="251"/>
      <c r="AO15" s="251">
        <v>31</v>
      </c>
      <c r="AP15" s="267">
        <f>IF($AG$3&gt;=14,37,IF($AG$3&gt;=6,36,IF($AG$3&gt;=3,35,0)))</f>
        <v>0</v>
      </c>
      <c r="AQ15" s="115" t="e">
        <f t="shared" si="6"/>
        <v>#N/A</v>
      </c>
      <c r="AR15" s="119" t="e">
        <f t="shared" si="7"/>
        <v>#N/A</v>
      </c>
      <c r="AS15" s="119" t="e">
        <f t="shared" si="8"/>
        <v>#N/A</v>
      </c>
      <c r="AT15" s="116" t="e">
        <f t="shared" si="9"/>
        <v>#N/A</v>
      </c>
      <c r="AU15" s="115" t="e">
        <f t="shared" si="10"/>
        <v>#N/A</v>
      </c>
      <c r="AV15" s="119" t="e">
        <f t="shared" si="11"/>
        <v>#N/A</v>
      </c>
      <c r="AW15" s="119" t="e">
        <f t="shared" si="12"/>
        <v>#N/A</v>
      </c>
      <c r="AX15" s="116" t="e">
        <f t="shared" si="13"/>
        <v>#N/A</v>
      </c>
      <c r="AY15" s="115" t="e">
        <f t="shared" si="14"/>
        <v>#N/A</v>
      </c>
      <c r="AZ15" s="119" t="e">
        <f t="shared" si="15"/>
        <v>#N/A</v>
      </c>
      <c r="BA15" s="119" t="e">
        <f t="shared" si="16"/>
        <v>#N/A</v>
      </c>
      <c r="BB15" s="116" t="e">
        <f t="shared" si="17"/>
        <v>#N/A</v>
      </c>
      <c r="BC15" s="118" t="str">
        <f>IFERROR(INDEX($AQ$12:$BF$87,5,$BC$2),"")</f>
        <v/>
      </c>
      <c r="BD15" s="119" t="str">
        <f>IFERROR(INDEX($AQ$12:$BF$87,5,$BD$2),"")</f>
        <v/>
      </c>
      <c r="BE15" s="250" t="str">
        <f t="shared" si="4"/>
        <v/>
      </c>
      <c r="BF15" s="198" t="str">
        <f t="array" ref="BF15">INDEX(BE:BE,SMALL(IF($BE$2:$BE$143&lt;&gt;"",ROW($2:$143),144),ROW(BE14)))&amp;""</f>
        <v/>
      </c>
      <c r="BG15" s="156">
        <f>IF(主要!C97="",0,主要!C97)</f>
        <v>0</v>
      </c>
      <c r="BH15" s="130" t="str">
        <f t="shared" si="2"/>
        <v/>
      </c>
      <c r="BI15" s="155" t="str">
        <f t="shared" si="5"/>
        <v/>
      </c>
      <c r="BJ15" s="130"/>
      <c r="BK15" s="130"/>
      <c r="BL15" s="130"/>
      <c r="BM15" s="130"/>
      <c r="BN15" s="130"/>
      <c r="BO15" s="130"/>
      <c r="BP15" s="130"/>
      <c r="BQ15" s="130"/>
      <c r="BR15" s="130"/>
      <c r="BS15" s="130"/>
      <c r="BT15" s="130"/>
      <c r="BU15" s="130"/>
      <c r="BV15" s="130"/>
      <c r="BW15" s="130"/>
      <c r="BX15" s="130"/>
      <c r="BY15" s="130"/>
      <c r="BZ15" s="261"/>
      <c r="CA15" s="262"/>
    </row>
    <row r="16" spans="1:80" ht="14.4" customHeight="1" x14ac:dyDescent="0.25">
      <c r="A16" s="133"/>
      <c r="B16" s="1027" t="s">
        <v>1441</v>
      </c>
      <c r="C16" s="1027"/>
      <c r="D16" s="1027" t="s">
        <v>1471</v>
      </c>
      <c r="E16" s="1027"/>
      <c r="F16" s="1027" t="s">
        <v>1501</v>
      </c>
      <c r="G16" s="1027"/>
      <c r="H16" s="1027" t="s">
        <v>1531</v>
      </c>
      <c r="I16" s="1027"/>
      <c r="J16" s="1027" t="s">
        <v>1562</v>
      </c>
      <c r="K16" s="1027"/>
      <c r="L16" s="1027" t="s">
        <v>1588</v>
      </c>
      <c r="M16" s="1027"/>
      <c r="N16" s="1027" t="s">
        <v>1614</v>
      </c>
      <c r="O16" s="1027"/>
      <c r="P16" s="1027" t="s">
        <v>1623</v>
      </c>
      <c r="Q16" s="1027"/>
      <c r="R16" s="1027" t="s">
        <v>1632</v>
      </c>
      <c r="S16" s="1027"/>
      <c r="T16" s="1027" t="s">
        <v>1642</v>
      </c>
      <c r="U16" s="1027"/>
      <c r="V16" s="1027" t="s">
        <v>1650</v>
      </c>
      <c r="W16" s="1027"/>
      <c r="X16" s="1027" t="s">
        <v>1655</v>
      </c>
      <c r="Y16" s="1027"/>
      <c r="Z16" s="1050" t="s">
        <v>1668</v>
      </c>
      <c r="AA16" s="1051"/>
      <c r="AB16" s="133"/>
      <c r="AC16" s="268" t="str">
        <f>IF(主要!R4="",0,主要!R4)</f>
        <v>秘学士</v>
      </c>
      <c r="AD16" s="268" t="str">
        <f>IF(主要!V4="",0,主要!V4)</f>
        <v>神奇动物</v>
      </c>
      <c r="AE16" s="268">
        <f>主要!Y4</f>
        <v>1</v>
      </c>
      <c r="AF16" s="193">
        <v>1</v>
      </c>
      <c r="AG16" s="1026" t="s">
        <v>1676</v>
      </c>
      <c r="AH16" s="1028"/>
      <c r="AI16" s="133" t="s">
        <v>1451</v>
      </c>
      <c r="AJ16" s="108" t="s">
        <v>1677</v>
      </c>
      <c r="AK16" s="108" t="s">
        <v>1678</v>
      </c>
      <c r="AL16" s="157" t="e">
        <f t="array" ref="AL16">INDEX(AI:AI,SMALL(IF($AI$18:$AI$35&lt;&gt;"",ROW($18:$35),36),ROW(AI14)))&amp;""</f>
        <v>#N/A</v>
      </c>
      <c r="AM16" s="251" t="s">
        <v>1679</v>
      </c>
      <c r="AN16" s="251"/>
      <c r="AO16" s="251">
        <v>38</v>
      </c>
      <c r="AP16" s="267">
        <f>IF($AG$3&gt;=14,41,IF($AG$3&gt;=6,40,IF($AG$3&gt;=3,39,0)))</f>
        <v>0</v>
      </c>
      <c r="AQ16" s="115" t="e">
        <f t="shared" si="6"/>
        <v>#N/A</v>
      </c>
      <c r="AR16" s="119" t="e">
        <f t="shared" si="7"/>
        <v>#N/A</v>
      </c>
      <c r="AS16" s="119" t="e">
        <f t="shared" si="8"/>
        <v>#N/A</v>
      </c>
      <c r="AT16" s="116" t="e">
        <f t="shared" si="9"/>
        <v>#N/A</v>
      </c>
      <c r="AU16" s="115" t="e">
        <f t="shared" si="10"/>
        <v>#N/A</v>
      </c>
      <c r="AV16" s="119" t="e">
        <f t="shared" si="11"/>
        <v>#N/A</v>
      </c>
      <c r="AW16" s="119" t="e">
        <f t="shared" si="12"/>
        <v>#N/A</v>
      </c>
      <c r="AX16" s="116" t="e">
        <f t="shared" si="13"/>
        <v>#N/A</v>
      </c>
      <c r="AY16" s="115" t="e">
        <f t="shared" si="14"/>
        <v>#N/A</v>
      </c>
      <c r="AZ16" s="119" t="e">
        <f t="shared" si="15"/>
        <v>#N/A</v>
      </c>
      <c r="BA16" s="119" t="e">
        <f t="shared" si="16"/>
        <v>#N/A</v>
      </c>
      <c r="BB16" s="116" t="e">
        <f t="shared" si="17"/>
        <v>#N/A</v>
      </c>
      <c r="BC16" s="118" t="str">
        <f>IFERROR(INDEX($AQ$12:$BF$87,6,$BC$2),"")</f>
        <v/>
      </c>
      <c r="BD16" s="119" t="str">
        <f>IFERROR(INDEX($AQ$12:$BF$87,6,$BD$2),"")</f>
        <v/>
      </c>
      <c r="BE16" s="250" t="str">
        <f t="shared" si="4"/>
        <v/>
      </c>
      <c r="BF16" s="198" t="str">
        <f t="array" ref="BF16">INDEX(BE:BE,SMALL(IF($BE$2:$BE$143&lt;&gt;"",ROW($2:$143),144),ROW(BE15)))&amp;""</f>
        <v/>
      </c>
      <c r="BG16" s="156">
        <f>IF(主要!C98="",0,主要!C98)</f>
        <v>0</v>
      </c>
      <c r="BH16" s="130" t="str">
        <f t="shared" si="2"/>
        <v/>
      </c>
      <c r="BI16" s="155" t="str">
        <f t="shared" si="5"/>
        <v/>
      </c>
      <c r="BJ16" s="130"/>
      <c r="BK16" s="130"/>
      <c r="BL16" s="130"/>
      <c r="BM16" s="130"/>
      <c r="BN16" s="130"/>
      <c r="BO16" s="130"/>
      <c r="BP16" s="130"/>
      <c r="BQ16" s="130"/>
      <c r="BR16" s="130"/>
      <c r="BS16" s="130"/>
      <c r="BT16" s="130"/>
      <c r="BU16" s="130"/>
      <c r="BV16" s="130"/>
      <c r="BW16" s="130"/>
      <c r="BX16" s="130"/>
      <c r="BY16" s="130"/>
      <c r="BZ16" s="130"/>
    </row>
    <row r="17" spans="1:78" ht="14.4" customHeight="1" x14ac:dyDescent="0.25">
      <c r="A17" s="156">
        <v>1</v>
      </c>
      <c r="B17" s="106" t="s">
        <v>1680</v>
      </c>
      <c r="C17" s="119" t="s">
        <v>1681</v>
      </c>
      <c r="D17" s="106" t="s">
        <v>1682</v>
      </c>
      <c r="E17" s="119" t="s">
        <v>1683</v>
      </c>
      <c r="F17" s="119" t="s">
        <v>1684</v>
      </c>
      <c r="G17" s="119" t="s">
        <v>1685</v>
      </c>
      <c r="H17" s="119" t="s">
        <v>1686</v>
      </c>
      <c r="I17" s="119" t="s">
        <v>1687</v>
      </c>
      <c r="J17" s="119" t="s">
        <v>1688</v>
      </c>
      <c r="K17" s="119" t="s">
        <v>1689</v>
      </c>
      <c r="L17" s="119" t="str">
        <f>IF(AND(COUNTIF(AC17:AC18,A7),COUNTIF(AC16:AC17,A2)),"","无甲防御")</f>
        <v>无甲防御</v>
      </c>
      <c r="M17" s="119" t="s">
        <v>1690</v>
      </c>
      <c r="N17" s="119" t="s">
        <v>1691</v>
      </c>
      <c r="O17" s="119" t="s">
        <v>1692</v>
      </c>
      <c r="P17" s="269" t="str">
        <f>IF(OR(BH57&lt;1,COUNTIF($BG$2:$BG$46,"宿敌")),"宿敌","")</f>
        <v>宿敌</v>
      </c>
      <c r="Q17" s="269" t="s">
        <v>1693</v>
      </c>
      <c r="R17" s="119" t="s">
        <v>1694</v>
      </c>
      <c r="S17" s="119" t="s">
        <v>1695</v>
      </c>
      <c r="T17" s="106" t="s">
        <v>1696</v>
      </c>
      <c r="U17" s="119" t="s">
        <v>1697</v>
      </c>
      <c r="V17" s="119" t="s">
        <v>1698</v>
      </c>
      <c r="W17" s="119" t="s">
        <v>1699</v>
      </c>
      <c r="X17" s="106" t="s">
        <v>1700</v>
      </c>
      <c r="Y17" s="119" t="s">
        <v>1701</v>
      </c>
      <c r="Z17" s="119" t="s">
        <v>1702</v>
      </c>
      <c r="AA17" s="120" t="s">
        <v>1703</v>
      </c>
      <c r="AB17" s="156" t="str">
        <f>IF(AC17=0,"",COUNTIF(AC16:AC18,AC17))</f>
        <v/>
      </c>
      <c r="AC17" s="270">
        <f>IF(主要!R6="",0,主要!R6)</f>
        <v>0</v>
      </c>
      <c r="AD17" s="270">
        <f>IF(主要!V6="",0,主要!V6)</f>
        <v>0</v>
      </c>
      <c r="AE17" s="271">
        <f>主要!Y6</f>
        <v>0</v>
      </c>
      <c r="AF17" s="155">
        <v>2</v>
      </c>
      <c r="AG17" s="156" t="str">
        <f t="array" ref="AG17">INDEX(AI:AI,SMALL(IF($AI$2:$AI$14&lt;&gt;"",ROW($2:$14),15),ROW(AI1)))&amp;""</f>
        <v/>
      </c>
      <c r="AH17" s="198" t="str">
        <f t="array" ref="AH17">INDEX(AJ:AJ,SMALL(IF($AJ$2:$AJ$14&lt;&gt;"",ROW($2:$14),15),ROW(AJ1)))&amp;""</f>
        <v/>
      </c>
      <c r="AI17" s="156" t="e">
        <f>VLOOKUP(AC16,U2:AK14,17,0)</f>
        <v>#N/A</v>
      </c>
      <c r="AJ17" s="130" t="e">
        <f>VLOOKUP(AC17,U2:AK14,17,0)</f>
        <v>#N/A</v>
      </c>
      <c r="AK17" s="130" t="e">
        <f>VLOOKUP(AC18,U2:AK14,17,0)</f>
        <v>#N/A</v>
      </c>
      <c r="AL17" s="157" t="e">
        <f t="array" ref="AL17">INDEX(AI:AI,SMALL(IF($AI$18:$AI$35&lt;&gt;"",ROW($18:$35),36),ROW(AI15)))&amp;""</f>
        <v>#N/A</v>
      </c>
      <c r="AM17" s="252" t="s">
        <v>1704</v>
      </c>
      <c r="AN17" s="252"/>
      <c r="AO17" s="252">
        <v>42</v>
      </c>
      <c r="AP17" s="272">
        <f>IF($AG$3&gt;=14,46,IF($AG$3&gt;=6,45,IF($AG$3&gt;=3,46,0)))</f>
        <v>0</v>
      </c>
      <c r="AQ17" s="115" t="e">
        <f t="shared" si="6"/>
        <v>#N/A</v>
      </c>
      <c r="AR17" s="119" t="e">
        <f t="shared" si="7"/>
        <v>#N/A</v>
      </c>
      <c r="AS17" s="119" t="e">
        <f t="shared" si="8"/>
        <v>#N/A</v>
      </c>
      <c r="AT17" s="116" t="e">
        <f t="shared" si="9"/>
        <v>#N/A</v>
      </c>
      <c r="AU17" s="115" t="e">
        <f t="shared" si="10"/>
        <v>#N/A</v>
      </c>
      <c r="AV17" s="119" t="e">
        <f t="shared" si="11"/>
        <v>#N/A</v>
      </c>
      <c r="AW17" s="119" t="e">
        <f t="shared" si="12"/>
        <v>#N/A</v>
      </c>
      <c r="AX17" s="116" t="e">
        <f t="shared" si="13"/>
        <v>#N/A</v>
      </c>
      <c r="AY17" s="115" t="e">
        <f t="shared" si="14"/>
        <v>#N/A</v>
      </c>
      <c r="AZ17" s="119" t="e">
        <f t="shared" si="15"/>
        <v>#N/A</v>
      </c>
      <c r="BA17" s="119" t="e">
        <f t="shared" si="16"/>
        <v>#N/A</v>
      </c>
      <c r="BB17" s="116" t="e">
        <f t="shared" si="17"/>
        <v>#N/A</v>
      </c>
      <c r="BC17" s="118" t="str">
        <f>IFERROR(INDEX($AQ$12:$BF$87,7,$BC$2),"")</f>
        <v/>
      </c>
      <c r="BD17" s="119" t="str">
        <f>IFERROR(INDEX($AQ$12:$BF$87,7,$BD$2),"")</f>
        <v/>
      </c>
      <c r="BE17" s="250" t="str">
        <f t="shared" si="4"/>
        <v/>
      </c>
      <c r="BF17" s="198" t="str">
        <f t="array" ref="BF17">INDEX(BE:BE,SMALL(IF($BE$2:$BE$143&lt;&gt;"",ROW($2:$143),144),ROW(BE16)))&amp;""</f>
        <v/>
      </c>
      <c r="BG17" s="156">
        <f>IF(主要!C99="",0,主要!C99)</f>
        <v>0</v>
      </c>
      <c r="BH17" s="130" t="str">
        <f t="shared" si="2"/>
        <v/>
      </c>
      <c r="BI17" s="155" t="str">
        <f t="shared" si="5"/>
        <v/>
      </c>
      <c r="BJ17" s="130"/>
      <c r="BK17" s="130"/>
      <c r="BL17" s="130"/>
      <c r="BM17" s="130"/>
      <c r="BN17" s="130"/>
      <c r="BO17" s="130"/>
      <c r="BP17" s="130"/>
      <c r="BQ17" s="130"/>
      <c r="BR17" s="130"/>
      <c r="BS17" s="130"/>
      <c r="BT17" s="130"/>
      <c r="BU17" s="130"/>
      <c r="BV17" s="130"/>
      <c r="BW17" s="130"/>
      <c r="BX17" s="130"/>
      <c r="BY17" s="130"/>
      <c r="BZ17" s="130"/>
    </row>
    <row r="18" spans="1:78" ht="14.4" customHeight="1" x14ac:dyDescent="0.25">
      <c r="A18" s="156">
        <v>2</v>
      </c>
      <c r="B18" s="119" t="str">
        <f>IF(AND(COUNTIF(AC17:AC18,A2),COUNTIF(AC16:AC17,A7)),"","无甲防御")</f>
        <v>无甲防御</v>
      </c>
      <c r="C18" s="119" t="s">
        <v>1705</v>
      </c>
      <c r="D18" s="119" t="s">
        <v>1706</v>
      </c>
      <c r="E18" s="119" t="s">
        <v>1707</v>
      </c>
      <c r="F18" s="119" t="s">
        <v>1708</v>
      </c>
      <c r="G18" s="119" t="s">
        <v>1709</v>
      </c>
      <c r="H18" s="119" t="s">
        <v>1710</v>
      </c>
      <c r="I18" s="119" t="s">
        <v>1711</v>
      </c>
      <c r="J18" s="273" t="str">
        <f>IF(OR(BI53&gt;0,COUNTIF($BG$2:$BG$46,"战斗风格-箭术")),"战斗风格-箭术","")</f>
        <v/>
      </c>
      <c r="K18" s="273" t="s">
        <v>1712</v>
      </c>
      <c r="L18" s="119" t="s">
        <v>1713</v>
      </c>
      <c r="M18" s="119" t="s">
        <v>1714</v>
      </c>
      <c r="N18" s="119" t="s">
        <v>1715</v>
      </c>
      <c r="O18" s="119" t="s">
        <v>1716</v>
      </c>
      <c r="P18" s="274" t="str">
        <f>IF(AND(综合数据!B14=TRUE,OR(BH57&lt;1,COUNTIF($BG$2:$BG$46,"夙敌"))),"夙敌","")</f>
        <v>夙敌</v>
      </c>
      <c r="Q18" s="269" t="s">
        <v>1717</v>
      </c>
      <c r="R18" s="119" t="s">
        <v>1718</v>
      </c>
      <c r="S18" s="119" t="s">
        <v>1719</v>
      </c>
      <c r="T18" s="119" t="s">
        <v>1720</v>
      </c>
      <c r="U18" s="119" t="s">
        <v>1721</v>
      </c>
      <c r="V18" s="119" t="s">
        <v>1722</v>
      </c>
      <c r="W18" s="119" t="s">
        <v>1723</v>
      </c>
      <c r="X18" s="119" t="s">
        <v>1724</v>
      </c>
      <c r="Y18" s="119" t="s">
        <v>1725</v>
      </c>
      <c r="Z18" s="119" t="s">
        <v>1726</v>
      </c>
      <c r="AA18" s="120" t="s">
        <v>1727</v>
      </c>
      <c r="AB18" s="156" t="str">
        <f>IF(AC18=0,"",COUNTIF(AC16:AC18,AC18))</f>
        <v/>
      </c>
      <c r="AC18" s="270">
        <f>IF(主要!R7="",0,主要!R7)</f>
        <v>0</v>
      </c>
      <c r="AD18" s="270">
        <f>IF(主要!V7="",0,主要!V7)</f>
        <v>0</v>
      </c>
      <c r="AE18" s="271">
        <f>主要!Y7</f>
        <v>0</v>
      </c>
      <c r="AF18" s="155">
        <v>3</v>
      </c>
      <c r="AG18" s="156" t="str">
        <f t="array" ref="AG18">INDEX(AI:AI,SMALL(IF($AI$2:$AI$14&lt;&gt;"",ROW($2:$14),15),ROW(AI2)))&amp;""</f>
        <v/>
      </c>
      <c r="AH18" s="198" t="str">
        <f t="array" ref="AH18">INDEX(AJ:AJ,SMALL(IF($AJ$2:$AJ$14&lt;&gt;"",ROW($2:$14),15),ROW(AJ2)))&amp;""</f>
        <v/>
      </c>
      <c r="AI18" s="156" t="e">
        <f>INDEX($B$2:$S$14,AI$17,1)</f>
        <v>#N/A</v>
      </c>
      <c r="AJ18" s="130" t="e">
        <f>INDEX($B$2:$S$14,AJ$17,1)</f>
        <v>#N/A</v>
      </c>
      <c r="AK18" s="130" t="e">
        <f>INDEX($B$2:$S$14,AK$17,1)</f>
        <v>#N/A</v>
      </c>
      <c r="AL18" s="157" t="e">
        <f t="array" ref="AL18">INDEX(AI:AI,SMALL(IF($AI$18:$AI$35&lt;&gt;"",ROW($18:$35),36),ROW(AI16)))&amp;""</f>
        <v>#N/A</v>
      </c>
      <c r="AM18" s="253" t="s">
        <v>1728</v>
      </c>
      <c r="AN18" s="253"/>
      <c r="AO18" s="253">
        <v>47</v>
      </c>
      <c r="AP18" s="275">
        <f>IF($AG$3&gt;=14,50,IF($AG$3&gt;=6,49,IF($AG$3&gt;=3,48,0)))</f>
        <v>0</v>
      </c>
      <c r="AQ18" s="115" t="e">
        <f t="shared" si="6"/>
        <v>#N/A</v>
      </c>
      <c r="AR18" s="119" t="e">
        <f t="shared" si="7"/>
        <v>#N/A</v>
      </c>
      <c r="AS18" s="119" t="e">
        <f t="shared" si="8"/>
        <v>#N/A</v>
      </c>
      <c r="AT18" s="116" t="e">
        <f t="shared" si="9"/>
        <v>#N/A</v>
      </c>
      <c r="AU18" s="115" t="e">
        <f t="shared" si="10"/>
        <v>#N/A</v>
      </c>
      <c r="AV18" s="119" t="e">
        <f t="shared" si="11"/>
        <v>#N/A</v>
      </c>
      <c r="AW18" s="119" t="e">
        <f t="shared" si="12"/>
        <v>#N/A</v>
      </c>
      <c r="AX18" s="116" t="e">
        <f t="shared" si="13"/>
        <v>#N/A</v>
      </c>
      <c r="AY18" s="115" t="e">
        <f t="shared" si="14"/>
        <v>#N/A</v>
      </c>
      <c r="AZ18" s="119" t="e">
        <f t="shared" si="15"/>
        <v>#N/A</v>
      </c>
      <c r="BA18" s="119" t="e">
        <f t="shared" si="16"/>
        <v>#N/A</v>
      </c>
      <c r="BB18" s="116" t="e">
        <f t="shared" si="17"/>
        <v>#N/A</v>
      </c>
      <c r="BC18" s="118" t="str">
        <f>IFERROR(INDEX($AQ$12:$BF$87,8,$BC$2),"")</f>
        <v/>
      </c>
      <c r="BD18" s="119" t="str">
        <f>IFERROR(INDEX($AQ$12:$BF$87,8,$BD$2),"")</f>
        <v/>
      </c>
      <c r="BE18" s="250" t="str">
        <f t="shared" si="4"/>
        <v/>
      </c>
      <c r="BF18" s="198" t="str">
        <f t="array" ref="BF18">INDEX(BE:BE,SMALL(IF($BE$2:$BE$143&lt;&gt;"",ROW($2:$143),144),ROW(BE17)))&amp;""</f>
        <v/>
      </c>
      <c r="BG18" s="156">
        <f>IF(主要!C100="",0,主要!C100)</f>
        <v>0</v>
      </c>
      <c r="BH18" s="130" t="str">
        <f t="shared" si="2"/>
        <v/>
      </c>
      <c r="BI18" s="155" t="str">
        <f t="shared" si="5"/>
        <v/>
      </c>
      <c r="BJ18" s="130"/>
      <c r="BK18" s="130"/>
      <c r="BL18" s="130"/>
      <c r="BM18" s="130"/>
      <c r="BN18" s="130"/>
      <c r="BO18" s="130"/>
      <c r="BP18" s="130"/>
      <c r="BQ18" s="130"/>
      <c r="BR18" s="130"/>
      <c r="BS18" s="130"/>
      <c r="BT18" s="130"/>
      <c r="BU18" s="130"/>
      <c r="BV18" s="262"/>
      <c r="BW18" s="262"/>
      <c r="BX18" s="130"/>
      <c r="BY18" s="130"/>
      <c r="BZ18" s="130"/>
    </row>
    <row r="19" spans="1:78" ht="14.4" customHeight="1" x14ac:dyDescent="0.25">
      <c r="A19" s="156">
        <v>3</v>
      </c>
      <c r="B19" s="119" t="s">
        <v>1729</v>
      </c>
      <c r="C19" s="119" t="s">
        <v>1730</v>
      </c>
      <c r="D19" s="119" t="s">
        <v>1731</v>
      </c>
      <c r="E19" s="119" t="s">
        <v>1732</v>
      </c>
      <c r="F19" s="119" t="s">
        <v>1733</v>
      </c>
      <c r="G19" s="119" t="s">
        <v>1734</v>
      </c>
      <c r="H19" s="119" t="s">
        <v>1735</v>
      </c>
      <c r="I19" s="119" t="s">
        <v>1736</v>
      </c>
      <c r="J19" s="273" t="str">
        <f>IF(OR(BI53&gt;0,COUNTIF($BG$2:$BG$46,"战斗风格-防御")),"战斗风格-防御","")</f>
        <v/>
      </c>
      <c r="K19" s="273" t="s">
        <v>1737</v>
      </c>
      <c r="L19" s="119" t="s">
        <v>1738</v>
      </c>
      <c r="M19" s="119" t="s">
        <v>1739</v>
      </c>
      <c r="N19" s="119" t="s">
        <v>1740</v>
      </c>
      <c r="O19" s="119" t="s">
        <v>1741</v>
      </c>
      <c r="P19" s="269" t="str">
        <f>IF(OR(BH58&lt;1,COUNTIF($BG$2:$BG$46,"自然探索者")),"自然探索者","")</f>
        <v>自然探索者</v>
      </c>
      <c r="Q19" s="269" t="s">
        <v>1742</v>
      </c>
      <c r="R19" s="106" t="s">
        <v>1743</v>
      </c>
      <c r="S19" s="119" t="s">
        <v>1744</v>
      </c>
      <c r="T19" s="119" t="s">
        <v>1745</v>
      </c>
      <c r="U19" s="119" t="s">
        <v>1746</v>
      </c>
      <c r="V19" s="119" t="s">
        <v>1747</v>
      </c>
      <c r="W19" s="119" t="s">
        <v>1748</v>
      </c>
      <c r="X19" s="119" t="s">
        <v>1749</v>
      </c>
      <c r="Y19" s="119" t="s">
        <v>1750</v>
      </c>
      <c r="Z19" s="119" t="s">
        <v>1751</v>
      </c>
      <c r="AA19" s="120" t="s">
        <v>1752</v>
      </c>
      <c r="AB19" s="115" t="s">
        <v>1753</v>
      </c>
      <c r="AC19" s="106" t="s">
        <v>1754</v>
      </c>
      <c r="AD19" s="130">
        <f>IF($AD16=0,"",(COUNTIF($AI$18:$AI$35,$AD16)))</f>
        <v>0</v>
      </c>
      <c r="AE19" s="130" t="e">
        <f>IF(AND(AD16=0,AI17&lt;&gt;""),1,0)</f>
        <v>#N/A</v>
      </c>
      <c r="AF19" s="155">
        <f>IF(AND(AC16&lt;&gt;0,AE16=0),1,0)</f>
        <v>0</v>
      </c>
      <c r="AG19" s="156" t="str">
        <f t="array" ref="AG19">INDEX(AI:AI,SMALL(IF($AI$2:$AI$14&lt;&gt;"",ROW($2:$14),15),ROW(AI3)))&amp;""</f>
        <v/>
      </c>
      <c r="AH19" s="198" t="str">
        <f t="array" ref="AH19">INDEX(AJ:AJ,SMALL(IF($AJ$2:$AJ$14&lt;&gt;"",ROW($2:$14),15),ROW(AJ3)))&amp;""</f>
        <v/>
      </c>
      <c r="AI19" s="156" t="e">
        <f>INDEX($B$2:$S$14,AI$17,2)</f>
        <v>#N/A</v>
      </c>
      <c r="AJ19" s="130" t="e">
        <f>INDEX($B$2:$S$14,AJ$17,2)</f>
        <v>#N/A</v>
      </c>
      <c r="AK19" s="130" t="e">
        <f>INDEX($B$2:$S$14,AK$17,2)</f>
        <v>#N/A</v>
      </c>
      <c r="AL19" s="157" t="e">
        <f t="array" ref="AL19">INDEX(AI:AI,SMALL(IF($AI$18:$AI$35&lt;&gt;"",ROW($18:$35),36),ROW(AI17)))&amp;""</f>
        <v>#N/A</v>
      </c>
      <c r="AM19" s="242" t="s">
        <v>1755</v>
      </c>
      <c r="AN19" s="263"/>
      <c r="AO19" s="263">
        <v>51</v>
      </c>
      <c r="AP19" s="263">
        <f>IF($AG$3&gt;=14,55,IF($AG$3&gt;=6,54,IF($AG$3&gt;=3,53,0)))</f>
        <v>0</v>
      </c>
      <c r="AQ19" s="115" t="e">
        <f t="shared" si="6"/>
        <v>#N/A</v>
      </c>
      <c r="AR19" s="119" t="e">
        <f t="shared" si="7"/>
        <v>#N/A</v>
      </c>
      <c r="AS19" s="119" t="e">
        <f t="shared" si="8"/>
        <v>#N/A</v>
      </c>
      <c r="AT19" s="116" t="e">
        <f t="shared" si="9"/>
        <v>#N/A</v>
      </c>
      <c r="AU19" s="115" t="e">
        <f t="shared" si="10"/>
        <v>#N/A</v>
      </c>
      <c r="AV19" s="119" t="e">
        <f t="shared" si="11"/>
        <v>#N/A</v>
      </c>
      <c r="AW19" s="119" t="e">
        <f t="shared" si="12"/>
        <v>#N/A</v>
      </c>
      <c r="AX19" s="116" t="e">
        <f t="shared" si="13"/>
        <v>#N/A</v>
      </c>
      <c r="AY19" s="115" t="e">
        <f t="shared" si="14"/>
        <v>#N/A</v>
      </c>
      <c r="AZ19" s="119" t="e">
        <f t="shared" si="15"/>
        <v>#N/A</v>
      </c>
      <c r="BA19" s="119" t="e">
        <f t="shared" si="16"/>
        <v>#N/A</v>
      </c>
      <c r="BB19" s="116" t="e">
        <f t="shared" si="17"/>
        <v>#N/A</v>
      </c>
      <c r="BC19" s="118" t="str">
        <f>IFERROR(INDEX($AQ$12:$BF$87,9,$BC$2),"")</f>
        <v/>
      </c>
      <c r="BD19" s="119" t="str">
        <f>IFERROR(INDEX($AQ$12:$BF$87,9,$BD$2),"")</f>
        <v/>
      </c>
      <c r="BE19" s="250" t="str">
        <f t="shared" si="4"/>
        <v/>
      </c>
      <c r="BF19" s="198" t="str">
        <f t="array" ref="BF19">INDEX(BE:BE,SMALL(IF($BE$2:$BE$143&lt;&gt;"",ROW($2:$143),144),ROW(BE18)))&amp;""</f>
        <v/>
      </c>
      <c r="BG19" s="156">
        <f>IF(主要!C101="",0,主要!C101)</f>
        <v>0</v>
      </c>
      <c r="BH19" s="130" t="str">
        <f t="shared" si="2"/>
        <v/>
      </c>
      <c r="BI19" s="155" t="str">
        <f t="shared" si="5"/>
        <v/>
      </c>
      <c r="BJ19" s="130"/>
      <c r="BK19" s="130"/>
      <c r="BL19" s="130"/>
      <c r="BM19" s="106"/>
      <c r="BN19" s="130"/>
      <c r="BO19" s="130"/>
      <c r="BP19" s="130"/>
      <c r="BQ19" s="130"/>
      <c r="BR19" s="130"/>
      <c r="BS19" s="130"/>
      <c r="BT19" s="130"/>
      <c r="BU19" s="130"/>
      <c r="BV19" s="262"/>
      <c r="BW19" s="262"/>
      <c r="BX19" s="130"/>
      <c r="BY19" s="130"/>
      <c r="BZ19" s="130"/>
    </row>
    <row r="20" spans="1:78" ht="14.4" customHeight="1" x14ac:dyDescent="0.25">
      <c r="A20" s="156">
        <v>4</v>
      </c>
      <c r="B20" s="119" t="s">
        <v>1756</v>
      </c>
      <c r="C20" s="119" t="s">
        <v>1757</v>
      </c>
      <c r="D20" s="119" t="s">
        <v>1758</v>
      </c>
      <c r="E20" s="119" t="s">
        <v>1759</v>
      </c>
      <c r="F20" s="119" t="s">
        <v>1760</v>
      </c>
      <c r="G20" s="119" t="s">
        <v>1761</v>
      </c>
      <c r="H20" s="119" t="s">
        <v>1762</v>
      </c>
      <c r="I20" s="119" t="s">
        <v>1763</v>
      </c>
      <c r="J20" s="273" t="str">
        <f>IF(OR(BI53&gt;0,COUNTIF($BG$2:$BG$46,"战斗风格-对决")),"战斗风格-对决","")</f>
        <v/>
      </c>
      <c r="K20" s="273" t="s">
        <v>1764</v>
      </c>
      <c r="L20" s="119" t="s">
        <v>1765</v>
      </c>
      <c r="M20" s="119" t="s">
        <v>1766</v>
      </c>
      <c r="N20" s="273" t="str">
        <f>IF(OR(BI53&gt;0,COUNTIF($BG$2:$BG$46,"战斗风格-防御")),"战斗风格-防御","")</f>
        <v/>
      </c>
      <c r="O20" s="273" t="s">
        <v>1737</v>
      </c>
      <c r="P20" s="274" t="str">
        <f>IF(AND(综合数据!B14=TRUE,OR(BH58&lt;1,COUNTIF($BG$2:$BG$46,"熟练探险家"))),"熟练探险家","")</f>
        <v>熟练探险家</v>
      </c>
      <c r="Q20" s="269" t="s">
        <v>1767</v>
      </c>
      <c r="R20" s="106" t="s">
        <v>1768</v>
      </c>
      <c r="S20" s="119" t="s">
        <v>1769</v>
      </c>
      <c r="T20" s="119" t="s">
        <v>1770</v>
      </c>
      <c r="U20" s="119" t="s">
        <v>1771</v>
      </c>
      <c r="V20" s="119" t="s">
        <v>1772</v>
      </c>
      <c r="W20" s="119" t="s">
        <v>1773</v>
      </c>
      <c r="X20" s="119" t="s">
        <v>272</v>
      </c>
      <c r="Y20" s="119" t="s">
        <v>1774</v>
      </c>
      <c r="Z20" s="119" t="s">
        <v>1775</v>
      </c>
      <c r="AA20" s="120" t="s">
        <v>1776</v>
      </c>
      <c r="AB20" s="156">
        <f>COUNTIF(AB17:AB18,"&gt;1")</f>
        <v>0</v>
      </c>
      <c r="AC20" s="130">
        <f>COUNTIF(AD19:AD21,"=0")</f>
        <v>1</v>
      </c>
      <c r="AD20" s="130" t="str">
        <f>IF($AD17=0,"",COUNTIF($AJ$18:$AJ$35,$AD17))</f>
        <v/>
      </c>
      <c r="AE20" s="130" t="e">
        <f>IF(AND(AD17=0,AJ17&lt;&gt;""),1,0)</f>
        <v>#N/A</v>
      </c>
      <c r="AF20" s="155">
        <f>IF(AND(AC17&lt;&gt;0,AE17=0),1,0)</f>
        <v>0</v>
      </c>
      <c r="AG20" s="156" t="str">
        <f t="array" ref="AG20">INDEX(AI:AI,SMALL(IF($AI$2:$AI$14&lt;&gt;"",ROW($2:$14),15),ROW(AI4)))&amp;""</f>
        <v/>
      </c>
      <c r="AH20" s="198" t="str">
        <f t="array" ref="AH20">INDEX(AJ:AJ,SMALL(IF($AJ$2:$AJ$14&lt;&gt;"",ROW($2:$14),15),ROW(AJ4)))&amp;""</f>
        <v/>
      </c>
      <c r="AI20" s="156" t="e">
        <f>INDEX($B$2:$S$14,AI$17,3)</f>
        <v>#N/A</v>
      </c>
      <c r="AJ20" s="130" t="e">
        <f>INDEX($B$2:$S$14,AJ$17,3)</f>
        <v>#N/A</v>
      </c>
      <c r="AK20" s="130" t="e">
        <f>INDEX($B$2:$S$14,AK$17,3)</f>
        <v>#N/A</v>
      </c>
      <c r="AL20" s="157" t="e">
        <f t="array" ref="AL20">INDEX(AI:AI,SMALL(IF($AI$18:$AI$35&lt;&gt;"",ROW($18:$35),36),ROW(AI18)))&amp;""</f>
        <v>#N/A</v>
      </c>
      <c r="AM20" s="249" t="s">
        <v>1501</v>
      </c>
      <c r="AN20" s="249">
        <v>3</v>
      </c>
      <c r="AO20" s="249">
        <v>1</v>
      </c>
      <c r="AP20" s="276">
        <f>IF($AG$4&gt;=10,15,IF($AG$4&gt;=8,14,IF($AG$4&gt;=5,13,IF($AG$4&gt;=4,12,IF($AG$4&gt;=2,11,IF($AG$4&gt;=1,8,0))))))</f>
        <v>0</v>
      </c>
      <c r="AQ20" s="115" t="e">
        <f t="shared" si="6"/>
        <v>#N/A</v>
      </c>
      <c r="AR20" s="119" t="e">
        <f t="shared" si="7"/>
        <v>#N/A</v>
      </c>
      <c r="AS20" s="119" t="e">
        <f t="shared" si="8"/>
        <v>#N/A</v>
      </c>
      <c r="AT20" s="116" t="e">
        <f t="shared" si="9"/>
        <v>#N/A</v>
      </c>
      <c r="AU20" s="115" t="e">
        <f t="shared" si="10"/>
        <v>#N/A</v>
      </c>
      <c r="AV20" s="119" t="e">
        <f t="shared" si="11"/>
        <v>#N/A</v>
      </c>
      <c r="AW20" s="119" t="e">
        <f t="shared" si="12"/>
        <v>#N/A</v>
      </c>
      <c r="AX20" s="116" t="e">
        <f t="shared" si="13"/>
        <v>#N/A</v>
      </c>
      <c r="AY20" s="115" t="e">
        <f t="shared" si="14"/>
        <v>#N/A</v>
      </c>
      <c r="AZ20" s="119" t="e">
        <f t="shared" si="15"/>
        <v>#N/A</v>
      </c>
      <c r="BA20" s="119" t="e">
        <f t="shared" si="16"/>
        <v>#N/A</v>
      </c>
      <c r="BB20" s="116" t="e">
        <f t="shared" si="17"/>
        <v>#N/A</v>
      </c>
      <c r="BC20" s="118" t="str">
        <f>IFERROR(INDEX($AQ$12:$BF$87,10,$BC$2),"")</f>
        <v/>
      </c>
      <c r="BD20" s="119" t="str">
        <f>IFERROR(INDEX($AQ$12:$BF$87,10,$BD$2),"")</f>
        <v/>
      </c>
      <c r="BE20" s="250" t="str">
        <f t="shared" si="4"/>
        <v/>
      </c>
      <c r="BF20" s="198" t="str">
        <f t="array" ref="BF20">INDEX(BE:BE,SMALL(IF($BE$2:$BE$143&lt;&gt;"",ROW($2:$143),144),ROW(BE19)))&amp;""</f>
        <v/>
      </c>
      <c r="BG20" s="156">
        <f>IF(主要!C102="",0,主要!C102)</f>
        <v>0</v>
      </c>
      <c r="BH20" s="130" t="str">
        <f t="shared" si="2"/>
        <v/>
      </c>
      <c r="BI20" s="155" t="str">
        <f t="shared" si="5"/>
        <v/>
      </c>
      <c r="BJ20" s="130"/>
      <c r="BK20" s="130"/>
      <c r="BL20" s="130"/>
      <c r="BM20" s="130"/>
      <c r="BN20" s="130"/>
      <c r="BO20" s="130"/>
      <c r="BP20" s="130"/>
      <c r="BQ20" s="130"/>
      <c r="BR20" s="130"/>
      <c r="BS20" s="130"/>
      <c r="BT20" s="130"/>
      <c r="BU20" s="130"/>
      <c r="BV20" s="262"/>
      <c r="BW20" s="262"/>
      <c r="BX20" s="130"/>
      <c r="BY20" s="130"/>
      <c r="BZ20" s="130"/>
    </row>
    <row r="21" spans="1:78" ht="14.4" customHeight="1" x14ac:dyDescent="0.25">
      <c r="A21" s="156">
        <v>5</v>
      </c>
      <c r="B21" s="119" t="s">
        <v>1777</v>
      </c>
      <c r="C21" s="119" t="s">
        <v>1778</v>
      </c>
      <c r="D21" s="119" t="s">
        <v>1779</v>
      </c>
      <c r="E21" s="119" t="s">
        <v>1780</v>
      </c>
      <c r="F21" s="119" t="s">
        <v>1781</v>
      </c>
      <c r="G21" s="119" t="s">
        <v>1782</v>
      </c>
      <c r="H21" s="119" t="s">
        <v>1783</v>
      </c>
      <c r="I21" s="119" t="s">
        <v>1784</v>
      </c>
      <c r="J21" s="273" t="str">
        <f>IF(OR(BI53&gt;0,COUNTIF($BG$2:$BG$46,"战斗风格-巨武器战斗")),"战斗风格-巨武器战斗","")</f>
        <v/>
      </c>
      <c r="K21" s="273" t="s">
        <v>1785</v>
      </c>
      <c r="L21" s="119" t="s">
        <v>1786</v>
      </c>
      <c r="M21" s="119" t="s">
        <v>1787</v>
      </c>
      <c r="N21" s="273" t="str">
        <f>IF(OR(BI53&gt;0,COUNTIF($BG$2:$BG$46,"战斗风格-对决")),"战斗风格-对决","")</f>
        <v/>
      </c>
      <c r="O21" s="273" t="s">
        <v>1788</v>
      </c>
      <c r="P21" s="119" t="s">
        <v>1789</v>
      </c>
      <c r="Q21" s="119" t="s">
        <v>1741</v>
      </c>
      <c r="R21" s="106" t="s">
        <v>1790</v>
      </c>
      <c r="S21" s="119" t="s">
        <v>1791</v>
      </c>
      <c r="T21" s="119" t="s">
        <v>1792</v>
      </c>
      <c r="U21" s="119" t="s">
        <v>1793</v>
      </c>
      <c r="V21" s="119" t="s">
        <v>1794</v>
      </c>
      <c r="W21" s="119" t="s">
        <v>1795</v>
      </c>
      <c r="X21" s="119" t="s">
        <v>1796</v>
      </c>
      <c r="Y21" s="119" t="s">
        <v>1797</v>
      </c>
      <c r="Z21" s="119" t="s">
        <v>1798</v>
      </c>
      <c r="AA21" s="120" t="s">
        <v>1799</v>
      </c>
      <c r="AB21" s="115" t="s">
        <v>1800</v>
      </c>
      <c r="AC21" s="130">
        <f>COUNTIF(AE19:AE21,"=1")</f>
        <v>0</v>
      </c>
      <c r="AD21" s="130" t="str">
        <f>IF($AD18=0,"",COUNTIF($AK$18:$AK$35,$AD18))</f>
        <v/>
      </c>
      <c r="AE21" s="130" t="e">
        <f>IF(AND(AD18=0,AK17&lt;&gt;""),1,0)</f>
        <v>#N/A</v>
      </c>
      <c r="AF21" s="155">
        <f>IF(AND(AC18&lt;&gt;0,AE18=0),1,0)</f>
        <v>0</v>
      </c>
      <c r="AG21" s="156" t="str">
        <f t="array" ref="AG21">INDEX(AI:AI,SMALL(IF($AI$2:$AI$14&lt;&gt;"",ROW($2:$14),15),ROW(AI5)))&amp;""</f>
        <v/>
      </c>
      <c r="AH21" s="198" t="str">
        <f t="array" ref="AH21">INDEX(AJ:AJ,SMALL(IF($AJ$2:$AJ$14&lt;&gt;"",ROW($2:$14),15),ROW(AJ5)))&amp;""</f>
        <v/>
      </c>
      <c r="AI21" s="156" t="e">
        <f>INDEX($B$2:$S$14,AI$17,4)</f>
        <v>#N/A</v>
      </c>
      <c r="AJ21" s="130" t="e">
        <f>INDEX($B$2:$S$14,AJ$17,4)</f>
        <v>#N/A</v>
      </c>
      <c r="AK21" s="130" t="e">
        <f>INDEX($B$2:$S$14,AK$17,4)</f>
        <v>#N/A</v>
      </c>
      <c r="AL21" s="117" t="s">
        <v>1677</v>
      </c>
      <c r="AM21" s="106" t="s">
        <v>1502</v>
      </c>
      <c r="AN21" s="106"/>
      <c r="AO21" s="106">
        <v>16</v>
      </c>
      <c r="AP21" s="116">
        <f>IF($AG$4&gt;=17,21,IF($AG$4&gt;=8,20,IF($AG$4&gt;=6,19,IF($AG$4&gt;=2,18,IF($AG$4&gt;=1,17,0)))))</f>
        <v>0</v>
      </c>
      <c r="AQ21" s="115" t="e">
        <f t="shared" si="6"/>
        <v>#N/A</v>
      </c>
      <c r="AR21" s="119" t="e">
        <f t="shared" si="7"/>
        <v>#N/A</v>
      </c>
      <c r="AS21" s="119" t="e">
        <f t="shared" si="8"/>
        <v>#N/A</v>
      </c>
      <c r="AT21" s="116" t="e">
        <f t="shared" si="9"/>
        <v>#N/A</v>
      </c>
      <c r="AU21" s="115" t="e">
        <f t="shared" si="10"/>
        <v>#N/A</v>
      </c>
      <c r="AV21" s="119" t="e">
        <f t="shared" si="11"/>
        <v>#N/A</v>
      </c>
      <c r="AW21" s="119" t="e">
        <f t="shared" si="12"/>
        <v>#N/A</v>
      </c>
      <c r="AX21" s="116" t="e">
        <f t="shared" si="13"/>
        <v>#N/A</v>
      </c>
      <c r="AY21" s="115" t="e">
        <f t="shared" si="14"/>
        <v>#N/A</v>
      </c>
      <c r="AZ21" s="119" t="e">
        <f t="shared" si="15"/>
        <v>#N/A</v>
      </c>
      <c r="BA21" s="119" t="e">
        <f t="shared" si="16"/>
        <v>#N/A</v>
      </c>
      <c r="BB21" s="116" t="e">
        <f t="shared" si="17"/>
        <v>#N/A</v>
      </c>
      <c r="BC21" s="118" t="str">
        <f>IFERROR(INDEX($AQ$12:$BF$87,11,$BC$2),"")</f>
        <v/>
      </c>
      <c r="BD21" s="119" t="str">
        <f>IFERROR(INDEX($AQ$12:$BF$87,11,$BD$2),"")</f>
        <v/>
      </c>
      <c r="BE21" s="250" t="str">
        <f t="shared" si="4"/>
        <v/>
      </c>
      <c r="BF21" s="198" t="str">
        <f t="array" ref="BF21">INDEX(BE:BE,SMALL(IF($BE$2:$BE$143&lt;&gt;"",ROW($2:$143),144),ROW(BE20)))&amp;""</f>
        <v/>
      </c>
      <c r="BG21" s="156">
        <f>IF(主要!C103="",0,主要!C103)</f>
        <v>0</v>
      </c>
      <c r="BH21" s="130" t="str">
        <f t="shared" si="2"/>
        <v/>
      </c>
      <c r="BI21" s="155" t="str">
        <f t="shared" si="5"/>
        <v/>
      </c>
      <c r="BJ21" s="130"/>
      <c r="BK21" s="130"/>
      <c r="BL21" s="130"/>
      <c r="BM21" s="130"/>
      <c r="BN21" s="106"/>
      <c r="BO21" s="130"/>
      <c r="BP21" s="130"/>
      <c r="BQ21" s="130"/>
      <c r="BR21" s="130"/>
      <c r="BS21" s="130"/>
      <c r="BT21" s="130"/>
      <c r="BU21" s="130"/>
      <c r="BV21" s="262"/>
      <c r="BW21" s="262"/>
      <c r="BX21" s="130"/>
      <c r="BY21" s="130"/>
      <c r="BZ21" s="130"/>
    </row>
    <row r="22" spans="1:78" ht="14.4" customHeight="1" x14ac:dyDescent="0.25">
      <c r="A22" s="156">
        <v>6</v>
      </c>
      <c r="B22" s="274" t="str">
        <f>IF(综合数据!B14=TRUE,"原初学识","")</f>
        <v>原初学识</v>
      </c>
      <c r="C22" s="274" t="s">
        <v>1801</v>
      </c>
      <c r="D22" s="119" t="s">
        <v>1802</v>
      </c>
      <c r="E22" s="119" t="s">
        <v>1803</v>
      </c>
      <c r="F22" s="119" t="s">
        <v>1804</v>
      </c>
      <c r="G22" s="119" t="s">
        <v>1805</v>
      </c>
      <c r="H22" s="119" t="s">
        <v>1806</v>
      </c>
      <c r="I22" s="119" t="s">
        <v>1807</v>
      </c>
      <c r="J22" s="273" t="str">
        <f>IF(OR(BI53&gt;0,COUNTIF($BG$2:$BG$46,"战斗风格-守护")),"战斗风格-守护","")</f>
        <v/>
      </c>
      <c r="K22" s="273" t="s">
        <v>1808</v>
      </c>
      <c r="L22" s="119" t="s">
        <v>1809</v>
      </c>
      <c r="M22" s="119" t="s">
        <v>1810</v>
      </c>
      <c r="N22" s="273" t="str">
        <f>IF(OR(BI53&gt;0,COUNTIF($BG$2:$BG$46,"战斗风格-巨武器战斗")),"战斗风格-巨武器战斗","")</f>
        <v/>
      </c>
      <c r="O22" s="273" t="s">
        <v>1811</v>
      </c>
      <c r="P22" s="273" t="str">
        <f>IF(OR(BI53&gt;0,COUNTIF($BG$2:$BG$46,"战斗风格-箭术")),"战斗风格-箭术","")</f>
        <v/>
      </c>
      <c r="Q22" s="273" t="s">
        <v>1812</v>
      </c>
      <c r="R22" s="274" t="str">
        <f>IF(综合数据!B14=TRUE,"手稳就准","")</f>
        <v>手稳就准</v>
      </c>
      <c r="S22" s="274" t="s">
        <v>1813</v>
      </c>
      <c r="T22" s="119" t="s">
        <v>1814</v>
      </c>
      <c r="U22" s="119" t="s">
        <v>1815</v>
      </c>
      <c r="V22" s="119" t="s">
        <v>1816</v>
      </c>
      <c r="W22" s="119" t="s">
        <v>1817</v>
      </c>
      <c r="X22" s="119" t="s">
        <v>1818</v>
      </c>
      <c r="Y22" s="119" t="s">
        <v>1819</v>
      </c>
      <c r="Z22" s="119" t="s">
        <v>1820</v>
      </c>
      <c r="AA22" s="120" t="s">
        <v>1821</v>
      </c>
      <c r="AB22" s="123" t="s">
        <v>1822</v>
      </c>
      <c r="AC22" s="175">
        <f>COUNTIF(AF19:AF21,"&gt;=1")</f>
        <v>0</v>
      </c>
      <c r="AD22" s="126" t="s">
        <v>1410</v>
      </c>
      <c r="AE22" s="126">
        <f>SUM(AH2:AH14)</f>
        <v>0</v>
      </c>
      <c r="AF22" s="183"/>
      <c r="AG22" s="156" t="str">
        <f t="array" ref="AG22">INDEX(AI:AI,SMALL(IF($AI$2:$AI$14&lt;&gt;"",ROW($2:$14),15),ROW(AI6)))&amp;""</f>
        <v/>
      </c>
      <c r="AH22" s="198" t="str">
        <f t="array" ref="AH22">INDEX(AJ:AJ,SMALL(IF($AJ$2:$AJ$14&lt;&gt;"",ROW($2:$14),15),ROW(AJ6)))&amp;""</f>
        <v/>
      </c>
      <c r="AI22" s="156" t="e">
        <f>INDEX($B$2:$S$14,AI$17,5)</f>
        <v>#N/A</v>
      </c>
      <c r="AJ22" s="130" t="e">
        <f>INDEX($B$2:$S$14,AJ$17,5)</f>
        <v>#N/A</v>
      </c>
      <c r="AK22" s="130" t="e">
        <f>INDEX($B$2:$S$14,AK$17,5)</f>
        <v>#N/A</v>
      </c>
      <c r="AL22" s="157" t="e">
        <f t="array" ref="AL22">INDEX(AJ:AJ,SMALL(IF($AJ$18:$AJ$35&lt;&gt;"",ROW($18:$35),36),ROW(AJ1)))&amp;""</f>
        <v>#N/A</v>
      </c>
      <c r="AM22" s="106" t="s">
        <v>1503</v>
      </c>
      <c r="AN22" s="106"/>
      <c r="AO22" s="106">
        <v>22</v>
      </c>
      <c r="AP22" s="116">
        <f>IF($AG$4&gt;=17,28,IF($AG$4&gt;=8,27,IF($AG$4&gt;=6,26,IF($AG$4&gt;=2,25,IF($AG$4&gt;=1,24,0)))))</f>
        <v>0</v>
      </c>
      <c r="AQ22" s="115" t="e">
        <f t="shared" si="6"/>
        <v>#N/A</v>
      </c>
      <c r="AR22" s="119" t="e">
        <f t="shared" si="7"/>
        <v>#N/A</v>
      </c>
      <c r="AS22" s="119" t="e">
        <f t="shared" si="8"/>
        <v>#N/A</v>
      </c>
      <c r="AT22" s="116" t="e">
        <f t="shared" si="9"/>
        <v>#N/A</v>
      </c>
      <c r="AU22" s="115" t="e">
        <f t="shared" si="10"/>
        <v>#N/A</v>
      </c>
      <c r="AV22" s="119" t="e">
        <f t="shared" si="11"/>
        <v>#N/A</v>
      </c>
      <c r="AW22" s="119" t="e">
        <f t="shared" si="12"/>
        <v>#N/A</v>
      </c>
      <c r="AX22" s="116" t="e">
        <f t="shared" si="13"/>
        <v>#N/A</v>
      </c>
      <c r="AY22" s="115" t="e">
        <f t="shared" si="14"/>
        <v>#N/A</v>
      </c>
      <c r="AZ22" s="119" t="e">
        <f t="shared" si="15"/>
        <v>#N/A</v>
      </c>
      <c r="BA22" s="119" t="e">
        <f t="shared" si="16"/>
        <v>#N/A</v>
      </c>
      <c r="BB22" s="116" t="e">
        <f t="shared" si="17"/>
        <v>#N/A</v>
      </c>
      <c r="BC22" s="118" t="str">
        <f>IFERROR(INDEX($AQ$12:$BF$87,12,$BC$2),"")</f>
        <v/>
      </c>
      <c r="BD22" s="119" t="str">
        <f>IFERROR(INDEX($AQ$12:$BF$87,12,$BD$2),"")</f>
        <v/>
      </c>
      <c r="BE22" s="250" t="str">
        <f t="shared" si="4"/>
        <v/>
      </c>
      <c r="BF22" s="198" t="str">
        <f t="array" ref="BF22">INDEX(BE:BE,SMALL(IF($BE$2:$BE$143&lt;&gt;"",ROW($2:$143),144),ROW(BE21)))&amp;""</f>
        <v/>
      </c>
      <c r="BG22" s="156">
        <f>IF(主要!C104="",0,主要!C104)</f>
        <v>0</v>
      </c>
      <c r="BH22" s="130" t="str">
        <f t="shared" si="2"/>
        <v/>
      </c>
      <c r="BI22" s="155" t="str">
        <f t="shared" si="5"/>
        <v/>
      </c>
      <c r="BJ22" s="130"/>
      <c r="BK22" s="130"/>
      <c r="BL22" s="130"/>
      <c r="BM22" s="130"/>
      <c r="BN22" s="106"/>
      <c r="BO22" s="130"/>
      <c r="BP22" s="130"/>
      <c r="BQ22" s="130"/>
      <c r="BR22" s="130"/>
      <c r="BS22" s="130"/>
      <c r="BT22" s="130"/>
      <c r="BU22" s="130"/>
      <c r="BV22" s="262"/>
      <c r="BW22" s="262"/>
      <c r="BX22" s="130"/>
      <c r="BY22" s="130"/>
      <c r="BZ22" s="130"/>
    </row>
    <row r="23" spans="1:78" ht="14.4" customHeight="1" x14ac:dyDescent="0.25">
      <c r="A23" s="156">
        <v>7</v>
      </c>
      <c r="B23" s="119" t="str">
        <f>IF(COUNTIF($BG$2:$BG$46,"额外攻击-*"),"","额外攻击")</f>
        <v>额外攻击</v>
      </c>
      <c r="C23" s="119" t="s">
        <v>1823</v>
      </c>
      <c r="D23" s="119" t="s">
        <v>1824</v>
      </c>
      <c r="E23" s="119" t="s">
        <v>1825</v>
      </c>
      <c r="F23" s="180" t="s">
        <v>1826</v>
      </c>
      <c r="G23" s="119" t="s">
        <v>1827</v>
      </c>
      <c r="H23" s="119" t="s">
        <v>1828</v>
      </c>
      <c r="I23" s="119" t="s">
        <v>1829</v>
      </c>
      <c r="J23" s="273" t="str">
        <f>IF(OR(BI53&gt;0,COUNTIF($BG$2:$BG$46,"战斗风格-双武器战斗")),"战斗风格-双武器战斗","")</f>
        <v/>
      </c>
      <c r="K23" s="273" t="s">
        <v>1830</v>
      </c>
      <c r="L23" s="119" t="s">
        <v>1831</v>
      </c>
      <c r="M23" s="119" t="s">
        <v>1832</v>
      </c>
      <c r="N23" s="273" t="str">
        <f>IF(OR(BI53&gt;0,COUNTIF($BG$2:$BG$46,"战斗风格-守护")),"战斗风格-守护","")</f>
        <v/>
      </c>
      <c r="O23" s="273" t="s">
        <v>1808</v>
      </c>
      <c r="P23" s="273" t="str">
        <f>IF(OR(BI53&gt;0,COUNTIF($BG$2:$BG$46,"战斗风格-防御")),"战斗风格-防御","")</f>
        <v/>
      </c>
      <c r="Q23" s="273" t="s">
        <v>1737</v>
      </c>
      <c r="R23" s="106" t="s">
        <v>1833</v>
      </c>
      <c r="S23" s="119" t="s">
        <v>1834</v>
      </c>
      <c r="T23" s="180" t="s">
        <v>1835</v>
      </c>
      <c r="U23" s="119" t="s">
        <v>1836</v>
      </c>
      <c r="V23" s="119" t="s">
        <v>1837</v>
      </c>
      <c r="W23" s="119" t="s">
        <v>1838</v>
      </c>
      <c r="X23" s="119" t="s">
        <v>1839</v>
      </c>
      <c r="Y23" s="119" t="s">
        <v>1840</v>
      </c>
      <c r="Z23" s="119" t="s">
        <v>1841</v>
      </c>
      <c r="AA23" s="120" t="s">
        <v>1842</v>
      </c>
      <c r="AB23" s="1047" t="s">
        <v>1409</v>
      </c>
      <c r="AC23" s="1049"/>
      <c r="AD23" s="1048"/>
      <c r="AE23" s="119"/>
      <c r="AF23" s="114" t="s">
        <v>86</v>
      </c>
      <c r="AG23" s="156" t="str">
        <f t="array" ref="AG23">INDEX(AI:AI,SMALL(IF($AI$2:$AI$14&lt;&gt;"",ROW($2:$14),15),ROW(AI7)))&amp;""</f>
        <v/>
      </c>
      <c r="AH23" s="198" t="str">
        <f t="array" ref="AH23">INDEX(AJ:AJ,SMALL(IF($AJ$2:$AJ$14&lt;&gt;"",ROW($2:$14),15),ROW(AJ7)))&amp;""</f>
        <v/>
      </c>
      <c r="AI23" s="156" t="e">
        <f>INDEX($B$2:$S$14,AI$17,6)</f>
        <v>#N/A</v>
      </c>
      <c r="AJ23" s="130" t="e">
        <f>INDEX($B$2:$S$14,AJ$17,6)</f>
        <v>#N/A</v>
      </c>
      <c r="AK23" s="130" t="e">
        <f>INDEX($B$2:$S$14,AK$17,6)</f>
        <v>#N/A</v>
      </c>
      <c r="AL23" s="157" t="e">
        <f t="array" ref="AL23">INDEX(AJ:AJ,SMALL(IF($AJ$18:$AJ$35&lt;&gt;"",ROW($18:$35),36),ROW(AJ2)))&amp;""</f>
        <v>#N/A</v>
      </c>
      <c r="AM23" s="106" t="s">
        <v>1504</v>
      </c>
      <c r="AN23" s="106"/>
      <c r="AO23" s="106">
        <v>29</v>
      </c>
      <c r="AP23" s="116">
        <f>IF($AG$4&gt;=17,35,IF($AG$4&gt;=8,34,IF($AG$4&gt;=6,33,IF($AG$4&gt;=2,32,IF($AG$4&gt;=1,31,0)))))</f>
        <v>0</v>
      </c>
      <c r="AQ23" s="115" t="e">
        <f t="shared" si="6"/>
        <v>#N/A</v>
      </c>
      <c r="AR23" s="119" t="e">
        <f t="shared" si="7"/>
        <v>#N/A</v>
      </c>
      <c r="AS23" s="119" t="e">
        <f t="shared" si="8"/>
        <v>#N/A</v>
      </c>
      <c r="AT23" s="116" t="e">
        <f t="shared" si="9"/>
        <v>#N/A</v>
      </c>
      <c r="AU23" s="115" t="e">
        <f t="shared" si="10"/>
        <v>#N/A</v>
      </c>
      <c r="AV23" s="119" t="e">
        <f t="shared" si="11"/>
        <v>#N/A</v>
      </c>
      <c r="AW23" s="119" t="e">
        <f t="shared" si="12"/>
        <v>#N/A</v>
      </c>
      <c r="AX23" s="116" t="e">
        <f t="shared" si="13"/>
        <v>#N/A</v>
      </c>
      <c r="AY23" s="115" t="e">
        <f t="shared" si="14"/>
        <v>#N/A</v>
      </c>
      <c r="AZ23" s="119" t="e">
        <f t="shared" si="15"/>
        <v>#N/A</v>
      </c>
      <c r="BA23" s="119" t="e">
        <f t="shared" si="16"/>
        <v>#N/A</v>
      </c>
      <c r="BB23" s="116" t="e">
        <f t="shared" si="17"/>
        <v>#N/A</v>
      </c>
      <c r="BC23" s="118" t="str">
        <f>IFERROR(INDEX($AQ$12:$BF$87,13,$BC$2),"")</f>
        <v/>
      </c>
      <c r="BD23" s="119" t="str">
        <f>IFERROR(INDEX($AQ$12:$BF$87,13,$BD$2),"")</f>
        <v/>
      </c>
      <c r="BE23" s="250" t="str">
        <f t="shared" si="4"/>
        <v/>
      </c>
      <c r="BF23" s="198" t="str">
        <f t="array" ref="BF23">INDEX(BE:BE,SMALL(IF($BE$2:$BE$143&lt;&gt;"",ROW($2:$143),144),ROW(BE22)))&amp;""</f>
        <v/>
      </c>
      <c r="BG23" s="156">
        <f>IF(主要!C105="",0,主要!C105)</f>
        <v>0</v>
      </c>
      <c r="BH23" s="130" t="str">
        <f t="shared" si="2"/>
        <v/>
      </c>
      <c r="BI23" s="155" t="str">
        <f t="shared" si="5"/>
        <v/>
      </c>
      <c r="BJ23" s="130"/>
      <c r="BK23" s="130"/>
      <c r="BL23" s="130"/>
      <c r="BM23" s="130"/>
      <c r="BN23" s="130"/>
      <c r="BO23" s="130"/>
      <c r="BP23" s="130"/>
      <c r="BQ23" s="130"/>
      <c r="BR23" s="130"/>
      <c r="BS23" s="130"/>
      <c r="BT23" s="130"/>
      <c r="BU23" s="130"/>
      <c r="BV23" s="262"/>
      <c r="BW23" s="262"/>
      <c r="BX23" s="130"/>
      <c r="BY23" s="130"/>
      <c r="BZ23" s="130"/>
    </row>
    <row r="24" spans="1:78" ht="14.4" customHeight="1" x14ac:dyDescent="0.25">
      <c r="A24" s="156">
        <v>8</v>
      </c>
      <c r="B24" s="119" t="s">
        <v>1843</v>
      </c>
      <c r="C24" s="119" t="s">
        <v>1844</v>
      </c>
      <c r="D24" s="180" t="s">
        <v>1845</v>
      </c>
      <c r="E24" s="119" t="s">
        <v>1846</v>
      </c>
      <c r="F24" s="180" t="s">
        <v>1847</v>
      </c>
      <c r="G24" s="119" t="s">
        <v>1848</v>
      </c>
      <c r="H24" s="119" t="s">
        <v>1849</v>
      </c>
      <c r="I24" s="119" t="s">
        <v>1850</v>
      </c>
      <c r="J24" s="274" t="str">
        <f>IF(AND(综合数据!B14=TRUE,OR(BI53&gt;0,COUNTIF($BG$2:$BG$46,"战斗风格-盲斗"))),"战斗风格-盲斗","")</f>
        <v/>
      </c>
      <c r="K24" s="273" t="s">
        <v>1851</v>
      </c>
      <c r="L24" s="274" t="str">
        <f>IF(综合数据!B14=TRUE,"专用武器","")</f>
        <v>专用武器</v>
      </c>
      <c r="M24" s="274" t="s">
        <v>1852</v>
      </c>
      <c r="N24" s="274" t="str">
        <f>IF(AND(综合数据!B14=TRUE,OR(BI53&gt;0,COUNTIF($BG$2:$BG$46,"战斗风格-受祝福的勇士"))),"战斗风格-受祝福的勇士","")</f>
        <v/>
      </c>
      <c r="O24" s="273" t="s">
        <v>1853</v>
      </c>
      <c r="P24" s="273" t="str">
        <f>IF(OR(BI53&gt;0,COUNTIF($BG$2:$BG$46,"战斗风格-对决")),"战斗风格-对决","")</f>
        <v/>
      </c>
      <c r="Q24" s="273" t="s">
        <v>1764</v>
      </c>
      <c r="R24" s="106" t="s">
        <v>1854</v>
      </c>
      <c r="S24" s="119" t="s">
        <v>1855</v>
      </c>
      <c r="T24" s="180" t="s">
        <v>1856</v>
      </c>
      <c r="U24" s="119" t="s">
        <v>1857</v>
      </c>
      <c r="V24" s="119" t="s">
        <v>1858</v>
      </c>
      <c r="W24" s="119" t="s">
        <v>1859</v>
      </c>
      <c r="X24" s="119" t="s">
        <v>1860</v>
      </c>
      <c r="Y24" s="119" t="s">
        <v>1861</v>
      </c>
      <c r="Z24" s="119" t="s">
        <v>1862</v>
      </c>
      <c r="AA24" s="120" t="s">
        <v>1863</v>
      </c>
      <c r="AB24" s="118">
        <f>IF(AND(主要!$R$4&lt;&gt;"",主要!$Y$3-主要!$Y$6-主要!$Y$7&gt;=1),1,"")</f>
        <v>1</v>
      </c>
      <c r="AC24" s="119" t="str">
        <f>IF(AND(主要!$R$6&lt;&gt;"",主要!$Y$3-主要!$Y$4-主要!$Y$7&gt;=1),1,"")</f>
        <v/>
      </c>
      <c r="AD24" s="120" t="str">
        <f>IF(AND(主要!$R$7&lt;&gt;"",主要!$Y$3-主要!$Y$4-主要!$Y$6&gt;=1),1,"")</f>
        <v/>
      </c>
      <c r="AE24" s="119"/>
      <c r="AF24" s="117" t="s">
        <v>1645</v>
      </c>
      <c r="AG24" s="156" t="str">
        <f t="array" ref="AG24">INDEX(AI:AI,SMALL(IF($AI$2:$AI$14&lt;&gt;"",ROW($2:$14),15),ROW(AI8)))&amp;""</f>
        <v/>
      </c>
      <c r="AH24" s="198" t="str">
        <f t="array" ref="AH24">INDEX(AJ:AJ,SMALL(IF($AJ$2:$AJ$14&lt;&gt;"",ROW($2:$14),15),ROW(AJ8)))&amp;""</f>
        <v/>
      </c>
      <c r="AI24" s="156" t="e">
        <f>INDEX($B$2:$S$14,AI$17,7)</f>
        <v>#N/A</v>
      </c>
      <c r="AJ24" s="130" t="e">
        <f>INDEX($B$2:$S$14,AJ$17,7)</f>
        <v>#N/A</v>
      </c>
      <c r="AK24" s="130" t="e">
        <f>INDEX($B$2:$S$14,AK$17,7)</f>
        <v>#N/A</v>
      </c>
      <c r="AL24" s="157" t="e">
        <f t="array" ref="AL24">INDEX(AJ:AJ,SMALL(IF($AJ$18:$AJ$35&lt;&gt;"",ROW($18:$35),36),ROW(AJ3)))&amp;""</f>
        <v>#N/A</v>
      </c>
      <c r="AM24" s="106" t="s">
        <v>1505</v>
      </c>
      <c r="AN24" s="106"/>
      <c r="AO24" s="106">
        <v>36</v>
      </c>
      <c r="AP24" s="116">
        <f>IF($AG$4&gt;=17,42,IF($AG$4&gt;=8,41,IF($AG$4&gt;=6,40,IF($AG$4&gt;=2,39,IF($AG$4&gt;=1,38,0)))))</f>
        <v>0</v>
      </c>
      <c r="AQ24" s="115" t="e">
        <f t="shared" si="6"/>
        <v>#N/A</v>
      </c>
      <c r="AR24" s="119" t="e">
        <f t="shared" si="7"/>
        <v>#N/A</v>
      </c>
      <c r="AS24" s="119" t="e">
        <f t="shared" si="8"/>
        <v>#N/A</v>
      </c>
      <c r="AT24" s="116" t="e">
        <f t="shared" si="9"/>
        <v>#N/A</v>
      </c>
      <c r="AU24" s="115" t="e">
        <f t="shared" si="10"/>
        <v>#N/A</v>
      </c>
      <c r="AV24" s="119" t="e">
        <f t="shared" si="11"/>
        <v>#N/A</v>
      </c>
      <c r="AW24" s="119" t="e">
        <f t="shared" si="12"/>
        <v>#N/A</v>
      </c>
      <c r="AX24" s="116" t="e">
        <f t="shared" si="13"/>
        <v>#N/A</v>
      </c>
      <c r="AY24" s="115" t="e">
        <f t="shared" si="14"/>
        <v>#N/A</v>
      </c>
      <c r="AZ24" s="119" t="e">
        <f t="shared" si="15"/>
        <v>#N/A</v>
      </c>
      <c r="BA24" s="119" t="e">
        <f t="shared" si="16"/>
        <v>#N/A</v>
      </c>
      <c r="BB24" s="116" t="e">
        <f t="shared" si="17"/>
        <v>#N/A</v>
      </c>
      <c r="BC24" s="118" t="str">
        <f>IFERROR(INDEX($AQ$12:$BF$87,14,$BC$2),"")</f>
        <v/>
      </c>
      <c r="BD24" s="119" t="str">
        <f>IFERROR(INDEX($AQ$12:$BF$87,14,$BD$2),"")</f>
        <v/>
      </c>
      <c r="BE24" s="250" t="str">
        <f t="shared" si="4"/>
        <v/>
      </c>
      <c r="BF24" s="198" t="str">
        <f t="array" ref="BF24">INDEX(BE:BE,SMALL(IF($BE$2:$BE$143&lt;&gt;"",ROW($2:$143),144),ROW(BE23)))&amp;""</f>
        <v/>
      </c>
      <c r="BG24" s="156">
        <f>IF(主要!C106="",0,主要!C106)</f>
        <v>0</v>
      </c>
      <c r="BH24" s="130" t="str">
        <f t="shared" si="2"/>
        <v/>
      </c>
      <c r="BI24" s="155" t="str">
        <f t="shared" si="5"/>
        <v/>
      </c>
      <c r="BJ24" s="130"/>
      <c r="BK24" s="130"/>
      <c r="BL24" s="130"/>
      <c r="BM24" s="130"/>
      <c r="BN24" s="130"/>
      <c r="BO24" s="130"/>
      <c r="BP24" s="130"/>
      <c r="BQ24" s="130"/>
      <c r="BR24" s="130"/>
      <c r="BS24" s="130"/>
      <c r="BT24" s="130"/>
      <c r="BU24" s="130"/>
      <c r="BV24" s="130"/>
      <c r="BW24" s="130"/>
      <c r="BX24" s="130"/>
      <c r="BY24" s="130"/>
      <c r="BZ24" s="130"/>
    </row>
    <row r="25" spans="1:78" ht="14.4" customHeight="1" x14ac:dyDescent="0.25">
      <c r="A25" s="156">
        <v>9</v>
      </c>
      <c r="B25" s="119" t="s">
        <v>926</v>
      </c>
      <c r="C25" s="119" t="s">
        <v>1864</v>
      </c>
      <c r="D25" s="180" t="s">
        <v>1865</v>
      </c>
      <c r="E25" s="119" t="s">
        <v>1866</v>
      </c>
      <c r="F25" s="119" t="s">
        <v>1867</v>
      </c>
      <c r="G25" s="119" t="s">
        <v>1868</v>
      </c>
      <c r="H25" s="119" t="s">
        <v>1869</v>
      </c>
      <c r="I25" s="119" t="s">
        <v>1870</v>
      </c>
      <c r="J25" s="274" t="str">
        <f>IF(AND(综合数据!B14=TRUE,OR(BI53&gt;0,COUNTIF($BG$2:$BG$46,"战斗风格-拦截"))),"战斗风格-拦截","")</f>
        <v/>
      </c>
      <c r="K25" s="273" t="s">
        <v>1871</v>
      </c>
      <c r="L25" s="119" t="s">
        <v>1872</v>
      </c>
      <c r="M25" s="119" t="s">
        <v>1873</v>
      </c>
      <c r="N25" s="274" t="str">
        <f>IF(AND(综合数据!B14=TRUE,OR(BI53&gt;0,COUNTIF($BG$2:$BG$46,"战斗风格-盲斗"))),"战斗风格-盲斗","")</f>
        <v/>
      </c>
      <c r="O25" s="273" t="s">
        <v>1874</v>
      </c>
      <c r="P25" s="273" t="str">
        <f>IF(OR(BI53&gt;0,COUNTIF($BG$2:$BG$46,"战斗风格-双武器战斗")),"战斗风格-双武器战斗","")</f>
        <v/>
      </c>
      <c r="Q25" s="273" t="s">
        <v>1830</v>
      </c>
      <c r="R25" s="106" t="s">
        <v>1875</v>
      </c>
      <c r="S25" s="119" t="s">
        <v>1876</v>
      </c>
      <c r="T25" s="180" t="s">
        <v>1877</v>
      </c>
      <c r="U25" s="119" t="s">
        <v>1878</v>
      </c>
      <c r="V25" s="273" t="str">
        <f>IF(AND(COUNTIF(法术数据!AK2:AK301,法术数据!B8)&gt;=1,OR(BI65&gt;0,COUNTIF($BG$2:$BG$46,"魔能祈唤-苦痛魔爆"))),"魔能祈唤-苦痛魔爆","")</f>
        <v/>
      </c>
      <c r="W25" s="278" t="s">
        <v>1879</v>
      </c>
      <c r="X25" s="119" t="s">
        <v>1880</v>
      </c>
      <c r="Y25" s="119" t="s">
        <v>1881</v>
      </c>
      <c r="Z25" s="119" t="s">
        <v>1882</v>
      </c>
      <c r="AA25" s="120" t="s">
        <v>1883</v>
      </c>
      <c r="AB25" s="118" t="str">
        <f>IF(AND(主要!$R$4&lt;&gt;"",主要!$Y$3-主要!$Y$6-主要!$Y$7&gt;=2),2,"")</f>
        <v/>
      </c>
      <c r="AC25" s="119" t="str">
        <f>IF(AND(主要!$R$6&lt;&gt;"",主要!$Y$3-主要!$Y$4-主要!$Y$7&gt;=2),2,"")</f>
        <v/>
      </c>
      <c r="AD25" s="120" t="str">
        <f>IF(AND(主要!$R$7&lt;&gt;"",主要!$Y$3-主要!$Y$4-主要!$Y$6&gt;=2),2,"")</f>
        <v/>
      </c>
      <c r="AE25" s="119"/>
      <c r="AF25" s="117" t="s">
        <v>1474</v>
      </c>
      <c r="AG25" s="156" t="str">
        <f t="array" ref="AG25">INDEX(AI:AI,SMALL(IF($AI$2:$AI$14&lt;&gt;"",ROW($2:$14),15),ROW(AI9)))&amp;""</f>
        <v/>
      </c>
      <c r="AH25" s="198" t="str">
        <f t="array" ref="AH25">INDEX(AJ:AJ,SMALL(IF($AJ$2:$AJ$14&lt;&gt;"",ROW($2:$14),15),ROW(AJ9)))&amp;""</f>
        <v/>
      </c>
      <c r="AI25" s="156" t="e">
        <f>INDEX($B$2:$S$14,AI$17,8)</f>
        <v>#N/A</v>
      </c>
      <c r="AJ25" s="130" t="e">
        <f>INDEX($B$2:$S$14,AJ$17,8)</f>
        <v>#N/A</v>
      </c>
      <c r="AK25" s="130" t="e">
        <f>INDEX($B$2:$S$14,AK$17,8)</f>
        <v>#N/A</v>
      </c>
      <c r="AL25" s="157" t="e">
        <f t="array" ref="AL25">INDEX(AJ:AJ,SMALL(IF($AJ$18:$AJ$35&lt;&gt;"",ROW($18:$35),36),ROW(AJ4)))&amp;""</f>
        <v>#N/A</v>
      </c>
      <c r="AM25" s="106" t="s">
        <v>1506</v>
      </c>
      <c r="AN25" s="106"/>
      <c r="AO25" s="106">
        <v>43</v>
      </c>
      <c r="AP25" s="116">
        <f>IF($AG$4&gt;=17,49,IF($AG$4&gt;=8,48,IF($AG$4&gt;=6,47,IF($AG$4&gt;=2,46,IF($AG$4&gt;=1,45,0)))))</f>
        <v>0</v>
      </c>
      <c r="AQ25" s="115" t="e">
        <f t="shared" si="6"/>
        <v>#N/A</v>
      </c>
      <c r="AR25" s="119" t="e">
        <f t="shared" si="7"/>
        <v>#N/A</v>
      </c>
      <c r="AS25" s="119" t="e">
        <f t="shared" si="8"/>
        <v>#N/A</v>
      </c>
      <c r="AT25" s="116" t="e">
        <f t="shared" si="9"/>
        <v>#N/A</v>
      </c>
      <c r="AU25" s="115" t="e">
        <f t="shared" si="10"/>
        <v>#N/A</v>
      </c>
      <c r="AV25" s="119" t="e">
        <f t="shared" si="11"/>
        <v>#N/A</v>
      </c>
      <c r="AW25" s="119" t="e">
        <f t="shared" si="12"/>
        <v>#N/A</v>
      </c>
      <c r="AX25" s="116" t="e">
        <f t="shared" si="13"/>
        <v>#N/A</v>
      </c>
      <c r="AY25" s="115" t="e">
        <f t="shared" si="14"/>
        <v>#N/A</v>
      </c>
      <c r="AZ25" s="119" t="e">
        <f t="shared" si="15"/>
        <v>#N/A</v>
      </c>
      <c r="BA25" s="119" t="e">
        <f t="shared" si="16"/>
        <v>#N/A</v>
      </c>
      <c r="BB25" s="116" t="e">
        <f t="shared" si="17"/>
        <v>#N/A</v>
      </c>
      <c r="BC25" s="118" t="str">
        <f>IFERROR(INDEX($AQ$12:$BF$87,15,$BC$2),"")</f>
        <v/>
      </c>
      <c r="BD25" s="119" t="str">
        <f>IFERROR(INDEX($AQ$12:$BF$87,15,$BD$2),"")</f>
        <v/>
      </c>
      <c r="BE25" s="250" t="str">
        <f>IFERROR(IF(AND(NOT(BC27="注法-复制魔法物品"),OR(BC27="",COUNTIF($BG$2:$BG$46,BC27))),"",BC27),"")</f>
        <v/>
      </c>
      <c r="BF25" s="198" t="str">
        <f t="array" ref="BF25">INDEX(BE:BE,SMALL(IF($BE$2:$BE$143&lt;&gt;"",ROW($2:$143),144),ROW(BE24)))&amp;""</f>
        <v/>
      </c>
      <c r="BG25" s="156">
        <f>IF(主要!C107="",0,主要!C107)</f>
        <v>0</v>
      </c>
      <c r="BH25" s="130" t="str">
        <f t="shared" si="2"/>
        <v/>
      </c>
      <c r="BI25" s="155" t="str">
        <f t="shared" si="5"/>
        <v/>
      </c>
      <c r="BJ25" s="130"/>
      <c r="BK25" s="130"/>
      <c r="BL25" s="130"/>
      <c r="BM25" s="130"/>
      <c r="BN25" s="130"/>
      <c r="BO25" s="130"/>
      <c r="BP25" s="130"/>
      <c r="BQ25" s="130"/>
      <c r="BR25" s="130"/>
      <c r="BS25" s="130"/>
      <c r="BT25" s="130"/>
      <c r="BU25" s="130"/>
      <c r="BV25" s="130"/>
      <c r="BW25" s="130"/>
      <c r="BX25" s="130"/>
      <c r="BY25" s="130"/>
      <c r="BZ25" s="130"/>
    </row>
    <row r="26" spans="1:78" ht="14.4" customHeight="1" x14ac:dyDescent="0.25">
      <c r="A26" s="156">
        <v>10</v>
      </c>
      <c r="B26" s="274" t="str">
        <f>IF(综合数据!B14=TRUE,"直觉猛扑","")</f>
        <v>直觉猛扑</v>
      </c>
      <c r="C26" s="274" t="s">
        <v>1884</v>
      </c>
      <c r="D26" s="180" t="s">
        <v>1885</v>
      </c>
      <c r="E26" s="119" t="s">
        <v>1886</v>
      </c>
      <c r="F26" s="273" t="s">
        <v>1887</v>
      </c>
      <c r="G26" s="273" t="s">
        <v>1888</v>
      </c>
      <c r="H26" s="274" t="str">
        <f>IF(综合数据!B14=TRUE,"荒野伙伴","")</f>
        <v>荒野伙伴</v>
      </c>
      <c r="I26" s="274" t="s">
        <v>1889</v>
      </c>
      <c r="J26" s="274" t="str">
        <f>IF(AND(综合数据!B14=TRUE,OR(BI53&gt;0,COUNTIF($BG$2:$BG$46,"战斗风格-卓越技巧"))),"战斗风格-卓越技巧","")</f>
        <v/>
      </c>
      <c r="K26" s="273" t="s">
        <v>1890</v>
      </c>
      <c r="L26" s="119" t="s">
        <v>1891</v>
      </c>
      <c r="M26" s="119" t="s">
        <v>1892</v>
      </c>
      <c r="N26" s="274" t="str">
        <f>IF(AND(综合数据!B14=TRUE,OR(BI53&gt;0,COUNTIF($BG$2:$BG$46,"战斗风格-拦截"))),"战斗风格-拦截","")</f>
        <v/>
      </c>
      <c r="O26" s="273" t="s">
        <v>1893</v>
      </c>
      <c r="P26" s="274" t="str">
        <f>IF(AND(综合数据!B14=TRUE,OR(BI53&gt;0,COUNTIF($BG$2:$BG$46,"战斗风格-盲斗"))),"战斗风格-盲斗","")</f>
        <v/>
      </c>
      <c r="Q26" s="273" t="s">
        <v>1894</v>
      </c>
      <c r="R26" s="106" t="s">
        <v>1895</v>
      </c>
      <c r="S26" s="119" t="s">
        <v>1896</v>
      </c>
      <c r="T26" s="180" t="s">
        <v>1897</v>
      </c>
      <c r="U26" s="119" t="s">
        <v>1898</v>
      </c>
      <c r="V26" s="273" t="str">
        <f>IF(OR(BI65&gt;0,COUNTIF($BG$2:$BG$46,"魔能祈唤-幽影护甲")),"魔能祈唤-幽影护甲","")</f>
        <v/>
      </c>
      <c r="W26" s="273" t="s">
        <v>1899</v>
      </c>
      <c r="X26" s="119" t="s">
        <v>1900</v>
      </c>
      <c r="Y26" s="119" t="s">
        <v>1901</v>
      </c>
      <c r="Z26" s="273" t="str">
        <f>IF(OR(BI67&gt;0,COUNTIF($BG$2:$BG$46,"注法-增强奥术法器")),"注法-增强奥术法器","")</f>
        <v/>
      </c>
      <c r="AA26" s="279" t="s">
        <v>1902</v>
      </c>
      <c r="AB26" s="118" t="str">
        <f>IF(AND(主要!$R$4&lt;&gt;"",主要!$Y$3-主要!$Y$6-主要!$Y$7&gt;=3),3,"")</f>
        <v/>
      </c>
      <c r="AC26" s="119" t="str">
        <f>IF(AND(主要!$R$6&lt;&gt;"",主要!$Y$3-主要!$Y$4-主要!$Y$7&gt;=3),3,"")</f>
        <v/>
      </c>
      <c r="AD26" s="120" t="str">
        <f>IF(AND(主要!$R$7&lt;&gt;"",主要!$Y$3-主要!$Y$4-主要!$Y$6&gt;=3),3,"")</f>
        <v/>
      </c>
      <c r="AE26" s="273"/>
      <c r="AF26" s="117" t="s">
        <v>1566</v>
      </c>
      <c r="AG26" s="156" t="str">
        <f t="array" ref="AG26">INDEX(AI:AI,SMALL(IF($AI$2:$AI$14&lt;&gt;"",ROW($2:$14),15),ROW(AI10)))&amp;""</f>
        <v/>
      </c>
      <c r="AH26" s="198" t="str">
        <f t="array" ref="AH26">INDEX(AJ:AJ,SMALL(IF($AJ$2:$AJ$14&lt;&gt;"",ROW($2:$14),15),ROW(AJ10)))&amp;""</f>
        <v/>
      </c>
      <c r="AI26" s="156" t="e">
        <f>INDEX($B$2:$S$14,AI$17,9)</f>
        <v>#N/A</v>
      </c>
      <c r="AJ26" s="130" t="e">
        <f>INDEX($B$2:$S$14,AJ$17,9)</f>
        <v>#N/A</v>
      </c>
      <c r="AK26" s="130" t="e">
        <f>INDEX($B$2:$S$14,AK$17,9)</f>
        <v>#N/A</v>
      </c>
      <c r="AL26" s="157" t="e">
        <f t="array" ref="AL26">INDEX(AJ:AJ,SMALL(IF($AJ$18:$AJ$35&lt;&gt;"",ROW($18:$35),36),ROW(AJ5)))&amp;""</f>
        <v>#N/A</v>
      </c>
      <c r="AM26" s="106" t="s">
        <v>1507</v>
      </c>
      <c r="AN26" s="106"/>
      <c r="AO26" s="106">
        <v>50</v>
      </c>
      <c r="AP26" s="116">
        <f>IF($AG$4&gt;=17,55,IF($AG$4&gt;=8,54,IF($AG$4&gt;=6,53,IF($AG$4&gt;=2,52,IF($AG$4&gt;=1,51,0)))))</f>
        <v>0</v>
      </c>
      <c r="AQ26" s="115" t="e">
        <f t="shared" si="6"/>
        <v>#N/A</v>
      </c>
      <c r="AR26" s="119" t="e">
        <f t="shared" si="7"/>
        <v>#N/A</v>
      </c>
      <c r="AS26" s="119" t="e">
        <f t="shared" si="8"/>
        <v>#N/A</v>
      </c>
      <c r="AT26" s="116" t="e">
        <f t="shared" si="9"/>
        <v>#N/A</v>
      </c>
      <c r="AU26" s="115" t="e">
        <f t="shared" si="10"/>
        <v>#N/A</v>
      </c>
      <c r="AV26" s="119" t="e">
        <f t="shared" si="11"/>
        <v>#N/A</v>
      </c>
      <c r="AW26" s="119" t="e">
        <f t="shared" si="12"/>
        <v>#N/A</v>
      </c>
      <c r="AX26" s="116" t="e">
        <f t="shared" si="13"/>
        <v>#N/A</v>
      </c>
      <c r="AY26" s="115" t="e">
        <f t="shared" si="14"/>
        <v>#N/A</v>
      </c>
      <c r="AZ26" s="119" t="e">
        <f t="shared" si="15"/>
        <v>#N/A</v>
      </c>
      <c r="BA26" s="119" t="e">
        <f t="shared" si="16"/>
        <v>#N/A</v>
      </c>
      <c r="BB26" s="116" t="e">
        <f t="shared" si="17"/>
        <v>#N/A</v>
      </c>
      <c r="BC26" s="118" t="str">
        <f>IFERROR(INDEX($AQ$12:$BF$87,16,$BC$2),"")</f>
        <v/>
      </c>
      <c r="BD26" s="119" t="str">
        <f>IFERROR(INDEX($AQ$12:$BF$87,16,$BD$2),"")</f>
        <v/>
      </c>
      <c r="BE26" s="250" t="str">
        <f t="shared" ref="BE26:BE57" si="18">IFERROR(IF(OR(BC28="",COUNTIF($BG$2:$BG$46,BC28)),"",BC28),"")</f>
        <v/>
      </c>
      <c r="BF26" s="198" t="str">
        <f t="array" ref="BF26">INDEX(BE:BE,SMALL(IF($BE$2:$BE$143&lt;&gt;"",ROW($2:$143),144),ROW(BE25)))&amp;""</f>
        <v/>
      </c>
      <c r="BG26" s="156">
        <f>IF(主要!C108="",0,主要!C108)</f>
        <v>0</v>
      </c>
      <c r="BH26" s="130" t="str">
        <f t="shared" si="2"/>
        <v/>
      </c>
      <c r="BI26" s="155" t="str">
        <f t="shared" si="5"/>
        <v/>
      </c>
      <c r="BJ26" s="130"/>
      <c r="BK26" s="130"/>
      <c r="BL26" s="130"/>
      <c r="BM26" s="130"/>
      <c r="BN26" s="130"/>
      <c r="BO26" s="130"/>
      <c r="BP26" s="130"/>
      <c r="BQ26" s="130"/>
      <c r="BR26" s="130"/>
      <c r="BS26" s="130"/>
      <c r="BT26" s="130"/>
      <c r="BU26" s="130"/>
      <c r="BV26" s="130"/>
      <c r="BW26" s="130"/>
      <c r="BX26" s="130"/>
      <c r="BY26" s="130"/>
      <c r="BZ26" s="130"/>
    </row>
    <row r="27" spans="1:78" ht="14.4" customHeight="1" x14ac:dyDescent="0.25">
      <c r="A27" s="156">
        <v>11</v>
      </c>
      <c r="B27" s="119" t="s">
        <v>1903</v>
      </c>
      <c r="C27" s="119" t="s">
        <v>1904</v>
      </c>
      <c r="D27" s="274" t="str">
        <f>IF(综合数据!B14=TRUE,"魔法激励","")</f>
        <v>魔法激励</v>
      </c>
      <c r="E27" s="274" t="s">
        <v>1905</v>
      </c>
      <c r="F27" s="274" t="str">
        <f>IF(综合数据!B14=TRUE,"神力掌控","")</f>
        <v>神力掌控</v>
      </c>
      <c r="G27" s="274" t="s">
        <v>1906</v>
      </c>
      <c r="H27" s="274" t="str">
        <f>IF(综合数据!B14=TRUE,"替换戏法-德鲁伊","")</f>
        <v>替换戏法-德鲁伊</v>
      </c>
      <c r="I27" s="274" t="s">
        <v>1907</v>
      </c>
      <c r="J27" s="274" t="str">
        <f>IF(AND(综合数据!B14=TRUE,OR(BI53&gt;0,COUNTIF($BG$2:$BG$46,"战斗风格-投掷武器战斗"))),"战斗风格-投掷武器战斗","")</f>
        <v/>
      </c>
      <c r="K27" s="273" t="s">
        <v>1908</v>
      </c>
      <c r="L27" s="274" t="str">
        <f>IF(综合数据!B14=TRUE,"驭气以击","")</f>
        <v>驭气以击</v>
      </c>
      <c r="M27" s="274" t="s">
        <v>1909</v>
      </c>
      <c r="N27" s="119" t="s">
        <v>1910</v>
      </c>
      <c r="O27" s="119" t="s">
        <v>1911</v>
      </c>
      <c r="P27" s="274" t="str">
        <f>IF(AND(综合数据!B14=TRUE,OR(BI53&gt;0,COUNTIF($BG$2:$BG$46,"战斗风格-德鲁伊教战士"))),"战斗风格-德鲁伊教战士","")</f>
        <v/>
      </c>
      <c r="Q27" s="273" t="s">
        <v>1912</v>
      </c>
      <c r="R27" s="106" t="s">
        <v>1913</v>
      </c>
      <c r="S27" s="119" t="s">
        <v>1914</v>
      </c>
      <c r="T27" s="180" t="s">
        <v>1915</v>
      </c>
      <c r="U27" s="119" t="s">
        <v>1916</v>
      </c>
      <c r="V27" s="273" t="str">
        <f>IF(OR(BI65&gt;0,COUNTIF($BG$2:$BG$46,"魔能祈唤-野兽之语")),"魔能祈唤-野兽之语","")</f>
        <v/>
      </c>
      <c r="W27" s="273" t="s">
        <v>1917</v>
      </c>
      <c r="X27" s="119" t="s">
        <v>1918</v>
      </c>
      <c r="Y27" s="119" t="s">
        <v>1919</v>
      </c>
      <c r="Z27" s="273" t="str">
        <f>IF(OR(BI67&gt;0,COUNTIF($BG$2:$BG$46,"注法-增强防御")),"注法-增强防御","")</f>
        <v/>
      </c>
      <c r="AA27" s="279" t="s">
        <v>1920</v>
      </c>
      <c r="AB27" s="118" t="str">
        <f>IF(AND(主要!$R$4&lt;&gt;"",主要!$Y$3-主要!$Y$6-主要!$Y$7&gt;=4),4,"")</f>
        <v/>
      </c>
      <c r="AC27" s="119" t="str">
        <f>IF(AND(主要!$R$6&lt;&gt;"",主要!$Y$3-主要!$Y$4-主要!$Y$7&gt;=4),4,"")</f>
        <v/>
      </c>
      <c r="AD27" s="120" t="str">
        <f>IF(AND(主要!$R$7&lt;&gt;"",主要!$Y$3-主要!$Y$4-主要!$Y$6&gt;=4),4,"")</f>
        <v/>
      </c>
      <c r="AE27" s="273"/>
      <c r="AF27" s="125" t="s">
        <v>1444</v>
      </c>
      <c r="AG27" s="156" t="str">
        <f t="array" ref="AG27">INDEX(AI:AI,SMALL(IF($AI$2:$AI$14&lt;&gt;"",ROW($2:$14),15),ROW(AI11)))&amp;""</f>
        <v/>
      </c>
      <c r="AH27" s="198" t="str">
        <f t="array" ref="AH27">INDEX(AJ:AJ,SMALL(IF($AJ$2:$AJ$14&lt;&gt;"",ROW($2:$14),15),ROW(AJ11)))&amp;""</f>
        <v/>
      </c>
      <c r="AI27" s="156" t="e">
        <f>INDEX($B$2:$S$14,AI$17,10)</f>
        <v>#N/A</v>
      </c>
      <c r="AJ27" s="130" t="e">
        <f>INDEX($B$2:$S$14,AJ$17,10)</f>
        <v>#N/A</v>
      </c>
      <c r="AK27" s="130" t="e">
        <f>INDEX($B$2:$S$14,AK$17,10)</f>
        <v>#N/A</v>
      </c>
      <c r="AL27" s="157" t="e">
        <f t="array" ref="AL27">INDEX(AJ:AJ,SMALL(IF($AJ$18:$AJ$35&lt;&gt;"",ROW($18:$35),36),ROW(AJ6)))&amp;""</f>
        <v>#N/A</v>
      </c>
      <c r="AM27" s="106" t="s">
        <v>1508</v>
      </c>
      <c r="AN27" s="106"/>
      <c r="AO27" s="106">
        <v>56</v>
      </c>
      <c r="AP27" s="116">
        <f>IF($AG$4&gt;=17,62,IF($AG$4&gt;=8,61,IF($AG$4&gt;=6,60,IF($AG$4&gt;=2,59,IF($AG$4&gt;=1,58,0)))))</f>
        <v>0</v>
      </c>
      <c r="AQ27" s="115" t="e">
        <f t="shared" si="6"/>
        <v>#N/A</v>
      </c>
      <c r="AR27" s="119" t="e">
        <f t="shared" si="7"/>
        <v>#N/A</v>
      </c>
      <c r="AS27" s="119" t="e">
        <f t="shared" si="8"/>
        <v>#N/A</v>
      </c>
      <c r="AT27" s="116" t="e">
        <f t="shared" si="9"/>
        <v>#N/A</v>
      </c>
      <c r="AU27" s="115" t="e">
        <f t="shared" si="10"/>
        <v>#N/A</v>
      </c>
      <c r="AV27" s="119" t="e">
        <f t="shared" si="11"/>
        <v>#N/A</v>
      </c>
      <c r="AW27" s="119" t="e">
        <f t="shared" si="12"/>
        <v>#N/A</v>
      </c>
      <c r="AX27" s="116" t="e">
        <f t="shared" si="13"/>
        <v>#N/A</v>
      </c>
      <c r="AY27" s="115" t="e">
        <f t="shared" si="14"/>
        <v>#N/A</v>
      </c>
      <c r="AZ27" s="119" t="e">
        <f t="shared" si="15"/>
        <v>#N/A</v>
      </c>
      <c r="BA27" s="119" t="e">
        <f t="shared" si="16"/>
        <v>#N/A</v>
      </c>
      <c r="BB27" s="116" t="e">
        <f t="shared" si="17"/>
        <v>#N/A</v>
      </c>
      <c r="BC27" s="118" t="str">
        <f>IFERROR(INDEX($AQ$12:$BF$87,17,$BC$2),"")</f>
        <v/>
      </c>
      <c r="BD27" s="119" t="str">
        <f>IFERROR(INDEX($AQ$12:$BF$87,17,$BD$2),"")</f>
        <v/>
      </c>
      <c r="BE27" s="250" t="str">
        <f t="shared" si="18"/>
        <v/>
      </c>
      <c r="BF27" s="198" t="str">
        <f t="array" ref="BF27">INDEX(BE:BE,SMALL(IF($BE$2:$BE$143&lt;&gt;"",ROW($2:$143),144),ROW(BE26)))&amp;""</f>
        <v/>
      </c>
      <c r="BG27" s="156">
        <f>IF(主要!C109="",0,主要!C109)</f>
        <v>0</v>
      </c>
      <c r="BH27" s="130" t="str">
        <f t="shared" si="2"/>
        <v/>
      </c>
      <c r="BI27" s="155" t="str">
        <f t="shared" si="5"/>
        <v/>
      </c>
      <c r="BJ27" s="130"/>
      <c r="BK27" s="130"/>
      <c r="BL27" s="130"/>
      <c r="BM27" s="130"/>
      <c r="BN27" s="130"/>
      <c r="BO27" s="130"/>
      <c r="BP27" s="130"/>
      <c r="BQ27" s="130"/>
      <c r="BR27" s="130"/>
      <c r="BS27" s="130"/>
      <c r="BT27" s="130"/>
      <c r="BU27" s="130"/>
      <c r="BV27" s="130"/>
      <c r="BW27" s="130"/>
      <c r="BX27" s="130"/>
      <c r="BY27" s="130"/>
      <c r="BZ27" s="130"/>
    </row>
    <row r="28" spans="1:78" ht="14.4" customHeight="1" x14ac:dyDescent="0.25">
      <c r="A28" s="156">
        <v>12</v>
      </c>
      <c r="B28" s="119" t="s">
        <v>1921</v>
      </c>
      <c r="C28" s="119" t="s">
        <v>1922</v>
      </c>
      <c r="D28" s="180" t="s">
        <v>1923</v>
      </c>
      <c r="E28" s="119" t="s">
        <v>1924</v>
      </c>
      <c r="F28" s="274" t="str">
        <f>IF(综合数据!B14=TRUE,"替换戏法-牧师","")</f>
        <v>替换戏法-牧师</v>
      </c>
      <c r="G28" s="274" t="s">
        <v>1925</v>
      </c>
      <c r="H28" s="119" t="s">
        <v>1926</v>
      </c>
      <c r="I28" s="119" t="s">
        <v>1927</v>
      </c>
      <c r="J28" s="274" t="str">
        <f>IF(AND(综合数据!B14=TRUE,OR(BI53&gt;0,COUNTIF($BG$2:$BG$46,"战斗风格-徒手战斗"))),"战斗风格-徒手战斗","")</f>
        <v/>
      </c>
      <c r="K28" s="273" t="s">
        <v>1928</v>
      </c>
      <c r="L28" s="119" t="s">
        <v>1929</v>
      </c>
      <c r="M28" s="119" t="s">
        <v>1930</v>
      </c>
      <c r="N28" s="119" t="s">
        <v>1931</v>
      </c>
      <c r="O28" s="119" t="s">
        <v>1932</v>
      </c>
      <c r="P28" s="274" t="str">
        <f>IF(AND(综合数据!B14=TRUE,OR(BI53&gt;0,COUNTIF($BG$2:$BG$46,"战斗风格-投掷武器战斗"))),"战斗风格-投掷武器战斗","")</f>
        <v/>
      </c>
      <c r="Q28" s="273" t="s">
        <v>1908</v>
      </c>
      <c r="R28" s="106" t="s">
        <v>1933</v>
      </c>
      <c r="S28" s="119" t="s">
        <v>1934</v>
      </c>
      <c r="T28" s="180" t="s">
        <v>1935</v>
      </c>
      <c r="U28" s="119" t="s">
        <v>1936</v>
      </c>
      <c r="V28" s="273" t="str">
        <f>IF(OR(BI65&gt;0,COUNTIF($BG$2:$BG$46,"魔能祈唤-诱导话术")),"魔能祈唤-诱导话术","")</f>
        <v/>
      </c>
      <c r="W28" s="273" t="s">
        <v>1937</v>
      </c>
      <c r="X28" s="119" t="s">
        <v>1938</v>
      </c>
      <c r="Y28" s="119" t="s">
        <v>1939</v>
      </c>
      <c r="Z28" s="273" t="str">
        <f>IF(OR(BI67&gt;0,COUNTIF($BG$2:$BG$46,"注法-增强武器")),"注法-增强武器","")</f>
        <v/>
      </c>
      <c r="AA28" s="279" t="s">
        <v>1940</v>
      </c>
      <c r="AB28" s="118" t="str">
        <f>IF(AND(主要!$R$4&lt;&gt;"",主要!$Y$3-主要!$Y$6-主要!$Y$7&gt;=5),5,"")</f>
        <v/>
      </c>
      <c r="AC28" s="119" t="str">
        <f>IF(AND(主要!$R$6&lt;&gt;"",主要!$Y$3-主要!$Y$4-主要!$Y$7&gt;=5),5,"")</f>
        <v/>
      </c>
      <c r="AD28" s="120" t="str">
        <f>IF(AND(主要!$R$7&lt;&gt;"",主要!$Y$3-主要!$Y$4-主要!$Y$6&gt;=5),5,"")</f>
        <v/>
      </c>
      <c r="AE28" s="273"/>
      <c r="AF28" s="273"/>
      <c r="AG28" s="171" t="str">
        <f t="array" ref="AG28">INDEX(AI:AI,SMALL(IF($AI$2:$AI$14&lt;&gt;"",ROW($2:$14),15),ROW(AI12)))&amp;""</f>
        <v/>
      </c>
      <c r="AH28" s="280" t="str">
        <f t="array" ref="AH28">INDEX(AJ:AJ,SMALL(IF($AJ$2:$AJ$14&lt;&gt;"",ROW($2:$14),15),ROW(AJ12)))&amp;""</f>
        <v/>
      </c>
      <c r="AI28" s="156" t="e">
        <f>INDEX($B$2:$S$14,AI$17,11)</f>
        <v>#N/A</v>
      </c>
      <c r="AJ28" s="130" t="e">
        <f>INDEX($B$2:$S$14,AJ$17,11)</f>
        <v>#N/A</v>
      </c>
      <c r="AK28" s="130" t="e">
        <f>INDEX($B$2:$S$14,AK$17,11)</f>
        <v>#N/A</v>
      </c>
      <c r="AL28" s="157" t="e">
        <f t="array" ref="AL28">INDEX(AJ:AJ,SMALL(IF($AJ$18:$AJ$35&lt;&gt;"",ROW($18:$35),36),ROW(AJ7)))&amp;""</f>
        <v>#N/A</v>
      </c>
      <c r="AM28" s="237" t="s">
        <v>1941</v>
      </c>
      <c r="AN28" s="237"/>
      <c r="AO28" s="237">
        <v>63</v>
      </c>
      <c r="AP28" s="281">
        <f>IF($AG$4&gt;=17,69,IF($AG$4&gt;=8,68,IF($AG$4&gt;=6,67,IF($AG$4&gt;=2,66,IF($AG$4&gt;=1,65,0)))))</f>
        <v>0</v>
      </c>
      <c r="AQ28" s="115" t="e">
        <f t="shared" si="6"/>
        <v>#N/A</v>
      </c>
      <c r="AR28" s="119" t="e">
        <f t="shared" si="7"/>
        <v>#N/A</v>
      </c>
      <c r="AS28" s="119" t="e">
        <f t="shared" si="8"/>
        <v>#N/A</v>
      </c>
      <c r="AT28" s="116" t="e">
        <f t="shared" si="9"/>
        <v>#N/A</v>
      </c>
      <c r="AU28" s="115" t="e">
        <f t="shared" si="10"/>
        <v>#N/A</v>
      </c>
      <c r="AV28" s="119" t="e">
        <f t="shared" si="11"/>
        <v>#N/A</v>
      </c>
      <c r="AW28" s="119" t="e">
        <f t="shared" si="12"/>
        <v>#N/A</v>
      </c>
      <c r="AX28" s="116" t="e">
        <f t="shared" si="13"/>
        <v>#N/A</v>
      </c>
      <c r="AY28" s="115" t="e">
        <f t="shared" si="14"/>
        <v>#N/A</v>
      </c>
      <c r="AZ28" s="119" t="e">
        <f t="shared" si="15"/>
        <v>#N/A</v>
      </c>
      <c r="BA28" s="119" t="e">
        <f t="shared" si="16"/>
        <v>#N/A</v>
      </c>
      <c r="BB28" s="116" t="e">
        <f t="shared" si="17"/>
        <v>#N/A</v>
      </c>
      <c r="BC28" s="118" t="str">
        <f>IFERROR(INDEX($AQ$12:$BF$87,18,$BC$2),"")</f>
        <v/>
      </c>
      <c r="BD28" s="119" t="str">
        <f>IFERROR(INDEX($AQ$12:$BF$87,18,$BD$2),"")</f>
        <v/>
      </c>
      <c r="BE28" s="250" t="str">
        <f t="shared" si="18"/>
        <v/>
      </c>
      <c r="BF28" s="198" t="str">
        <f t="array" ref="BF28">INDEX(BE:BE,SMALL(IF($BE$2:$BE$143&lt;&gt;"",ROW($2:$143),144),ROW(BE27)))&amp;""</f>
        <v/>
      </c>
      <c r="BG28" s="156">
        <f>IF(主要!C110="",0,主要!C110)</f>
        <v>0</v>
      </c>
      <c r="BH28" s="130" t="str">
        <f t="shared" si="2"/>
        <v/>
      </c>
      <c r="BI28" s="155" t="str">
        <f t="shared" si="5"/>
        <v/>
      </c>
      <c r="BJ28" s="130"/>
      <c r="BK28" s="130"/>
      <c r="BL28" s="130"/>
      <c r="BM28" s="130"/>
      <c r="BN28" s="130"/>
      <c r="BO28" s="130"/>
      <c r="BP28" s="130"/>
      <c r="BQ28" s="130"/>
      <c r="BR28" s="130"/>
      <c r="BS28" s="130"/>
      <c r="BT28" s="130"/>
      <c r="BU28" s="130"/>
      <c r="BV28" s="130"/>
      <c r="BW28" s="130"/>
      <c r="BX28" s="130"/>
      <c r="BY28" s="130"/>
      <c r="BZ28" s="130"/>
    </row>
    <row r="29" spans="1:78" ht="14.4" customHeight="1" x14ac:dyDescent="0.25">
      <c r="A29" s="156">
        <v>13</v>
      </c>
      <c r="B29" s="119" t="s">
        <v>1942</v>
      </c>
      <c r="C29" s="119" t="s">
        <v>1943</v>
      </c>
      <c r="D29" s="119" t="s">
        <v>1944</v>
      </c>
      <c r="E29" s="119" t="s">
        <v>1945</v>
      </c>
      <c r="F29" s="180" t="s">
        <v>1946</v>
      </c>
      <c r="G29" s="119" t="s">
        <v>1947</v>
      </c>
      <c r="H29" s="119" t="s">
        <v>1948</v>
      </c>
      <c r="I29" s="119" t="s">
        <v>1949</v>
      </c>
      <c r="J29" s="119" t="s">
        <v>1950</v>
      </c>
      <c r="K29" s="119" t="s">
        <v>1951</v>
      </c>
      <c r="L29" s="274" t="str">
        <f>IF(综合数据!B14=TRUE,"加速愈合","")</f>
        <v>加速愈合</v>
      </c>
      <c r="M29" s="274" t="s">
        <v>1952</v>
      </c>
      <c r="N29" s="119" t="s">
        <v>1953</v>
      </c>
      <c r="O29" s="119" t="s">
        <v>1954</v>
      </c>
      <c r="P29" s="119" t="s">
        <v>1955</v>
      </c>
      <c r="Q29" s="119" t="s">
        <v>1956</v>
      </c>
      <c r="R29" s="106" t="s">
        <v>1957</v>
      </c>
      <c r="S29" s="119" t="s">
        <v>1958</v>
      </c>
      <c r="T29" s="119" t="s">
        <v>1959</v>
      </c>
      <c r="U29" s="119" t="s">
        <v>1960</v>
      </c>
      <c r="V29" s="273" t="str">
        <f>IF(OR(BI65&gt;0,COUNTIF($BG$2:$BG$46,"魔能祈唤-魔鬼视界")),"魔能祈唤-魔鬼视界","")</f>
        <v/>
      </c>
      <c r="W29" s="273" t="s">
        <v>1961</v>
      </c>
      <c r="X29" s="119" t="s">
        <v>1962</v>
      </c>
      <c r="Y29" s="119" t="s">
        <v>1963</v>
      </c>
      <c r="Z29" s="273" t="str">
        <f>IF(OR(BI67&gt;0,COUNTIF($BG$2:$BG$46,"注法-人工生命仆从")),"注法-人工生命仆从","")</f>
        <v/>
      </c>
      <c r="AA29" s="279" t="s">
        <v>1964</v>
      </c>
      <c r="AB29" s="118" t="str">
        <f>IF(AND(主要!$R$4&lt;&gt;"",主要!$Y$3-主要!$Y$6-主要!$Y$7&gt;=6),6,"")</f>
        <v/>
      </c>
      <c r="AC29" s="119" t="str">
        <f>IF(AND(主要!$R$6&lt;&gt;"",主要!$Y$3-主要!$Y$4-主要!$Y$7&gt;=6),6,"")</f>
        <v/>
      </c>
      <c r="AD29" s="120" t="str">
        <f>IF(AND(主要!$R$7&lt;&gt;"",主要!$Y$3-主要!$Y$4-主要!$Y$6&gt;=6),6,"")</f>
        <v/>
      </c>
      <c r="AE29" s="273"/>
      <c r="AF29" s="273"/>
      <c r="AG29" s="273"/>
      <c r="AH29" s="273"/>
      <c r="AI29" s="156" t="e">
        <f>INDEX($B$2:$S$14,AI$17,12)</f>
        <v>#N/A</v>
      </c>
      <c r="AJ29" s="130" t="e">
        <f>INDEX($B$2:$S$14,AJ$17,12)</f>
        <v>#N/A</v>
      </c>
      <c r="AK29" s="130" t="e">
        <f>INDEX($B$2:$S$14,AK$17,12)</f>
        <v>#N/A</v>
      </c>
      <c r="AL29" s="157" t="e">
        <f t="array" ref="AL29">INDEX(AJ:AJ,SMALL(IF($AJ$18:$AJ$35&lt;&gt;"",ROW($18:$35),36),ROW(AJ8)))&amp;""</f>
        <v>#N/A</v>
      </c>
      <c r="AM29" s="166" t="s">
        <v>1965</v>
      </c>
      <c r="AN29" s="166"/>
      <c r="AO29" s="166">
        <v>70</v>
      </c>
      <c r="AP29" s="282">
        <f>IF($AG$4&gt;=17,75,IF($AG$4&gt;=8,74,IF($AG$4&gt;=6,73,IF($AG$4&gt;=2,72,IF($AG$4&gt;=1,71,0)))))</f>
        <v>0</v>
      </c>
      <c r="AQ29" s="115" t="e">
        <f t="shared" si="6"/>
        <v>#N/A</v>
      </c>
      <c r="AR29" s="119" t="e">
        <f t="shared" si="7"/>
        <v>#N/A</v>
      </c>
      <c r="AS29" s="119" t="e">
        <f t="shared" si="8"/>
        <v>#N/A</v>
      </c>
      <c r="AT29" s="116" t="e">
        <f t="shared" si="9"/>
        <v>#N/A</v>
      </c>
      <c r="AU29" s="115" t="e">
        <f t="shared" si="10"/>
        <v>#N/A</v>
      </c>
      <c r="AV29" s="119" t="e">
        <f t="shared" si="11"/>
        <v>#N/A</v>
      </c>
      <c r="AW29" s="119" t="e">
        <f t="shared" si="12"/>
        <v>#N/A</v>
      </c>
      <c r="AX29" s="116" t="e">
        <f t="shared" si="13"/>
        <v>#N/A</v>
      </c>
      <c r="AY29" s="115" t="e">
        <f t="shared" si="14"/>
        <v>#N/A</v>
      </c>
      <c r="AZ29" s="119" t="e">
        <f t="shared" si="15"/>
        <v>#N/A</v>
      </c>
      <c r="BA29" s="119" t="e">
        <f t="shared" si="16"/>
        <v>#N/A</v>
      </c>
      <c r="BB29" s="116" t="e">
        <f t="shared" si="17"/>
        <v>#N/A</v>
      </c>
      <c r="BC29" s="118" t="str">
        <f>IFERROR(INDEX($AQ$12:$BF$87,19,$BC$2),"")</f>
        <v/>
      </c>
      <c r="BD29" s="119" t="str">
        <f>IFERROR(INDEX($AQ$12:$BF$87,19,$BD$2),"")</f>
        <v/>
      </c>
      <c r="BE29" s="250" t="str">
        <f t="shared" si="18"/>
        <v/>
      </c>
      <c r="BF29" s="198" t="str">
        <f t="array" ref="BF29">INDEX(BE:BE,SMALL(IF($BE$2:$BE$143&lt;&gt;"",ROW($2:$143),144),ROW(BE28)))&amp;""</f>
        <v/>
      </c>
      <c r="BG29" s="156">
        <f>IF(主要!C111="",0,主要!C111)</f>
        <v>0</v>
      </c>
      <c r="BH29" s="130" t="str">
        <f t="shared" si="2"/>
        <v/>
      </c>
      <c r="BI29" s="155" t="str">
        <f t="shared" si="5"/>
        <v/>
      </c>
      <c r="BJ29" s="130"/>
      <c r="BK29" s="130"/>
      <c r="BL29" s="130"/>
      <c r="BM29" s="130"/>
      <c r="BN29" s="130"/>
      <c r="BO29" s="130"/>
      <c r="BP29" s="130"/>
      <c r="BQ29" s="130"/>
      <c r="BR29" s="130"/>
      <c r="BS29" s="130"/>
      <c r="BT29" s="130"/>
      <c r="BU29" s="130"/>
      <c r="BV29" s="130"/>
      <c r="BW29" s="130"/>
      <c r="BX29" s="130"/>
      <c r="BY29" s="130"/>
      <c r="BZ29" s="130"/>
    </row>
    <row r="30" spans="1:78" ht="14.4" customHeight="1" x14ac:dyDescent="0.25">
      <c r="A30" s="156">
        <v>14</v>
      </c>
      <c r="B30" s="119" t="s">
        <v>1966</v>
      </c>
      <c r="C30" s="119" t="s">
        <v>1967</v>
      </c>
      <c r="D30" s="274" t="str">
        <f>IF(综合数据!B14=TRUE,"替换诗人法术","")</f>
        <v>替换诗人法术</v>
      </c>
      <c r="E30" s="274" t="s">
        <v>1968</v>
      </c>
      <c r="F30" s="274" t="str">
        <f>IF(AND(综合数据!B14=TRUE,OR(BH55&lt;1,COUNTIF($BG$2:$BG$46,"受祝击"))),"受祝击","")</f>
        <v>受祝击</v>
      </c>
      <c r="G30" s="269" t="s">
        <v>1969</v>
      </c>
      <c r="H30" s="119" t="s">
        <v>1970</v>
      </c>
      <c r="I30" s="119" t="s">
        <v>1971</v>
      </c>
      <c r="J30" s="119" t="s">
        <v>1972</v>
      </c>
      <c r="K30" s="119" t="s">
        <v>1973</v>
      </c>
      <c r="L30" s="119" t="str">
        <f>IF(COUNTIF($BG$2:$BG$46,"额外攻击-*"),"","额外攻击")</f>
        <v>额外攻击</v>
      </c>
      <c r="M30" s="119" t="s">
        <v>1974</v>
      </c>
      <c r="N30" s="119" t="s">
        <v>1975</v>
      </c>
      <c r="O30" s="119" t="s">
        <v>1976</v>
      </c>
      <c r="P30" s="119" t="s">
        <v>1977</v>
      </c>
      <c r="Q30" s="119" t="s">
        <v>1978</v>
      </c>
      <c r="R30" s="283" t="s">
        <v>1979</v>
      </c>
      <c r="S30" s="283" t="s">
        <v>1980</v>
      </c>
      <c r="T30" s="273" t="str">
        <f>IF(OR(BI63&gt;0,COUNTIF($BG$2:$BG$46,"超魔法-谨慎法术")),"超魔法-谨慎法术","")</f>
        <v/>
      </c>
      <c r="U30" s="273" t="s">
        <v>1981</v>
      </c>
      <c r="V30" s="273" t="str">
        <f>IF(OR(BI65&gt;0,COUNTIF($BG$2:$BG$46,"魔能祈唤-魔能视界")),"魔能祈唤-魔能视界","")</f>
        <v/>
      </c>
      <c r="W30" s="273" t="s">
        <v>1982</v>
      </c>
      <c r="X30" s="274" t="str">
        <f>IF(综合数据!B14=TRUE,"戏法公式","")</f>
        <v>戏法公式</v>
      </c>
      <c r="Y30" s="274" t="s">
        <v>1983</v>
      </c>
      <c r="Z30" s="273" t="str">
        <f>IF(OR(BI67&gt;0,COUNTIF($BG$2:$BG$46,"注法-连射武器")),"注法-连射武器","")</f>
        <v/>
      </c>
      <c r="AA30" s="279" t="s">
        <v>1984</v>
      </c>
      <c r="AB30" s="118" t="str">
        <f>IF(AND(主要!$R$4&lt;&gt;"",主要!$Y$3-主要!$Y$6-主要!$Y$7&gt;=7),7,"")</f>
        <v/>
      </c>
      <c r="AC30" s="119" t="str">
        <f>IF(AND(主要!$R$6&lt;&gt;"",主要!$Y$3-主要!$Y$4-主要!$Y$7&gt;=7),7,"")</f>
        <v/>
      </c>
      <c r="AD30" s="120" t="str">
        <f>IF(AND(主要!$R$7&lt;&gt;"",主要!$Y$3-主要!$Y$4-主要!$Y$6&gt;=7),7,"")</f>
        <v/>
      </c>
      <c r="AE30" s="273"/>
      <c r="AF30" s="273"/>
      <c r="AG30" s="273"/>
      <c r="AH30" s="273"/>
      <c r="AI30" s="156" t="e">
        <f>INDEX($B$2:$S$14,AI$17,13)</f>
        <v>#N/A</v>
      </c>
      <c r="AJ30" s="130" t="e">
        <f>INDEX($B$2:$S$14,AJ$17,13)</f>
        <v>#N/A</v>
      </c>
      <c r="AK30" s="130" t="e">
        <f>INDEX($B$2:$S$14,AK$17,13)</f>
        <v>#N/A</v>
      </c>
      <c r="AL30" s="157" t="e">
        <f t="array" ref="AL30">INDEX(AJ:AJ,SMALL(IF($AJ$18:$AJ$35&lt;&gt;"",ROW($18:$35),36),ROW(AJ9)))&amp;""</f>
        <v>#N/A</v>
      </c>
      <c r="AM30" s="247" t="s">
        <v>1985</v>
      </c>
      <c r="AN30" s="247"/>
      <c r="AO30" s="247">
        <v>76</v>
      </c>
      <c r="AP30" s="284">
        <f>IF($AG$4&gt;=17,82,IF($AG$4&gt;=8,81,IF($AG$4&gt;=6,80,IF($AG$4&gt;=2,79,IF($AG$4&gt;=1,78,0)))))</f>
        <v>0</v>
      </c>
      <c r="AQ30" s="115" t="e">
        <f t="shared" si="6"/>
        <v>#N/A</v>
      </c>
      <c r="AR30" s="119" t="e">
        <f t="shared" si="7"/>
        <v>#N/A</v>
      </c>
      <c r="AS30" s="119" t="e">
        <f t="shared" si="8"/>
        <v>#N/A</v>
      </c>
      <c r="AT30" s="116" t="e">
        <f t="shared" si="9"/>
        <v>#N/A</v>
      </c>
      <c r="AU30" s="115" t="e">
        <f t="shared" si="10"/>
        <v>#N/A</v>
      </c>
      <c r="AV30" s="119" t="e">
        <f t="shared" si="11"/>
        <v>#N/A</v>
      </c>
      <c r="AW30" s="119" t="e">
        <f t="shared" si="12"/>
        <v>#N/A</v>
      </c>
      <c r="AX30" s="116" t="e">
        <f t="shared" si="13"/>
        <v>#N/A</v>
      </c>
      <c r="AY30" s="115" t="e">
        <f t="shared" si="14"/>
        <v>#N/A</v>
      </c>
      <c r="AZ30" s="119" t="e">
        <f t="shared" si="15"/>
        <v>#N/A</v>
      </c>
      <c r="BA30" s="119" t="e">
        <f t="shared" si="16"/>
        <v>#N/A</v>
      </c>
      <c r="BB30" s="116" t="e">
        <f t="shared" si="17"/>
        <v>#N/A</v>
      </c>
      <c r="BC30" s="118" t="str">
        <f>IFERROR(INDEX($AQ$12:$BF$87,20,$BC$2),"")</f>
        <v/>
      </c>
      <c r="BD30" s="119" t="str">
        <f>IFERROR(INDEX($AQ$12:$BF$87,20,$BD$2),"")</f>
        <v/>
      </c>
      <c r="BE30" s="250" t="str">
        <f t="shared" si="18"/>
        <v/>
      </c>
      <c r="BF30" s="198" t="str">
        <f t="array" ref="BF30">INDEX(BE:BE,SMALL(IF($BE$2:$BE$143&lt;&gt;"",ROW($2:$143),144),ROW(BE29)))&amp;""</f>
        <v/>
      </c>
      <c r="BG30" s="156">
        <f>IF(主要!C112="",0,主要!C112)</f>
        <v>0</v>
      </c>
      <c r="BH30" s="130" t="str">
        <f t="shared" si="2"/>
        <v/>
      </c>
      <c r="BI30" s="155" t="str">
        <f t="shared" si="5"/>
        <v/>
      </c>
      <c r="BJ30" s="130"/>
      <c r="BK30" s="130"/>
      <c r="BL30" s="130"/>
      <c r="BM30" s="130"/>
      <c r="BN30" s="130"/>
      <c r="BO30" s="130"/>
      <c r="BP30" s="130"/>
      <c r="BQ30" s="130"/>
      <c r="BR30" s="130"/>
      <c r="BS30" s="130"/>
      <c r="BT30" s="130"/>
      <c r="BU30" s="130"/>
      <c r="BV30" s="130"/>
      <c r="BW30" s="130"/>
      <c r="BX30" s="130"/>
      <c r="BY30" s="130"/>
      <c r="BZ30" s="130"/>
    </row>
    <row r="31" spans="1:78" ht="14.4" customHeight="1" x14ac:dyDescent="0.25">
      <c r="A31" s="156">
        <v>15</v>
      </c>
      <c r="B31" s="119" t="s">
        <v>1986</v>
      </c>
      <c r="C31" s="119" t="s">
        <v>1987</v>
      </c>
      <c r="D31" s="180" t="s">
        <v>1988</v>
      </c>
      <c r="E31" s="119" t="s">
        <v>1989</v>
      </c>
      <c r="F31" s="180" t="s">
        <v>1990</v>
      </c>
      <c r="G31" s="119" t="s">
        <v>1991</v>
      </c>
      <c r="H31" s="283" t="s">
        <v>1992</v>
      </c>
      <c r="I31" s="283" t="s">
        <v>1993</v>
      </c>
      <c r="J31" s="119" t="s">
        <v>1994</v>
      </c>
      <c r="K31" s="119" t="s">
        <v>1995</v>
      </c>
      <c r="L31" s="119" t="s">
        <v>1996</v>
      </c>
      <c r="M31" s="119" t="s">
        <v>1997</v>
      </c>
      <c r="N31" s="180" t="s">
        <v>1998</v>
      </c>
      <c r="O31" s="119" t="s">
        <v>1999</v>
      </c>
      <c r="P31" s="119" t="s">
        <v>2000</v>
      </c>
      <c r="Q31" s="119" t="s">
        <v>2001</v>
      </c>
      <c r="R31" s="283" t="s">
        <v>2002</v>
      </c>
      <c r="S31" s="283" t="s">
        <v>2003</v>
      </c>
      <c r="T31" s="273" t="str">
        <f>IF(OR(BI63&gt;0,COUNTIF($BG$2:$BG$46,"超魔法-远程法术")),"超魔法-远程法术","")</f>
        <v/>
      </c>
      <c r="U31" s="273" t="s">
        <v>2004</v>
      </c>
      <c r="V31" s="273" t="str">
        <f>IF(AND(COUNTIF(法术数据!AK2:AK301,法术数据!B8)&gt;=1,OR(BI65&gt;0,COUNTIF($BG$2:$BG$46,"魔能祈唤-魔能长枪"))),"魔能祈唤-魔能长枪","")</f>
        <v/>
      </c>
      <c r="W31" s="278" t="s">
        <v>2005</v>
      </c>
      <c r="X31" s="119" t="s">
        <v>2006</v>
      </c>
      <c r="Y31" s="119" t="s">
        <v>2007</v>
      </c>
      <c r="Z31" s="273" t="str">
        <f>IF(OR(BI67&gt;0,COUNTIF($BG$2:$BG$46,"注法-复制魔法物品")),"注法-复制魔法物品","")</f>
        <v/>
      </c>
      <c r="AA31" s="279" t="s">
        <v>2008</v>
      </c>
      <c r="AB31" s="118" t="str">
        <f>IF(AND(主要!$R$4&lt;&gt;"",主要!$Y$3-主要!$Y$6-主要!$Y$7&gt;=8),8,"")</f>
        <v/>
      </c>
      <c r="AC31" s="119" t="str">
        <f>IF(AND(主要!$R$6&lt;&gt;"",主要!$Y$3-主要!$Y$4-主要!$Y$7&gt;=8),8,"")</f>
        <v/>
      </c>
      <c r="AD31" s="120" t="str">
        <f>IF(AND(主要!$R$7&lt;&gt;"",主要!$Y$3-主要!$Y$4-主要!$Y$6&gt;=8),8,"")</f>
        <v/>
      </c>
      <c r="AF31" s="273"/>
      <c r="AG31" s="273"/>
      <c r="AH31" s="273"/>
      <c r="AI31" s="156" t="e">
        <f>INDEX($B$2:$S$14,AI$17,14)</f>
        <v>#N/A</v>
      </c>
      <c r="AJ31" s="130" t="e">
        <f>INDEX($B$2:$S$14,AJ$17,14)</f>
        <v>#N/A</v>
      </c>
      <c r="AK31" s="130" t="e">
        <f>INDEX($B$2:$S$14,AK$17,14)</f>
        <v>#N/A</v>
      </c>
      <c r="AL31" s="157" t="e">
        <f t="array" ref="AL31">INDEX(AJ:AJ,SMALL(IF($AJ$18:$AJ$35&lt;&gt;"",ROW($18:$35),36),ROW(AJ10)))&amp;""</f>
        <v>#N/A</v>
      </c>
      <c r="AM31" s="247" t="s">
        <v>2009</v>
      </c>
      <c r="AN31" s="247"/>
      <c r="AO31" s="247">
        <v>83</v>
      </c>
      <c r="AP31" s="284">
        <f>IF($AG$4&gt;=17,89,IF($AG$4&gt;=8,88,IF($AG$4&gt;=6,87,IF($AG$4&gt;=2,86,IF($AG$4&gt;=1,85,0)))))</f>
        <v>0</v>
      </c>
      <c r="AQ31" s="115" t="e">
        <f t="shared" si="6"/>
        <v>#N/A</v>
      </c>
      <c r="AR31" s="119" t="e">
        <f t="shared" si="7"/>
        <v>#N/A</v>
      </c>
      <c r="AS31" s="119" t="e">
        <f t="shared" si="8"/>
        <v>#N/A</v>
      </c>
      <c r="AT31" s="116" t="e">
        <f t="shared" si="9"/>
        <v>#N/A</v>
      </c>
      <c r="AU31" s="115" t="e">
        <f t="shared" si="10"/>
        <v>#N/A</v>
      </c>
      <c r="AV31" s="119" t="e">
        <f t="shared" si="11"/>
        <v>#N/A</v>
      </c>
      <c r="AW31" s="119" t="e">
        <f t="shared" si="12"/>
        <v>#N/A</v>
      </c>
      <c r="AX31" s="116" t="e">
        <f t="shared" si="13"/>
        <v>#N/A</v>
      </c>
      <c r="AY31" s="115" t="e">
        <f t="shared" si="14"/>
        <v>#N/A</v>
      </c>
      <c r="AZ31" s="119" t="e">
        <f t="shared" si="15"/>
        <v>#N/A</v>
      </c>
      <c r="BA31" s="119" t="e">
        <f t="shared" si="16"/>
        <v>#N/A</v>
      </c>
      <c r="BB31" s="116" t="e">
        <f t="shared" si="17"/>
        <v>#N/A</v>
      </c>
      <c r="BC31" s="118" t="str">
        <f>IFERROR(INDEX($AQ$12:$BF$87,21,$BC$2),"")</f>
        <v/>
      </c>
      <c r="BD31" s="119" t="str">
        <f>IFERROR(INDEX($AQ$12:$BF$87,21,$BD$2),"")</f>
        <v/>
      </c>
      <c r="BE31" s="250" t="str">
        <f t="shared" si="18"/>
        <v/>
      </c>
      <c r="BF31" s="198" t="str">
        <f t="array" ref="BF31">INDEX(BE:BE,SMALL(IF($BE$2:$BE$143&lt;&gt;"",ROW($2:$143),144),ROW(BE30)))&amp;""</f>
        <v/>
      </c>
      <c r="BG31" s="156">
        <f>IF(主要!C113="",0,主要!C113)</f>
        <v>0</v>
      </c>
      <c r="BH31" s="130" t="str">
        <f t="shared" si="2"/>
        <v/>
      </c>
      <c r="BI31" s="155" t="str">
        <f t="shared" si="5"/>
        <v/>
      </c>
      <c r="BJ31" s="130"/>
      <c r="BK31" s="130"/>
      <c r="BL31" s="130"/>
      <c r="BM31" s="130"/>
      <c r="BN31" s="130"/>
      <c r="BO31" s="130"/>
      <c r="BP31" s="130"/>
      <c r="BQ31" s="130"/>
      <c r="BR31" s="130"/>
      <c r="BS31" s="130"/>
      <c r="BT31" s="130"/>
      <c r="BU31" s="130"/>
      <c r="BV31" s="130"/>
      <c r="BW31" s="130"/>
      <c r="BX31" s="130"/>
      <c r="BY31" s="130"/>
      <c r="BZ31" s="130"/>
    </row>
    <row r="32" spans="1:78" ht="14.4" customHeight="1" x14ac:dyDescent="0.25">
      <c r="A32" s="156">
        <v>16</v>
      </c>
      <c r="B32" s="283" t="s">
        <v>2010</v>
      </c>
      <c r="C32" s="283" t="s">
        <v>2011</v>
      </c>
      <c r="D32" s="180" t="s">
        <v>2012</v>
      </c>
      <c r="E32" s="119" t="s">
        <v>2013</v>
      </c>
      <c r="F32" s="285" t="s">
        <v>2014</v>
      </c>
      <c r="G32" s="283" t="s">
        <v>2015</v>
      </c>
      <c r="H32" s="283" t="s">
        <v>2016</v>
      </c>
      <c r="I32" s="283" t="s">
        <v>2017</v>
      </c>
      <c r="J32" s="274" t="str">
        <f>IF(综合数据!B14=TRUE,"替换武术-战士","")</f>
        <v>替换武术-战士</v>
      </c>
      <c r="K32" s="274" t="s">
        <v>2018</v>
      </c>
      <c r="L32" s="274" t="str">
        <f>IF(综合数据!B14=TRUE,"凝神聚气","")</f>
        <v>凝神聚气</v>
      </c>
      <c r="M32" s="274" t="s">
        <v>2019</v>
      </c>
      <c r="N32" s="180" t="s">
        <v>2020</v>
      </c>
      <c r="O32" s="119" t="s">
        <v>2021</v>
      </c>
      <c r="P32" s="119" t="s">
        <v>2022</v>
      </c>
      <c r="Q32" s="119" t="s">
        <v>2023</v>
      </c>
      <c r="R32" s="283" t="s">
        <v>2024</v>
      </c>
      <c r="S32" s="283" t="s">
        <v>2025</v>
      </c>
      <c r="T32" s="273" t="str">
        <f>IF(OR(BI63&gt;0,COUNTIF($BG$2:$BG$46,"超魔法-强效法术")),"超魔法-强效法术","")</f>
        <v/>
      </c>
      <c r="U32" s="273" t="s">
        <v>2026</v>
      </c>
      <c r="V32" s="273" t="str">
        <f>IF(OR(BI65&gt;0,COUNTIF($BG$2:$BG$46,"魔能祈唤-符文守护者之眼")),"魔能祈唤-符文守护者之眼","")</f>
        <v/>
      </c>
      <c r="W32" s="273" t="s">
        <v>2027</v>
      </c>
      <c r="X32" s="119" t="s">
        <v>2028</v>
      </c>
      <c r="Y32" s="119" t="s">
        <v>2029</v>
      </c>
      <c r="Z32" s="273" t="str">
        <f>IF(OR(BI67&gt;0,COUNTIF($BG$2:$BG$46,"注法-回力武器")),"注法-回力武器","")</f>
        <v/>
      </c>
      <c r="AA32" s="279" t="s">
        <v>2030</v>
      </c>
      <c r="AB32" s="118" t="str">
        <f>IF(AND(主要!$R$4&lt;&gt;"",主要!$Y$3-主要!$Y$6-主要!$Y$7&gt;=9),9,"")</f>
        <v/>
      </c>
      <c r="AC32" s="119" t="str">
        <f>IF(AND(主要!$R$6&lt;&gt;"",主要!$Y$3-主要!$Y$4-主要!$Y$7&gt;=9),9,"")</f>
        <v/>
      </c>
      <c r="AD32" s="120" t="str">
        <f>IF(AND(主要!$R$7&lt;&gt;"",主要!$Y$3-主要!$Y$4-主要!$Y$6&gt;=9),9,"")</f>
        <v/>
      </c>
      <c r="AF32" s="273"/>
      <c r="AG32" s="273"/>
      <c r="AH32" s="273"/>
      <c r="AI32" s="156" t="e">
        <f>INDEX($B$2:$S$14,AI$17,15)</f>
        <v>#N/A</v>
      </c>
      <c r="AJ32" s="130" t="e">
        <f>INDEX($B$2:$S$14,AJ$17,15)</f>
        <v>#N/A</v>
      </c>
      <c r="AK32" s="130" t="e">
        <f>INDEX($B$2:$S$14,AK$17,15)</f>
        <v>#N/A</v>
      </c>
      <c r="AL32" s="157" t="e">
        <f t="array" ref="AL32">INDEX(AJ:AJ,SMALL(IF($AJ$18:$AJ$35&lt;&gt;"",ROW($18:$35),36),ROW(AJ11)))&amp;""</f>
        <v>#N/A</v>
      </c>
      <c r="AM32" s="254" t="s">
        <v>2031</v>
      </c>
      <c r="AN32" s="254"/>
      <c r="AO32" s="254">
        <v>90</v>
      </c>
      <c r="AP32" s="286">
        <f>IF($AG$4&gt;=17,96,IF($AG$4&gt;=8,95,IF($AG$4&gt;=6,94,IF($AG$4&gt;=2,93,IF($AG$4&gt;=1,92,0)))))</f>
        <v>0</v>
      </c>
      <c r="AQ32" s="115" t="e">
        <f t="shared" si="6"/>
        <v>#N/A</v>
      </c>
      <c r="AR32" s="119" t="e">
        <f t="shared" si="7"/>
        <v>#N/A</v>
      </c>
      <c r="AS32" s="119" t="e">
        <f t="shared" si="8"/>
        <v>#N/A</v>
      </c>
      <c r="AT32" s="116" t="e">
        <f t="shared" si="9"/>
        <v>#N/A</v>
      </c>
      <c r="AU32" s="115" t="e">
        <f t="shared" si="10"/>
        <v>#N/A</v>
      </c>
      <c r="AV32" s="119" t="e">
        <f t="shared" si="11"/>
        <v>#N/A</v>
      </c>
      <c r="AW32" s="119" t="e">
        <f t="shared" si="12"/>
        <v>#N/A</v>
      </c>
      <c r="AX32" s="116" t="e">
        <f t="shared" si="13"/>
        <v>#N/A</v>
      </c>
      <c r="AY32" s="115" t="e">
        <f t="shared" si="14"/>
        <v>#N/A</v>
      </c>
      <c r="AZ32" s="119" t="e">
        <f t="shared" si="15"/>
        <v>#N/A</v>
      </c>
      <c r="BA32" s="119" t="e">
        <f t="shared" si="16"/>
        <v>#N/A</v>
      </c>
      <c r="BB32" s="116" t="e">
        <f t="shared" si="17"/>
        <v>#N/A</v>
      </c>
      <c r="BC32" s="118" t="str">
        <f>IFERROR(INDEX($AQ$12:$BF$87,22,$BC$2),"")</f>
        <v/>
      </c>
      <c r="BD32" s="119" t="str">
        <f>IFERROR(INDEX($AQ$12:$BF$87,22,$BD$2),"")</f>
        <v/>
      </c>
      <c r="BE32" s="250" t="str">
        <f t="shared" si="18"/>
        <v/>
      </c>
      <c r="BF32" s="198" t="str">
        <f t="array" ref="BF32">INDEX(BE:BE,SMALL(IF($BE$2:$BE$143&lt;&gt;"",ROW($2:$143),144),ROW(BE31)))&amp;""</f>
        <v/>
      </c>
      <c r="BG32" s="156">
        <f>IF(主要!C114="",0,主要!C114)</f>
        <v>0</v>
      </c>
      <c r="BH32" s="130" t="str">
        <f t="shared" si="2"/>
        <v/>
      </c>
      <c r="BI32" s="155" t="str">
        <f t="shared" si="5"/>
        <v/>
      </c>
      <c r="BJ32" s="130"/>
      <c r="BK32" s="130"/>
      <c r="BL32" s="130"/>
      <c r="BM32" s="130"/>
      <c r="BN32" s="130"/>
      <c r="BO32" s="130"/>
      <c r="BP32" s="130"/>
      <c r="BQ32" s="130"/>
      <c r="BR32" s="130"/>
      <c r="BS32" s="130"/>
      <c r="BT32" s="130"/>
      <c r="BU32" s="130"/>
      <c r="BV32" s="130"/>
      <c r="BW32" s="130"/>
      <c r="BX32" s="130"/>
      <c r="BY32" s="130"/>
      <c r="BZ32" s="130"/>
    </row>
    <row r="33" spans="1:78" ht="14.4" customHeight="1" x14ac:dyDescent="0.25">
      <c r="A33" s="156">
        <v>17</v>
      </c>
      <c r="B33" s="283" t="s">
        <v>2032</v>
      </c>
      <c r="C33" s="283" t="s">
        <v>2033</v>
      </c>
      <c r="D33" s="180" t="s">
        <v>2034</v>
      </c>
      <c r="E33" s="119" t="s">
        <v>2035</v>
      </c>
      <c r="F33" s="285" t="s">
        <v>2036</v>
      </c>
      <c r="G33" s="283" t="s">
        <v>2037</v>
      </c>
      <c r="H33" s="283" t="s">
        <v>2038</v>
      </c>
      <c r="I33" s="283" t="s">
        <v>2039</v>
      </c>
      <c r="J33" s="119" t="s">
        <v>2040</v>
      </c>
      <c r="K33" s="119" t="s">
        <v>2041</v>
      </c>
      <c r="L33" s="106" t="s">
        <v>2042</v>
      </c>
      <c r="M33" s="119" t="s">
        <v>2043</v>
      </c>
      <c r="N33" s="180" t="s">
        <v>2044</v>
      </c>
      <c r="O33" s="119" t="s">
        <v>2045</v>
      </c>
      <c r="P33" s="274" t="str">
        <f>IF(综合数据!B14=TRUE,"法器-游侠","")</f>
        <v>法器-游侠</v>
      </c>
      <c r="Q33" s="274" t="s">
        <v>2046</v>
      </c>
      <c r="R33" s="283" t="s">
        <v>2047</v>
      </c>
      <c r="S33" s="283" t="s">
        <v>2048</v>
      </c>
      <c r="T33" s="273" t="str">
        <f>IF(OR(BI63&gt;0,COUNTIF($BG$2:$BG$46,"超魔法-延效法术")),"超魔法-延效法术","")</f>
        <v/>
      </c>
      <c r="U33" s="273" t="s">
        <v>2049</v>
      </c>
      <c r="V33" s="273" t="str">
        <f>IF(OR(BI65&gt;0,COUNTIF($BG$2:$BG$46,"魔能祈唤-邪魔活力")),"魔能祈唤-邪魔活力","")</f>
        <v/>
      </c>
      <c r="W33" s="273" t="s">
        <v>2050</v>
      </c>
      <c r="X33" s="287" t="s">
        <v>2051</v>
      </c>
      <c r="Y33" s="287" t="s">
        <v>2052</v>
      </c>
      <c r="Z33" s="274" t="str">
        <f>IF(AND(综合数据!B14=TRUE,OR(BI67&gt;0,COUNTIF($BG$2:$BG$46,"注法-魔法力量盔甲"))),"注法-魔法力量盔甲","")</f>
        <v/>
      </c>
      <c r="AA33" s="279" t="s">
        <v>2053</v>
      </c>
      <c r="AB33" s="118" t="str">
        <f>IF(AND(主要!$R$4&lt;&gt;"",主要!$Y$3-主要!$Y$6-主要!$Y$7&gt;=10),10,"")</f>
        <v/>
      </c>
      <c r="AC33" s="119" t="str">
        <f>IF(AND(主要!$R$6&lt;&gt;"",主要!$Y$3-主要!$Y$4-主要!$Y$7&gt;=10),10,"")</f>
        <v/>
      </c>
      <c r="AD33" s="120" t="str">
        <f>IF(AND(主要!$R$7&lt;&gt;"",主要!$Y$3-主要!$Y$4-主要!$Y$6&gt;=10),10,"")</f>
        <v/>
      </c>
      <c r="AF33" s="273"/>
      <c r="AG33" s="273"/>
      <c r="AH33" s="273"/>
      <c r="AI33" s="156" t="e">
        <f>INDEX($B$2:$S$14,AI$17,16)</f>
        <v>#N/A</v>
      </c>
      <c r="AJ33" s="130" t="e">
        <f>INDEX($B$2:$S$14,AJ$17,16)</f>
        <v>#N/A</v>
      </c>
      <c r="AK33" s="130" t="e">
        <f>INDEX($B$2:$S$14,AK$17,16)</f>
        <v>#N/A</v>
      </c>
      <c r="AL33" s="157" t="e">
        <f t="array" ref="AL33">INDEX(AJ:AJ,SMALL(IF($AJ$18:$AJ$35&lt;&gt;"",ROW($18:$35),36),ROW(AJ12)))&amp;""</f>
        <v>#N/A</v>
      </c>
      <c r="AM33" s="248" t="s">
        <v>2054</v>
      </c>
      <c r="AN33" s="248"/>
      <c r="AO33" s="248">
        <v>97</v>
      </c>
      <c r="AP33" s="288">
        <f>IF($AG$4&gt;=17,103,IF($AG$4&gt;=8,102,IF($AG$4&gt;=6,101,IF($AG$4&gt;=2,100,IF($AG$4&gt;=1,99,0)))))</f>
        <v>0</v>
      </c>
      <c r="AQ33" s="115" t="e">
        <f t="shared" si="6"/>
        <v>#N/A</v>
      </c>
      <c r="AR33" s="119" t="e">
        <f t="shared" si="7"/>
        <v>#N/A</v>
      </c>
      <c r="AS33" s="119" t="e">
        <f t="shared" si="8"/>
        <v>#N/A</v>
      </c>
      <c r="AT33" s="116" t="e">
        <f t="shared" si="9"/>
        <v>#N/A</v>
      </c>
      <c r="AU33" s="115" t="e">
        <f t="shared" si="10"/>
        <v>#N/A</v>
      </c>
      <c r="AV33" s="119" t="e">
        <f t="shared" si="11"/>
        <v>#N/A</v>
      </c>
      <c r="AW33" s="119" t="e">
        <f t="shared" si="12"/>
        <v>#N/A</v>
      </c>
      <c r="AX33" s="116" t="e">
        <f t="shared" si="13"/>
        <v>#N/A</v>
      </c>
      <c r="AY33" s="115" t="e">
        <f t="shared" si="14"/>
        <v>#N/A</v>
      </c>
      <c r="AZ33" s="119" t="e">
        <f t="shared" si="15"/>
        <v>#N/A</v>
      </c>
      <c r="BA33" s="119" t="e">
        <f t="shared" si="16"/>
        <v>#N/A</v>
      </c>
      <c r="BB33" s="116" t="e">
        <f t="shared" si="17"/>
        <v>#N/A</v>
      </c>
      <c r="BC33" s="118" t="str">
        <f>IFERROR(INDEX($AQ$12:$BF$87,23,$BC$2),"")</f>
        <v/>
      </c>
      <c r="BD33" s="119" t="str">
        <f>IFERROR(INDEX($AQ$12:$BF$87,23,$BD$2),"")</f>
        <v/>
      </c>
      <c r="BE33" s="250" t="str">
        <f t="shared" si="18"/>
        <v/>
      </c>
      <c r="BF33" s="198" t="str">
        <f t="array" ref="BF33">INDEX(BE:BE,SMALL(IF($BE$2:$BE$143&lt;&gt;"",ROW($2:$143),144),ROW(BE32)))&amp;""</f>
        <v/>
      </c>
      <c r="BG33" s="156">
        <f>IF(主要!C115="",0,主要!C115)</f>
        <v>0</v>
      </c>
      <c r="BH33" s="130" t="str">
        <f t="shared" si="2"/>
        <v/>
      </c>
      <c r="BI33" s="155" t="str">
        <f t="shared" si="5"/>
        <v/>
      </c>
      <c r="BJ33" s="130"/>
      <c r="BK33" s="130"/>
      <c r="BL33" s="130"/>
      <c r="BM33" s="130"/>
      <c r="BN33" s="130"/>
      <c r="BO33" s="130"/>
      <c r="BP33" s="130"/>
      <c r="BQ33" s="130"/>
      <c r="BR33" s="130"/>
      <c r="BS33" s="130"/>
      <c r="BT33" s="130"/>
      <c r="BU33" s="130"/>
      <c r="BV33" s="130"/>
      <c r="BW33" s="130"/>
      <c r="BX33" s="130"/>
      <c r="BY33" s="130"/>
      <c r="BZ33" s="130"/>
    </row>
    <row r="34" spans="1:78" ht="14.4" customHeight="1" x14ac:dyDescent="0.25">
      <c r="A34" s="156">
        <v>18</v>
      </c>
      <c r="B34" s="283" t="s">
        <v>2055</v>
      </c>
      <c r="C34" s="283" t="s">
        <v>2056</v>
      </c>
      <c r="D34" s="180" t="s">
        <v>2057</v>
      </c>
      <c r="E34" s="119" t="s">
        <v>2058</v>
      </c>
      <c r="F34" s="289" t="s">
        <v>2059</v>
      </c>
      <c r="G34" s="289" t="s">
        <v>2060</v>
      </c>
      <c r="H34" s="205" t="str">
        <f>IF(OR(BH56&lt;1,COUNTIF($BG$2:$BG$46,"结社法术-极地")),"结社法术-极地","")</f>
        <v>结社法术-极地</v>
      </c>
      <c r="I34" s="205" t="s">
        <v>2061</v>
      </c>
      <c r="J34" s="119" t="s">
        <v>2062</v>
      </c>
      <c r="K34" s="119" t="s">
        <v>2063</v>
      </c>
      <c r="L34" s="106" t="s">
        <v>1854</v>
      </c>
      <c r="M34" s="119" t="s">
        <v>1855</v>
      </c>
      <c r="N34" s="180" t="s">
        <v>2064</v>
      </c>
      <c r="O34" s="119" t="s">
        <v>2065</v>
      </c>
      <c r="P34" s="119" t="s">
        <v>2066</v>
      </c>
      <c r="Q34" s="119" t="s">
        <v>2067</v>
      </c>
      <c r="R34" s="283" t="s">
        <v>2068</v>
      </c>
      <c r="S34" s="283" t="s">
        <v>2069</v>
      </c>
      <c r="T34" s="273" t="str">
        <f>IF(OR(BI63&gt;0,COUNTIF($BG$2:$BG$46,"超魔法-升阶法术")),"超魔法-升阶法术","")</f>
        <v/>
      </c>
      <c r="U34" s="273" t="s">
        <v>2070</v>
      </c>
      <c r="V34" s="273" t="str">
        <f>IF(OR(BI65&gt;0,COUNTIF($BG$2:$BG$46,"魔能祈唤-共视感官")),"魔能祈唤-共视感官","")</f>
        <v/>
      </c>
      <c r="W34" s="273" t="s">
        <v>2071</v>
      </c>
      <c r="X34" s="287" t="s">
        <v>2072</v>
      </c>
      <c r="Y34" s="287" t="s">
        <v>2073</v>
      </c>
      <c r="Z34" s="274" t="str">
        <f>IF(OR(BI67&gt;0,COUNTIF($BG$2:$BG$46,"注法-思维砥石")),"注法-思维砥石","")</f>
        <v/>
      </c>
      <c r="AA34" s="279" t="s">
        <v>2074</v>
      </c>
      <c r="AB34" s="118" t="str">
        <f>IF(AND(主要!$R$4&lt;&gt;"",主要!$Y$3-主要!$Y$6-主要!$Y$7&gt;=11),11,"")</f>
        <v/>
      </c>
      <c r="AC34" s="119" t="str">
        <f>IF(AND(主要!$R$6&lt;&gt;"",主要!$Y$3-主要!$Y$4-主要!$Y$7&gt;=11),11,"")</f>
        <v/>
      </c>
      <c r="AD34" s="120" t="str">
        <f>IF(AND(主要!$R$7&lt;&gt;"",主要!$Y$3-主要!$Y$4-主要!$Y$6&gt;=11),11,"")</f>
        <v/>
      </c>
      <c r="AF34" s="273"/>
      <c r="AG34" s="273"/>
      <c r="AH34" s="273"/>
      <c r="AI34" s="156" t="e">
        <f>INDEX($B$2:$S$14,AI$17,17)</f>
        <v>#N/A</v>
      </c>
      <c r="AJ34" s="130" t="e">
        <f>INDEX($B$2:$S$14,AJ$17,17)</f>
        <v>#N/A</v>
      </c>
      <c r="AK34" s="130" t="e">
        <f>INDEX($B$2:$S$14,AK$17,17)</f>
        <v>#N/A</v>
      </c>
      <c r="AL34" s="157" t="e">
        <f t="array" ref="AL34">INDEX(AJ:AJ,SMALL(IF($AJ$18:$AJ$35&lt;&gt;"",ROW($18:$35),36),ROW(AJ13)))&amp;""</f>
        <v>#N/A</v>
      </c>
      <c r="AM34" s="248" t="s">
        <v>2075</v>
      </c>
      <c r="AN34" s="248"/>
      <c r="AO34" s="248">
        <v>104</v>
      </c>
      <c r="AP34" s="288">
        <f>IF($AG$4&gt;=17,111,IF($AG$4&gt;=8,110,IF($AG$4&gt;=6,109,IF($AG$4&gt;=2,108,IF($AG$4&gt;=1,107,0)))))</f>
        <v>0</v>
      </c>
      <c r="AQ34" s="115" t="e">
        <f t="shared" si="6"/>
        <v>#N/A</v>
      </c>
      <c r="AR34" s="119" t="e">
        <f t="shared" si="7"/>
        <v>#N/A</v>
      </c>
      <c r="AS34" s="119" t="e">
        <f t="shared" si="8"/>
        <v>#N/A</v>
      </c>
      <c r="AT34" s="116" t="e">
        <f t="shared" si="9"/>
        <v>#N/A</v>
      </c>
      <c r="AU34" s="115" t="e">
        <f t="shared" si="10"/>
        <v>#N/A</v>
      </c>
      <c r="AV34" s="119" t="e">
        <f t="shared" si="11"/>
        <v>#N/A</v>
      </c>
      <c r="AW34" s="119" t="e">
        <f t="shared" si="12"/>
        <v>#N/A</v>
      </c>
      <c r="AX34" s="116" t="e">
        <f t="shared" si="13"/>
        <v>#N/A</v>
      </c>
      <c r="AY34" s="115" t="e">
        <f t="shared" si="14"/>
        <v>#N/A</v>
      </c>
      <c r="AZ34" s="119" t="e">
        <f t="shared" si="15"/>
        <v>#N/A</v>
      </c>
      <c r="BA34" s="119" t="e">
        <f t="shared" si="16"/>
        <v>#N/A</v>
      </c>
      <c r="BB34" s="116" t="e">
        <f t="shared" si="17"/>
        <v>#N/A</v>
      </c>
      <c r="BC34" s="118" t="str">
        <f>IFERROR(INDEX($AQ$12:$BF$87,24,$BC$2),"")</f>
        <v/>
      </c>
      <c r="BD34" s="119" t="str">
        <f>IFERROR(INDEX($AQ$12:$BF$87,24,$BD$2),"")</f>
        <v/>
      </c>
      <c r="BE34" s="250" t="str">
        <f t="shared" si="18"/>
        <v/>
      </c>
      <c r="BF34" s="198" t="str">
        <f t="array" ref="BF34">INDEX(BE:BE,SMALL(IF($BE$2:$BE$143&lt;&gt;"",ROW($2:$143),144),ROW(BE33)))&amp;""</f>
        <v/>
      </c>
      <c r="BG34" s="156">
        <f>IF(主要!C116="",0,主要!C116)</f>
        <v>0</v>
      </c>
      <c r="BH34" s="130" t="str">
        <f t="shared" si="2"/>
        <v/>
      </c>
      <c r="BI34" s="155" t="str">
        <f t="shared" si="5"/>
        <v/>
      </c>
      <c r="BJ34" s="130"/>
      <c r="BK34" s="130"/>
      <c r="BL34" s="130"/>
      <c r="BM34" s="130"/>
      <c r="BN34" s="130"/>
      <c r="BO34" s="130"/>
      <c r="BP34" s="130"/>
      <c r="BQ34" s="130"/>
      <c r="BR34" s="130"/>
      <c r="BS34" s="130"/>
      <c r="BT34" s="130"/>
      <c r="BU34" s="130"/>
      <c r="BV34" s="130"/>
      <c r="BW34" s="130"/>
      <c r="BX34" s="130"/>
      <c r="BY34" s="130"/>
      <c r="BZ34" s="130"/>
    </row>
    <row r="35" spans="1:78" ht="14.4" customHeight="1" x14ac:dyDescent="0.25">
      <c r="A35" s="156">
        <v>19</v>
      </c>
      <c r="B35" s="283" t="s">
        <v>2076</v>
      </c>
      <c r="C35" s="283" t="s">
        <v>2077</v>
      </c>
      <c r="D35" s="283" t="s">
        <v>2078</v>
      </c>
      <c r="E35" s="283" t="s">
        <v>2079</v>
      </c>
      <c r="F35" s="289" t="s">
        <v>2080</v>
      </c>
      <c r="G35" s="289" t="s">
        <v>2081</v>
      </c>
      <c r="H35" s="205" t="str">
        <f>IF(OR(BH56&lt;1,COUNTIF($BG$2:$BG$46,"结社法术-海岸")),"结社法术-海岸","")</f>
        <v>结社法术-海岸</v>
      </c>
      <c r="I35" s="205" t="s">
        <v>2082</v>
      </c>
      <c r="J35" s="283" t="s">
        <v>2083</v>
      </c>
      <c r="K35" s="283" t="s">
        <v>2084</v>
      </c>
      <c r="L35" s="106" t="s">
        <v>2085</v>
      </c>
      <c r="M35" s="119" t="s">
        <v>2086</v>
      </c>
      <c r="N35" s="180" t="str">
        <f>IF(AG4&gt;=2,"","引导神力")</f>
        <v>引导神力</v>
      </c>
      <c r="O35" s="119" t="s">
        <v>2087</v>
      </c>
      <c r="P35" s="269" t="str">
        <f>IF(OR(BH59&lt;1,COUNTIF($BG$2:$BG$46,"原初意识")),"原初意识","")</f>
        <v>原初意识</v>
      </c>
      <c r="Q35" s="269" t="s">
        <v>2088</v>
      </c>
      <c r="R35" s="287" t="s">
        <v>2089</v>
      </c>
      <c r="S35" s="287" t="s">
        <v>2090</v>
      </c>
      <c r="T35" s="273" t="str">
        <f>IF(OR(BI63&gt;0,COUNTIF($BG$2:$BG$46,"超魔法-瞬发法术")),"超魔法-瞬发法术","")</f>
        <v/>
      </c>
      <c r="U35" s="273" t="s">
        <v>2091</v>
      </c>
      <c r="V35" s="273" t="str">
        <f>IF(OR(BI65&gt;0,COUNTIF($BG$2:$BG$46,"魔能祈唤-千面之脸")),"魔能祈唤-千面之脸","")</f>
        <v/>
      </c>
      <c r="W35" s="273" t="s">
        <v>2092</v>
      </c>
      <c r="X35" s="287" t="s">
        <v>2093</v>
      </c>
      <c r="Y35" s="287" t="s">
        <v>2094</v>
      </c>
      <c r="Z35" s="119" t="s">
        <v>2095</v>
      </c>
      <c r="AA35" s="120" t="s">
        <v>2096</v>
      </c>
      <c r="AB35" s="118" t="str">
        <f>IF(AND(主要!$R$4&lt;&gt;"",主要!$Y$3-主要!$Y$6-主要!$Y$7&gt;=12),12,"")</f>
        <v/>
      </c>
      <c r="AC35" s="119" t="str">
        <f>IF(AND(主要!$R$6&lt;&gt;"",主要!$Y$3-主要!$Y$4-主要!$Y$7&gt;=12),12,"")</f>
        <v/>
      </c>
      <c r="AD35" s="120" t="str">
        <f>IF(AND(主要!$R$7&lt;&gt;"",主要!$Y$3-主要!$Y$4-主要!$Y$6&gt;=12),12,"")</f>
        <v/>
      </c>
      <c r="AF35" s="119"/>
      <c r="AG35" s="119"/>
      <c r="AH35" s="119"/>
      <c r="AI35" s="171" t="e">
        <f>INDEX($B$2:$S$14,AI$17,18)</f>
        <v>#N/A</v>
      </c>
      <c r="AJ35" s="175" t="e">
        <f>INDEX($B$2:$S$14,AJ$17,18)</f>
        <v>#N/A</v>
      </c>
      <c r="AK35" s="175" t="e">
        <f>INDEX($B$2:$S$14,AK$17,18)</f>
        <v>#N/A</v>
      </c>
      <c r="AL35" s="157" t="e">
        <f t="array" ref="AL35">INDEX(AJ:AJ,SMALL(IF($AJ$18:$AJ$35&lt;&gt;"",ROW($18:$35),36),ROW(AJ14)))&amp;""</f>
        <v>#N/A</v>
      </c>
      <c r="AM35" s="168" t="s">
        <v>2097</v>
      </c>
      <c r="AN35" s="168"/>
      <c r="AO35" s="168">
        <v>112</v>
      </c>
      <c r="AP35" s="231">
        <f>IF($AG$4&gt;=17,118,IF($AG$4&gt;=8,117,IF($AG$4&gt;=6,116,IF($AG$4&gt;=2,115,IF($AG$4&gt;=1,114,0)))))</f>
        <v>0</v>
      </c>
      <c r="AQ35" s="115" t="e">
        <f t="shared" si="6"/>
        <v>#N/A</v>
      </c>
      <c r="AR35" s="119" t="e">
        <f t="shared" si="7"/>
        <v>#N/A</v>
      </c>
      <c r="AS35" s="119" t="e">
        <f t="shared" si="8"/>
        <v>#N/A</v>
      </c>
      <c r="AT35" s="116" t="e">
        <f t="shared" si="9"/>
        <v>#N/A</v>
      </c>
      <c r="AU35" s="115" t="e">
        <f t="shared" si="10"/>
        <v>#N/A</v>
      </c>
      <c r="AV35" s="119" t="e">
        <f t="shared" si="11"/>
        <v>#N/A</v>
      </c>
      <c r="AW35" s="119" t="e">
        <f t="shared" si="12"/>
        <v>#N/A</v>
      </c>
      <c r="AX35" s="116" t="e">
        <f t="shared" si="13"/>
        <v>#N/A</v>
      </c>
      <c r="AY35" s="115" t="e">
        <f t="shared" si="14"/>
        <v>#N/A</v>
      </c>
      <c r="AZ35" s="119" t="e">
        <f t="shared" si="15"/>
        <v>#N/A</v>
      </c>
      <c r="BA35" s="119" t="e">
        <f t="shared" si="16"/>
        <v>#N/A</v>
      </c>
      <c r="BB35" s="116" t="e">
        <f t="shared" si="17"/>
        <v>#N/A</v>
      </c>
      <c r="BC35" s="118" t="str">
        <f>IFERROR(INDEX($AQ$12:$BF$87,25,$BC$2),"")</f>
        <v/>
      </c>
      <c r="BD35" s="119" t="str">
        <f>IFERROR(INDEX($AQ$12:$BF$87,25,$BD$2),"")</f>
        <v/>
      </c>
      <c r="BE35" s="250" t="str">
        <f t="shared" si="18"/>
        <v/>
      </c>
      <c r="BF35" s="198" t="str">
        <f t="array" ref="BF35">INDEX(BE:BE,SMALL(IF($BE$2:$BE$143&lt;&gt;"",ROW($2:$143),144),ROW(BE34)))&amp;""</f>
        <v/>
      </c>
      <c r="BG35" s="156">
        <f>IF(主要!C117="",0,主要!C117)</f>
        <v>0</v>
      </c>
      <c r="BH35" s="130" t="str">
        <f t="shared" si="2"/>
        <v/>
      </c>
      <c r="BI35" s="155" t="str">
        <f t="shared" si="5"/>
        <v/>
      </c>
      <c r="BJ35" s="130"/>
      <c r="BK35" s="130"/>
      <c r="BL35" s="130"/>
      <c r="BM35" s="130"/>
      <c r="BN35" s="130"/>
      <c r="BO35" s="130"/>
      <c r="BP35" s="130"/>
      <c r="BQ35" s="130"/>
      <c r="BR35" s="130"/>
      <c r="BS35" s="130"/>
      <c r="BT35" s="130"/>
      <c r="BU35" s="130"/>
      <c r="BV35" s="130"/>
      <c r="BW35" s="130"/>
      <c r="BX35" s="130"/>
      <c r="BY35" s="130"/>
      <c r="BZ35" s="130"/>
    </row>
    <row r="36" spans="1:78" ht="14.4" customHeight="1" x14ac:dyDescent="0.25">
      <c r="A36" s="156">
        <v>20</v>
      </c>
      <c r="B36" s="287" t="s">
        <v>2098</v>
      </c>
      <c r="C36" s="287" t="s">
        <v>2099</v>
      </c>
      <c r="D36" s="283" t="s">
        <v>2100</v>
      </c>
      <c r="E36" s="283" t="s">
        <v>2101</v>
      </c>
      <c r="F36" s="285" t="str">
        <f>IF(OR(BH55&lt;1,COUNTIF($BG$2:$BG$46,"强力施法")),"强力施法","")</f>
        <v>强力施法</v>
      </c>
      <c r="G36" s="283" t="s">
        <v>2102</v>
      </c>
      <c r="H36" s="205" t="str">
        <f>IF(OR(BH56&lt;1,COUNTIF($BG$2:$BG$46,"结社法术-荒漠")),"结社法术-荒漠","")</f>
        <v>结社法术-荒漠</v>
      </c>
      <c r="I36" s="205" t="s">
        <v>2103</v>
      </c>
      <c r="J36" s="283" t="s">
        <v>2104</v>
      </c>
      <c r="K36" s="283" t="s">
        <v>2105</v>
      </c>
      <c r="L36" s="106" t="s">
        <v>2106</v>
      </c>
      <c r="M36" s="119" t="s">
        <v>2107</v>
      </c>
      <c r="N36" s="274" t="str">
        <f>IF(综合数据!B14=TRUE,"驾驭神力","")</f>
        <v>驾驭神力</v>
      </c>
      <c r="O36" s="274" t="s">
        <v>2108</v>
      </c>
      <c r="P36" s="274" t="str">
        <f>IF(AND(综合数据!B14=TRUE,OR(BH59&lt;1,COUNTIF($BG$2:$BG$46,"原始意识"))),"原始意识","")</f>
        <v>原始意识</v>
      </c>
      <c r="Q36" s="269" t="s">
        <v>2109</v>
      </c>
      <c r="R36" s="287" t="s">
        <v>529</v>
      </c>
      <c r="S36" s="287" t="s">
        <v>2110</v>
      </c>
      <c r="T36" s="273" t="str">
        <f>IF(OR(BI63&gt;0,COUNTIF($BG$2:$BG$46,"超魔法-精妙法术")),"超魔法-精妙法术","")</f>
        <v/>
      </c>
      <c r="U36" s="273" t="s">
        <v>2111</v>
      </c>
      <c r="V36" s="273" t="str">
        <f>IF(OR(BI65&gt;0,COUNTIF($BG$2:$BG$46,"魔能祈唤-迷雾幻影")),"魔能祈唤-迷雾幻影","")</f>
        <v/>
      </c>
      <c r="W36" s="273" t="s">
        <v>2112</v>
      </c>
      <c r="X36" s="287" t="s">
        <v>2113</v>
      </c>
      <c r="Y36" s="287" t="s">
        <v>2114</v>
      </c>
      <c r="Z36" s="119" t="s">
        <v>2115</v>
      </c>
      <c r="AA36" s="120" t="s">
        <v>2116</v>
      </c>
      <c r="AB36" s="118" t="str">
        <f>IF(AND(主要!$R$4&lt;&gt;"",主要!$Y$3-主要!$Y$6-主要!$Y$7&gt;=13),13,"")</f>
        <v/>
      </c>
      <c r="AC36" s="119" t="str">
        <f>IF(AND(主要!$R$6&lt;&gt;"",主要!$Y$3-主要!$Y$4-主要!$Y$7&gt;=13),13,"")</f>
        <v/>
      </c>
      <c r="AD36" s="120" t="str">
        <f>IF(AND(主要!$R$7&lt;&gt;"",主要!$Y$3-主要!$Y$4-主要!$Y$6&gt;=13),13,"")</f>
        <v/>
      </c>
      <c r="AF36" s="119"/>
      <c r="AG36" s="119"/>
      <c r="AH36" s="119"/>
      <c r="AL36" s="157" t="e">
        <f t="array" ref="AL36">INDEX(AJ:AJ,SMALL(IF($AJ$18:$AJ$35&lt;&gt;"",ROW($18:$35),36),ROW(AJ15)))&amp;""</f>
        <v>#N/A</v>
      </c>
      <c r="AM36" s="168" t="s">
        <v>2117</v>
      </c>
      <c r="AN36" s="168"/>
      <c r="AO36" s="168">
        <v>119</v>
      </c>
      <c r="AP36" s="231">
        <f>IF($AG$4&gt;=17,125,IF($AG$4&gt;=8,124,IF($AG$4&gt;=6,123,IF($AG$4&gt;=2,122,IF($AG$4&gt;=1,121,0)))))</f>
        <v>0</v>
      </c>
      <c r="AQ36" s="115" t="e">
        <f t="shared" si="6"/>
        <v>#N/A</v>
      </c>
      <c r="AR36" s="119" t="e">
        <f t="shared" si="7"/>
        <v>#N/A</v>
      </c>
      <c r="AS36" s="119" t="e">
        <f t="shared" si="8"/>
        <v>#N/A</v>
      </c>
      <c r="AT36" s="116" t="e">
        <f t="shared" si="9"/>
        <v>#N/A</v>
      </c>
      <c r="AU36" s="115" t="e">
        <f t="shared" si="10"/>
        <v>#N/A</v>
      </c>
      <c r="AV36" s="119" t="e">
        <f t="shared" si="11"/>
        <v>#N/A</v>
      </c>
      <c r="AW36" s="119" t="e">
        <f t="shared" si="12"/>
        <v>#N/A</v>
      </c>
      <c r="AX36" s="116" t="e">
        <f t="shared" si="13"/>
        <v>#N/A</v>
      </c>
      <c r="AY36" s="115" t="e">
        <f t="shared" si="14"/>
        <v>#N/A</v>
      </c>
      <c r="AZ36" s="119" t="e">
        <f t="shared" si="15"/>
        <v>#N/A</v>
      </c>
      <c r="BA36" s="119" t="e">
        <f t="shared" si="16"/>
        <v>#N/A</v>
      </c>
      <c r="BB36" s="116" t="e">
        <f t="shared" si="17"/>
        <v>#N/A</v>
      </c>
      <c r="BC36" s="118" t="str">
        <f>IFERROR(INDEX($AQ$12:$BF$87,26,$BC$2),"")</f>
        <v/>
      </c>
      <c r="BD36" s="119" t="str">
        <f>IFERROR(INDEX($AQ$12:$BF$87,26,$BD$2),"")</f>
        <v/>
      </c>
      <c r="BE36" s="250" t="str">
        <f t="shared" si="18"/>
        <v/>
      </c>
      <c r="BF36" s="198" t="str">
        <f t="array" ref="BF36">INDEX(BE:BE,SMALL(IF($BE$2:$BE$143&lt;&gt;"",ROW($2:$143),144),ROW(BE35)))&amp;""</f>
        <v/>
      </c>
      <c r="BG36" s="156">
        <f>IF(主要!C118="",0,主要!C118)</f>
        <v>0</v>
      </c>
      <c r="BH36" s="130" t="str">
        <f t="shared" si="2"/>
        <v/>
      </c>
      <c r="BI36" s="155" t="str">
        <f t="shared" si="5"/>
        <v/>
      </c>
      <c r="BJ36" s="130"/>
      <c r="BK36" s="130"/>
      <c r="BL36" s="130"/>
      <c r="BM36" s="130"/>
      <c r="BN36" s="130"/>
      <c r="BO36" s="130"/>
      <c r="BP36" s="130"/>
      <c r="BQ36" s="130"/>
      <c r="BR36" s="130"/>
      <c r="BS36" s="130"/>
      <c r="BT36" s="130"/>
      <c r="BU36" s="130"/>
      <c r="BV36" s="130"/>
      <c r="BW36" s="130"/>
      <c r="BX36" s="130"/>
      <c r="BY36" s="130"/>
      <c r="BZ36" s="130"/>
    </row>
    <row r="37" spans="1:78" ht="14.4" customHeight="1" x14ac:dyDescent="0.25">
      <c r="A37" s="156">
        <v>21</v>
      </c>
      <c r="B37" s="287" t="s">
        <v>2118</v>
      </c>
      <c r="C37" s="287" t="s">
        <v>2119</v>
      </c>
      <c r="D37" s="283" t="s">
        <v>2120</v>
      </c>
      <c r="E37" s="283" t="s">
        <v>2121</v>
      </c>
      <c r="F37" s="285" t="s">
        <v>2122</v>
      </c>
      <c r="G37" s="283" t="s">
        <v>2123</v>
      </c>
      <c r="H37" s="205" t="str">
        <f>IF(OR(BH56&lt;1,COUNTIF($BG$2:$BG$46,"结社法术-森林")),"结社法术-森林","")</f>
        <v>结社法术-森林</v>
      </c>
      <c r="I37" s="205" t="s">
        <v>2124</v>
      </c>
      <c r="J37" s="283" t="s">
        <v>2125</v>
      </c>
      <c r="K37" s="283" t="s">
        <v>2126</v>
      </c>
      <c r="L37" s="106" t="s">
        <v>2127</v>
      </c>
      <c r="M37" s="119" t="s">
        <v>2128</v>
      </c>
      <c r="N37" s="274" t="str">
        <f>IF(综合数据!B14=TRUE,"战斗变通","")</f>
        <v>战斗变通</v>
      </c>
      <c r="O37" s="274" t="s">
        <v>2129</v>
      </c>
      <c r="P37" s="274" t="str">
        <f>IF(综合数据!B14=TRUE,"替换武术-游侠","")</f>
        <v>替换武术-游侠</v>
      </c>
      <c r="Q37" s="274" t="s">
        <v>2130</v>
      </c>
      <c r="R37" s="287" t="s">
        <v>2131</v>
      </c>
      <c r="S37" s="287" t="s">
        <v>2132</v>
      </c>
      <c r="T37" s="273" t="str">
        <f>IF(OR(BI63&gt;0,COUNTIF($BG$2:$BG$46,"超魔法-孪生法术")),"超魔法-孪生法术","")</f>
        <v/>
      </c>
      <c r="U37" s="273" t="s">
        <v>2133</v>
      </c>
      <c r="V37" s="273" t="str">
        <f>IF(AND(COUNTIF(法术数据!AK2:AK301,法术数据!B8)&gt;=1,OR(BI65&gt;0,COUNTIF($BG$2:$BG$46,"魔能祈唤-斥力魔爆"))),"魔能祈唤-斥力魔爆","")</f>
        <v/>
      </c>
      <c r="W37" s="278" t="s">
        <v>2134</v>
      </c>
      <c r="X37" s="287" t="s">
        <v>2135</v>
      </c>
      <c r="Y37" s="287" t="s">
        <v>2136</v>
      </c>
      <c r="Z37" s="119" t="s">
        <v>2137</v>
      </c>
      <c r="AA37" s="120" t="s">
        <v>2138</v>
      </c>
      <c r="AB37" s="118" t="str">
        <f>IF(AND(主要!$R$4&lt;&gt;"",主要!$Y$3-主要!$Y$6-主要!$Y$7&gt;=14),14,"")</f>
        <v/>
      </c>
      <c r="AC37" s="119" t="str">
        <f>IF(AND(主要!$R$6&lt;&gt;"",主要!$Y$3-主要!$Y$4-主要!$Y$7&gt;=14),14,"")</f>
        <v/>
      </c>
      <c r="AD37" s="120" t="str">
        <f>IF(AND(主要!$R$7&lt;&gt;"",主要!$Y$3-主要!$Y$4-主要!$Y$6&gt;=14),14,"")</f>
        <v/>
      </c>
      <c r="AF37" s="119"/>
      <c r="AG37" s="119"/>
      <c r="AH37" s="119"/>
      <c r="AL37" s="157" t="e">
        <f t="array" ref="AL37">INDEX(AJ:AJ,SMALL(IF($AJ$18:$AJ$35&lt;&gt;"",ROW($18:$35),36),ROW(AJ16)))&amp;""</f>
        <v>#N/A</v>
      </c>
      <c r="AM37" s="168" t="s">
        <v>2139</v>
      </c>
      <c r="AN37" s="168"/>
      <c r="AO37" s="168">
        <v>126</v>
      </c>
      <c r="AP37" s="231">
        <f>IF($AG$4&gt;=17,131,IF($AG$4&gt;=8,130,IF($AG$4&gt;=6,129,IF($AG$4&gt;=2,128,IF($AG$4&gt;=1,127,0)))))</f>
        <v>0</v>
      </c>
      <c r="AQ37" s="115" t="e">
        <f t="shared" si="6"/>
        <v>#N/A</v>
      </c>
      <c r="AR37" s="119" t="e">
        <f t="shared" si="7"/>
        <v>#N/A</v>
      </c>
      <c r="AS37" s="119" t="e">
        <f t="shared" si="8"/>
        <v>#N/A</v>
      </c>
      <c r="AT37" s="116" t="e">
        <f t="shared" si="9"/>
        <v>#N/A</v>
      </c>
      <c r="AU37" s="115" t="e">
        <f t="shared" si="10"/>
        <v>#N/A</v>
      </c>
      <c r="AV37" s="119" t="e">
        <f t="shared" si="11"/>
        <v>#N/A</v>
      </c>
      <c r="AW37" s="119" t="e">
        <f t="shared" si="12"/>
        <v>#N/A</v>
      </c>
      <c r="AX37" s="116" t="e">
        <f t="shared" si="13"/>
        <v>#N/A</v>
      </c>
      <c r="AY37" s="115" t="e">
        <f t="shared" si="14"/>
        <v>#N/A</v>
      </c>
      <c r="AZ37" s="119" t="e">
        <f t="shared" si="15"/>
        <v>#N/A</v>
      </c>
      <c r="BA37" s="119" t="e">
        <f t="shared" si="16"/>
        <v>#N/A</v>
      </c>
      <c r="BB37" s="116" t="e">
        <f t="shared" si="17"/>
        <v>#N/A</v>
      </c>
      <c r="BC37" s="118" t="str">
        <f>IFERROR(INDEX($AQ$12:$BF$87,27,$BC$2),"")</f>
        <v/>
      </c>
      <c r="BD37" s="119" t="str">
        <f>IFERROR(INDEX($AQ$12:$BF$87,27,$BD$2),"")</f>
        <v/>
      </c>
      <c r="BE37" s="250" t="str">
        <f t="shared" si="18"/>
        <v/>
      </c>
      <c r="BF37" s="198" t="str">
        <f t="array" ref="BF37">INDEX(BE:BE,SMALL(IF($BE$2:$BE$143&lt;&gt;"",ROW($2:$143),144),ROW(BE36)))&amp;""</f>
        <v/>
      </c>
      <c r="BG37" s="156">
        <f>IF(主要!C119="",0,主要!C119)</f>
        <v>0</v>
      </c>
      <c r="BH37" s="130" t="str">
        <f t="shared" si="2"/>
        <v/>
      </c>
      <c r="BI37" s="155" t="str">
        <f t="shared" si="5"/>
        <v/>
      </c>
      <c r="BJ37" s="130"/>
      <c r="BK37" s="130"/>
      <c r="BL37" s="130"/>
      <c r="BM37" s="130"/>
      <c r="BN37" s="130"/>
      <c r="BO37" s="130"/>
      <c r="BP37" s="130"/>
      <c r="BQ37" s="130"/>
      <c r="BR37" s="130"/>
      <c r="BS37" s="130"/>
      <c r="BT37" s="130"/>
      <c r="BU37" s="130"/>
      <c r="BV37" s="130"/>
      <c r="BW37" s="130"/>
      <c r="BX37" s="130"/>
      <c r="BY37" s="130"/>
      <c r="BZ37" s="130"/>
    </row>
    <row r="38" spans="1:78" ht="14.4" customHeight="1" x14ac:dyDescent="0.25">
      <c r="A38" s="156">
        <v>22</v>
      </c>
      <c r="B38" s="207" t="str">
        <f>IF(OR(BH48&lt;1,COUNTIF($BG$2:$BG$46,"图腾精魄-熊")),"图腾精魄-熊","")</f>
        <v>图腾精魄-熊</v>
      </c>
      <c r="C38" s="207" t="s">
        <v>2140</v>
      </c>
      <c r="D38" s="283" t="s">
        <v>2141</v>
      </c>
      <c r="E38" s="283" t="s">
        <v>2142</v>
      </c>
      <c r="F38" s="287" t="s">
        <v>2143</v>
      </c>
      <c r="G38" s="287" t="s">
        <v>2144</v>
      </c>
      <c r="H38" s="205" t="str">
        <f>IF(OR(BH56&lt;1,COUNTIF($BG$2:$BG$46,"结社法术-草原")),"结社法术-草原","")</f>
        <v>结社法术-草原</v>
      </c>
      <c r="I38" s="205" t="s">
        <v>2145</v>
      </c>
      <c r="J38" s="283" t="s">
        <v>2146</v>
      </c>
      <c r="K38" s="283" t="s">
        <v>2147</v>
      </c>
      <c r="L38" s="106" t="s">
        <v>2148</v>
      </c>
      <c r="M38" s="119" t="s">
        <v>2149</v>
      </c>
      <c r="N38" s="180" t="str">
        <f>IF(COUNTIF($BG$2:$BG$46,"额外攻击-*"),"","额外攻击")</f>
        <v>额外攻击</v>
      </c>
      <c r="O38" s="119" t="s">
        <v>2150</v>
      </c>
      <c r="P38" s="119" t="str">
        <f>IF(COUNTIF($BG$2:$BG$46,"额外攻击-*"),"","额外攻击")</f>
        <v>额外攻击</v>
      </c>
      <c r="Q38" s="119" t="s">
        <v>1974</v>
      </c>
      <c r="R38" s="287" t="s">
        <v>2151</v>
      </c>
      <c r="S38" s="287" t="s">
        <v>2152</v>
      </c>
      <c r="T38" s="274" t="str">
        <f>IF(AND(综合数据!B14=TRUE,OR(BI63&gt;0,COUNTIF($BG$2:$BG$46,"超魔法-追踪法术"))),"超魔法-追踪法术","")</f>
        <v/>
      </c>
      <c r="U38" s="273" t="s">
        <v>2153</v>
      </c>
      <c r="V38" s="273" t="str">
        <f>IF(OR(BI65&gt;0,COUNTIF($BG$2:$BG$46,"魔能祈唤-命运窃贼")),"魔能祈唤-命运窃贼","")</f>
        <v/>
      </c>
      <c r="W38" s="273" t="s">
        <v>2154</v>
      </c>
      <c r="X38" s="290" t="s">
        <v>2155</v>
      </c>
      <c r="Y38" s="290" t="s">
        <v>2156</v>
      </c>
      <c r="Z38" s="273" t="str">
        <f>IF(OR(BI67&gt;0,COUNTIF($BG$2:$BG$46,"注法-折返之靴")),"注法-折返之靴","")</f>
        <v/>
      </c>
      <c r="AA38" s="279" t="s">
        <v>2157</v>
      </c>
      <c r="AB38" s="118" t="str">
        <f>IF(AND(主要!$R$4&lt;&gt;"",主要!$Y$3-主要!$Y$6-主要!$Y$7&gt;=15),15,"")</f>
        <v/>
      </c>
      <c r="AC38" s="119" t="str">
        <f>IF(AND(主要!$R$6&lt;&gt;"",主要!$Y$3-主要!$Y$4-主要!$Y$7&gt;=15),15,"")</f>
        <v/>
      </c>
      <c r="AD38" s="120" t="str">
        <f>IF(AND(主要!$R$7&lt;&gt;"",主要!$Y$3-主要!$Y$4-主要!$Y$6&gt;=15),15,"")</f>
        <v/>
      </c>
      <c r="AF38" s="273"/>
      <c r="AG38" s="273"/>
      <c r="AH38" s="273"/>
      <c r="AL38" s="157" t="e">
        <f t="array" ref="AL38">INDEX(AJ:AJ,SMALL(IF($AJ$18:$AJ$35&lt;&gt;"",ROW($18:$35),36),ROW(AJ17)))&amp;""</f>
        <v>#N/A</v>
      </c>
      <c r="AM38" s="168" t="s">
        <v>2158</v>
      </c>
      <c r="AN38" s="168"/>
      <c r="AO38" s="168">
        <v>132</v>
      </c>
      <c r="AP38" s="231">
        <f>IF($AG$4&gt;=17,138,IF($AG$4&gt;=8,137,IF($AG$4&gt;=6,136,IF($AG$4&gt;=2,135,IF($AG$4&gt;=1,134,0)))))</f>
        <v>0</v>
      </c>
      <c r="AQ38" s="115" t="e">
        <f t="shared" si="6"/>
        <v>#N/A</v>
      </c>
      <c r="AR38" s="119" t="e">
        <f t="shared" si="7"/>
        <v>#N/A</v>
      </c>
      <c r="AS38" s="119" t="e">
        <f t="shared" si="8"/>
        <v>#N/A</v>
      </c>
      <c r="AT38" s="116" t="e">
        <f t="shared" si="9"/>
        <v>#N/A</v>
      </c>
      <c r="AU38" s="115" t="e">
        <f t="shared" si="10"/>
        <v>#N/A</v>
      </c>
      <c r="AV38" s="119" t="e">
        <f t="shared" si="11"/>
        <v>#N/A</v>
      </c>
      <c r="AW38" s="119" t="e">
        <f t="shared" si="12"/>
        <v>#N/A</v>
      </c>
      <c r="AX38" s="116" t="e">
        <f t="shared" si="13"/>
        <v>#N/A</v>
      </c>
      <c r="AY38" s="115" t="e">
        <f t="shared" si="14"/>
        <v>#N/A</v>
      </c>
      <c r="AZ38" s="119" t="e">
        <f t="shared" si="15"/>
        <v>#N/A</v>
      </c>
      <c r="BA38" s="119" t="e">
        <f t="shared" si="16"/>
        <v>#N/A</v>
      </c>
      <c r="BB38" s="116" t="e">
        <f t="shared" si="17"/>
        <v>#N/A</v>
      </c>
      <c r="BC38" s="118" t="str">
        <f>IFERROR(INDEX($AQ$12:$BF$87,28,$BC$2),"")</f>
        <v/>
      </c>
      <c r="BD38" s="119" t="str">
        <f>IFERROR(INDEX($AQ$12:$BF$87,28,$BD$2),"")</f>
        <v/>
      </c>
      <c r="BE38" s="250" t="str">
        <f t="shared" si="18"/>
        <v/>
      </c>
      <c r="BF38" s="198" t="str">
        <f t="array" ref="BF38">INDEX(BE:BE,SMALL(IF($BE$2:$BE$143&lt;&gt;"",ROW($2:$143),144),ROW(BE37)))&amp;""</f>
        <v/>
      </c>
      <c r="BG38" s="156">
        <f>IF(主要!C120="",0,主要!C120)</f>
        <v>0</v>
      </c>
      <c r="BH38" s="130" t="str">
        <f t="shared" si="2"/>
        <v/>
      </c>
      <c r="BI38" s="155" t="str">
        <f t="shared" si="5"/>
        <v/>
      </c>
      <c r="BJ38" s="130"/>
      <c r="BK38" s="130"/>
      <c r="BL38" s="130"/>
      <c r="BM38" s="130"/>
      <c r="BN38" s="130"/>
      <c r="BO38" s="130"/>
      <c r="BP38" s="130"/>
      <c r="BQ38" s="130"/>
      <c r="BR38" s="130"/>
      <c r="BS38" s="130"/>
      <c r="BT38" s="130"/>
      <c r="BU38" s="130"/>
      <c r="BV38" s="130"/>
      <c r="BW38" s="130"/>
      <c r="BX38" s="130"/>
      <c r="BY38" s="130"/>
      <c r="BZ38" s="130"/>
    </row>
    <row r="39" spans="1:78" ht="14.4" customHeight="1" x14ac:dyDescent="0.25">
      <c r="A39" s="156">
        <v>23</v>
      </c>
      <c r="B39" s="207" t="str">
        <f>IF(OR(BH48&lt;1,COUNTIF($BG$2:$BG$46,"图腾精魄-雕")),"图腾精魄-雕","")</f>
        <v>图腾精魄-雕</v>
      </c>
      <c r="C39" s="207" t="s">
        <v>2159</v>
      </c>
      <c r="D39" s="287" t="s">
        <v>2078</v>
      </c>
      <c r="E39" s="287" t="s">
        <v>2160</v>
      </c>
      <c r="F39" s="287" t="s">
        <v>2161</v>
      </c>
      <c r="G39" s="287" t="s">
        <v>2162</v>
      </c>
      <c r="H39" s="205" t="str">
        <f>IF(OR(BH56&lt;1,COUNTIF($BG$2:$BG$46,"结社法术-山地")),"结社法术-山地","")</f>
        <v>结社法术-山地</v>
      </c>
      <c r="I39" s="205" t="s">
        <v>2163</v>
      </c>
      <c r="J39" s="283" t="s">
        <v>2164</v>
      </c>
      <c r="K39" s="283" t="s">
        <v>2165</v>
      </c>
      <c r="L39" s="106" t="s">
        <v>2166</v>
      </c>
      <c r="M39" s="119" t="s">
        <v>2167</v>
      </c>
      <c r="N39" s="180" t="s">
        <v>2168</v>
      </c>
      <c r="O39" s="119" t="s">
        <v>2169</v>
      </c>
      <c r="P39" s="119" t="s">
        <v>2170</v>
      </c>
      <c r="Q39" s="119" t="s">
        <v>2171</v>
      </c>
      <c r="R39" s="287" t="s">
        <v>2172</v>
      </c>
      <c r="S39" s="287" t="s">
        <v>2173</v>
      </c>
      <c r="T39" s="274" t="str">
        <f>IF(OR(综合数据!B14=FALSE,BI63&lt;=0),"","超魔法-转化法术")</f>
        <v/>
      </c>
      <c r="U39" s="273" t="s">
        <v>2174</v>
      </c>
      <c r="V39" s="274" t="str">
        <f>IF(AND(综合数据!B14=TRUE,COUNTIF(法术数据!AK2:AK301,法术数据!B8)&gt;=1,OR(BI65&gt;0,COUNTIF($BG$2:$BG$46,"魔能祈唤-哈达之攫"))),"魔能祈唤-哈达之攫","")</f>
        <v/>
      </c>
      <c r="W39" s="278" t="s">
        <v>2175</v>
      </c>
      <c r="X39" s="290" t="s">
        <v>2176</v>
      </c>
      <c r="Y39" s="290" t="s">
        <v>2177</v>
      </c>
      <c r="Z39" s="273" t="str">
        <f>IF(OR(BI67&gt;0,COUNTIF($BG$2:$BG$46,"注法-光耀武器")),"注法-光耀武器","")</f>
        <v/>
      </c>
      <c r="AA39" s="279" t="s">
        <v>2178</v>
      </c>
      <c r="AB39" s="118" t="str">
        <f>IF(AND(主要!$R$4&lt;&gt;"",主要!$Y$3-主要!$Y$6-主要!$Y$7&gt;=16),16,"")</f>
        <v/>
      </c>
      <c r="AC39" s="119" t="str">
        <f>IF(AND(主要!$R$6&lt;&gt;"",主要!$Y$3-主要!$Y$4-主要!$Y$7&gt;=16),16,"")</f>
        <v/>
      </c>
      <c r="AD39" s="120" t="str">
        <f>IF(AND(主要!$R$7&lt;&gt;"",主要!$Y$3-主要!$Y$4-主要!$Y$6&gt;=16),16,"")</f>
        <v/>
      </c>
      <c r="AF39" s="273"/>
      <c r="AG39" s="273"/>
      <c r="AH39" s="273"/>
      <c r="AL39" s="157" t="e">
        <f t="array" ref="AL39">INDEX(AJ:AJ,SMALL(IF($AJ$18:$AJ$35&lt;&gt;"",ROW($18:$35),36),ROW(AJ18)))&amp;""</f>
        <v>#N/A</v>
      </c>
      <c r="AM39" s="249" t="s">
        <v>1531</v>
      </c>
      <c r="AN39" s="249">
        <v>4</v>
      </c>
      <c r="AO39" s="249">
        <v>1</v>
      </c>
      <c r="AP39" s="276">
        <f>IF($AG$5=20,14,IF($AG$5&gt;=18,13,IF($AG$5&gt;=4,11,IF($AG$5&gt;=2,10,IF($AG$5&gt;=1,7,0)))))</f>
        <v>0</v>
      </c>
      <c r="AQ39" s="115" t="e">
        <f t="shared" si="6"/>
        <v>#N/A</v>
      </c>
      <c r="AR39" s="119" t="e">
        <f t="shared" si="7"/>
        <v>#N/A</v>
      </c>
      <c r="AS39" s="119" t="e">
        <f t="shared" si="8"/>
        <v>#N/A</v>
      </c>
      <c r="AT39" s="116" t="e">
        <f t="shared" si="9"/>
        <v>#N/A</v>
      </c>
      <c r="AU39" s="115" t="e">
        <f t="shared" si="10"/>
        <v>#N/A</v>
      </c>
      <c r="AV39" s="119" t="e">
        <f t="shared" si="11"/>
        <v>#N/A</v>
      </c>
      <c r="AW39" s="119" t="e">
        <f t="shared" si="12"/>
        <v>#N/A</v>
      </c>
      <c r="AX39" s="116" t="e">
        <f t="shared" si="13"/>
        <v>#N/A</v>
      </c>
      <c r="AY39" s="115" t="e">
        <f t="shared" si="14"/>
        <v>#N/A</v>
      </c>
      <c r="AZ39" s="119" t="e">
        <f t="shared" si="15"/>
        <v>#N/A</v>
      </c>
      <c r="BA39" s="119" t="e">
        <f t="shared" si="16"/>
        <v>#N/A</v>
      </c>
      <c r="BB39" s="116" t="e">
        <f t="shared" si="17"/>
        <v>#N/A</v>
      </c>
      <c r="BC39" s="118" t="str">
        <f>IFERROR(INDEX($AQ$12:$BF$87,29,$BC$2),"")</f>
        <v/>
      </c>
      <c r="BD39" s="119" t="str">
        <f>IFERROR(INDEX($AQ$12:$BF$87,29,$BD$2),"")</f>
        <v/>
      </c>
      <c r="BE39" s="250" t="str">
        <f t="shared" si="18"/>
        <v/>
      </c>
      <c r="BF39" s="198" t="str">
        <f t="array" ref="BF39">INDEX(BE:BE,SMALL(IF($BE$2:$BE$143&lt;&gt;"",ROW($2:$143),144),ROW(BE38)))&amp;""</f>
        <v/>
      </c>
      <c r="BG39" s="156">
        <f>IF(主要!C121="",0,主要!C121)</f>
        <v>0</v>
      </c>
      <c r="BH39" s="130" t="str">
        <f t="shared" si="2"/>
        <v/>
      </c>
      <c r="BI39" s="155" t="str">
        <f t="shared" si="5"/>
        <v/>
      </c>
      <c r="BJ39" s="130"/>
      <c r="BK39" s="130"/>
      <c r="BL39" s="130"/>
      <c r="BM39" s="130"/>
      <c r="BN39" s="130"/>
      <c r="BO39" s="130"/>
      <c r="BP39" s="130"/>
      <c r="BQ39" s="130"/>
      <c r="BR39" s="130"/>
      <c r="BS39" s="130"/>
      <c r="BT39" s="130"/>
      <c r="BU39" s="130"/>
      <c r="BV39" s="130"/>
      <c r="BW39" s="130"/>
      <c r="BX39" s="130"/>
      <c r="BY39" s="130"/>
      <c r="BZ39" s="130"/>
    </row>
    <row r="40" spans="1:78" ht="14.4" customHeight="1" x14ac:dyDescent="0.25">
      <c r="A40" s="156">
        <v>24</v>
      </c>
      <c r="B40" s="207" t="str">
        <f>IF(OR(BH48&lt;1,COUNTIF($BG$2:$BG$46,"图腾精魄-狼")),"图腾精魄-狼","")</f>
        <v>图腾精魄-狼</v>
      </c>
      <c r="C40" s="207" t="s">
        <v>2179</v>
      </c>
      <c r="D40" s="287" t="s">
        <v>2180</v>
      </c>
      <c r="E40" s="287" t="s">
        <v>2181</v>
      </c>
      <c r="F40" s="287" t="s">
        <v>2182</v>
      </c>
      <c r="G40" s="287" t="s">
        <v>2183</v>
      </c>
      <c r="H40" s="205" t="str">
        <f>IF(OR(BH56&lt;1,COUNTIF($BG$2:$BG$46,"结社法术-幽暗地域")),"结社法术-幽暗地域","")</f>
        <v>结社法术-幽暗地域</v>
      </c>
      <c r="I40" s="205" t="s">
        <v>2184</v>
      </c>
      <c r="J40" s="287" t="s">
        <v>2185</v>
      </c>
      <c r="K40" s="287" t="s">
        <v>2186</v>
      </c>
      <c r="L40" s="106" t="s">
        <v>2187</v>
      </c>
      <c r="M40" s="119" t="s">
        <v>2188</v>
      </c>
      <c r="N40" s="180" t="s">
        <v>2189</v>
      </c>
      <c r="O40" s="119" t="s">
        <v>2190</v>
      </c>
      <c r="P40" s="269" t="str">
        <f>IF(OR(BH60&lt;1,COUNTIF($BG$2:$BG$46,"遁术")),"遁术","")</f>
        <v>遁术</v>
      </c>
      <c r="Q40" s="269" t="s">
        <v>2191</v>
      </c>
      <c r="R40" s="290" t="s">
        <v>2192</v>
      </c>
      <c r="S40" s="290" t="s">
        <v>2193</v>
      </c>
      <c r="T40" s="274" t="str">
        <f>IF(综合数据!B14=TRUE,"法力变换","")</f>
        <v>法力变换</v>
      </c>
      <c r="U40" s="274" t="s">
        <v>2194</v>
      </c>
      <c r="V40" s="274" t="str">
        <f>IF(AND(综合数据!B14=TRUE,COUNTIF(法术数据!AK2:AK301,法术数据!B8)&gt;=1,OR(BI65&gt;0,COUNTIF($BG$2:$BG$46,"魔能祈唤-怠惰之枪"))),"魔能祈唤-怠惰之枪","")</f>
        <v/>
      </c>
      <c r="W40" s="278" t="s">
        <v>2195</v>
      </c>
      <c r="X40" s="290" t="s">
        <v>2196</v>
      </c>
      <c r="Y40" s="290" t="s">
        <v>2197</v>
      </c>
      <c r="Z40" s="273" t="str">
        <f>IF(OR(BI67&gt;0,COUNTIF($BG$2:$BG$46,"注法-斥力之盾")),"注法-斥力之盾","")</f>
        <v/>
      </c>
      <c r="AA40" s="279" t="s">
        <v>2198</v>
      </c>
      <c r="AB40" s="118" t="str">
        <f>IF(AND(主要!$R$4&lt;&gt;"",主要!$Y$3-主要!$Y$6-主要!$Y$7&gt;=17),17,"")</f>
        <v/>
      </c>
      <c r="AC40" s="119" t="str">
        <f>IF(AND(主要!$R$6&lt;&gt;"",主要!$Y$3-主要!$Y$4-主要!$Y$7&gt;=17),17,"")</f>
        <v/>
      </c>
      <c r="AD40" s="120" t="str">
        <f>IF(AND(主要!$R$7&lt;&gt;"",主要!$Y$3-主要!$Y$4-主要!$Y$6&gt;=17),17,"")</f>
        <v/>
      </c>
      <c r="AF40" s="273"/>
      <c r="AG40" s="273"/>
      <c r="AH40" s="273"/>
      <c r="AL40" s="117" t="s">
        <v>1678</v>
      </c>
      <c r="AM40" s="106" t="s">
        <v>1532</v>
      </c>
      <c r="AN40" s="106"/>
      <c r="AO40" s="106">
        <v>15</v>
      </c>
      <c r="AP40" s="116">
        <f>IF($AG$5&gt;=14,28,IF($AG$5&gt;=10,27,IF($AG$5&gt;=6,26,IF($AG$5&gt;=3,25,IF($AG$5&gt;=2,16,0)))))</f>
        <v>0</v>
      </c>
      <c r="AQ40" s="115" t="e">
        <f t="shared" si="6"/>
        <v>#N/A</v>
      </c>
      <c r="AR40" s="119" t="e">
        <f t="shared" si="7"/>
        <v>#N/A</v>
      </c>
      <c r="AS40" s="119" t="e">
        <f t="shared" si="8"/>
        <v>#N/A</v>
      </c>
      <c r="AT40" s="116" t="e">
        <f t="shared" si="9"/>
        <v>#N/A</v>
      </c>
      <c r="AU40" s="115" t="e">
        <f t="shared" si="10"/>
        <v>#N/A</v>
      </c>
      <c r="AV40" s="119" t="e">
        <f t="shared" si="11"/>
        <v>#N/A</v>
      </c>
      <c r="AW40" s="119" t="e">
        <f t="shared" si="12"/>
        <v>#N/A</v>
      </c>
      <c r="AX40" s="116" t="e">
        <f t="shared" si="13"/>
        <v>#N/A</v>
      </c>
      <c r="AY40" s="115" t="e">
        <f t="shared" si="14"/>
        <v>#N/A</v>
      </c>
      <c r="AZ40" s="119" t="e">
        <f t="shared" si="15"/>
        <v>#N/A</v>
      </c>
      <c r="BA40" s="119" t="e">
        <f t="shared" si="16"/>
        <v>#N/A</v>
      </c>
      <c r="BB40" s="116" t="e">
        <f t="shared" si="17"/>
        <v>#N/A</v>
      </c>
      <c r="BC40" s="118" t="str">
        <f>IFERROR(INDEX($AQ$12:$BF$87,30,$BC$2),"")</f>
        <v/>
      </c>
      <c r="BD40" s="119" t="str">
        <f>IFERROR(INDEX($AQ$12:$BF$87,30,$BD$2),"")</f>
        <v/>
      </c>
      <c r="BE40" s="250" t="str">
        <f t="shared" si="18"/>
        <v/>
      </c>
      <c r="BF40" s="198" t="str">
        <f t="array" ref="BF40">INDEX(BE:BE,SMALL(IF($BE$2:$BE$143&lt;&gt;"",ROW($2:$143),144),ROW(BE39)))&amp;""</f>
        <v/>
      </c>
      <c r="BG40" s="156">
        <f>IF(主要!C122="",0,主要!C122)</f>
        <v>0</v>
      </c>
      <c r="BH40" s="130" t="str">
        <f t="shared" si="2"/>
        <v/>
      </c>
      <c r="BI40" s="155" t="str">
        <f t="shared" si="5"/>
        <v/>
      </c>
      <c r="BJ40" s="130"/>
      <c r="BK40" s="130"/>
      <c r="BL40" s="130"/>
      <c r="BM40" s="130"/>
      <c r="BN40" s="130"/>
      <c r="BO40" s="130"/>
      <c r="BP40" s="130"/>
      <c r="BQ40" s="130"/>
      <c r="BR40" s="130"/>
      <c r="BS40" s="130"/>
      <c r="BT40" s="130"/>
      <c r="BU40" s="130"/>
      <c r="BV40" s="130"/>
      <c r="BW40" s="130"/>
      <c r="BX40" s="130"/>
      <c r="BY40" s="130"/>
      <c r="BZ40" s="130"/>
    </row>
    <row r="41" spans="1:78" ht="14.4" customHeight="1" x14ac:dyDescent="0.25">
      <c r="A41" s="156">
        <v>25</v>
      </c>
      <c r="B41" s="207" t="str">
        <f>IF(AND(综合数据!B5=TRUE,OR(BH48&lt;1,COUNTIF($BG$2:$BG$46,"图腾精魄-鹿"))),"图腾精魄-鹿","")</f>
        <v>图腾精魄-鹿</v>
      </c>
      <c r="C41" s="207" t="s">
        <v>2199</v>
      </c>
      <c r="D41" s="287" t="str">
        <f>IF(COUNTIF($BG$2:$BG$46,"额外攻击-*"),"","额外攻击")</f>
        <v>额外攻击</v>
      </c>
      <c r="E41" s="287" t="s">
        <v>2200</v>
      </c>
      <c r="F41" s="291" t="s">
        <v>2201</v>
      </c>
      <c r="G41" s="291" t="s">
        <v>2202</v>
      </c>
      <c r="H41" s="205" t="str">
        <f>IF(OR(BH56&lt;1,COUNTIF($BG$2:$BG$46,"结社法术-沼泽")),"结社法术-沼泽","")</f>
        <v>结社法术-沼泽</v>
      </c>
      <c r="I41" s="205" t="s">
        <v>2203</v>
      </c>
      <c r="J41" s="291" t="str">
        <f>IF(OR(BI55&gt;0,COUNTIF($BG$2:$BG$46,"战技-指挥官奇袭")),"战技-指挥官奇袭","")</f>
        <v/>
      </c>
      <c r="K41" s="291" t="s">
        <v>2204</v>
      </c>
      <c r="L41" s="106" t="s">
        <v>2205</v>
      </c>
      <c r="M41" s="119" t="s">
        <v>2206</v>
      </c>
      <c r="N41" s="180" t="s">
        <v>2207</v>
      </c>
      <c r="O41" s="119" t="s">
        <v>2208</v>
      </c>
      <c r="P41" s="274" t="str">
        <f>IF(AND(综合数据!B14=TRUE,OR(BH60&lt;1,COUNTIF($BG$2:$BG$46,"自然面纱"))),"自然面纱","")</f>
        <v>自然面纱</v>
      </c>
      <c r="Q41" s="269" t="s">
        <v>2209</v>
      </c>
      <c r="R41" s="290" t="s">
        <v>2210</v>
      </c>
      <c r="S41" s="290" t="s">
        <v>2211</v>
      </c>
      <c r="T41" s="274" t="str">
        <f>IF(综合数据!B14=TRUE,"魔法指引","")</f>
        <v>魔法指引</v>
      </c>
      <c r="U41" s="274" t="s">
        <v>2212</v>
      </c>
      <c r="V41" s="274" t="str">
        <f>IF(AND(综合数据!B14=TRUE,OR(BI65&gt;0,COUNTIF($BG$2:$BG$46,"魔能祈唤-魔能意志"))),"魔能祈唤-魔能意志","")</f>
        <v/>
      </c>
      <c r="W41" s="273" t="s">
        <v>2213</v>
      </c>
      <c r="X41" s="290" t="s">
        <v>2214</v>
      </c>
      <c r="Y41" s="290" t="s">
        <v>2215</v>
      </c>
      <c r="Z41" s="273" t="str">
        <f>IF(OR(BI67&gt;0,COUNTIF($BG$2:$BG$46,"注法-抗力盔甲")),"注法-抗力盔甲","")</f>
        <v/>
      </c>
      <c r="AA41" s="279" t="s">
        <v>2216</v>
      </c>
      <c r="AB41" s="118" t="str">
        <f>IF(AND(主要!$R$4&lt;&gt;"",主要!$Y$3-主要!$Y$6-主要!$Y$7&gt;=18),18,"")</f>
        <v/>
      </c>
      <c r="AC41" s="119" t="str">
        <f>IF(AND(主要!$R$6&lt;&gt;"",主要!$Y$3-主要!$Y$4-主要!$Y$7&gt;=18),18,"")</f>
        <v/>
      </c>
      <c r="AD41" s="120" t="str">
        <f>IF(AND(主要!$R$7&lt;&gt;"",主要!$Y$3-主要!$Y$4-主要!$Y$6&gt;=18),18,"")</f>
        <v/>
      </c>
      <c r="AF41" s="273"/>
      <c r="AG41" s="273"/>
      <c r="AH41" s="273"/>
      <c r="AL41" s="157" t="e">
        <f t="array" ref="AL41">INDEX(AK:AK,SMALL(IF($AK$18:$AK$35&lt;&gt;"",ROW($18:$35),36),ROW(AK1)))&amp;""</f>
        <v>#N/A</v>
      </c>
      <c r="AM41" s="106" t="s">
        <v>1533</v>
      </c>
      <c r="AN41" s="106"/>
      <c r="AO41" s="106">
        <v>29</v>
      </c>
      <c r="AP41" s="116">
        <f>IF($AG$5&gt;=14,33,IF($AG$5&gt;=10,32,IF($AG$5&gt;=6,31,IF($AG$5&gt;=2,30,0))))</f>
        <v>0</v>
      </c>
      <c r="AQ41" s="115" t="e">
        <f t="shared" si="6"/>
        <v>#N/A</v>
      </c>
      <c r="AR41" s="119" t="e">
        <f t="shared" si="7"/>
        <v>#N/A</v>
      </c>
      <c r="AS41" s="119" t="e">
        <f t="shared" si="8"/>
        <v>#N/A</v>
      </c>
      <c r="AT41" s="116" t="e">
        <f t="shared" si="9"/>
        <v>#N/A</v>
      </c>
      <c r="AU41" s="115" t="e">
        <f t="shared" si="10"/>
        <v>#N/A</v>
      </c>
      <c r="AV41" s="119" t="e">
        <f t="shared" si="11"/>
        <v>#N/A</v>
      </c>
      <c r="AW41" s="119" t="e">
        <f t="shared" si="12"/>
        <v>#N/A</v>
      </c>
      <c r="AX41" s="116" t="e">
        <f t="shared" si="13"/>
        <v>#N/A</v>
      </c>
      <c r="AY41" s="115" t="e">
        <f t="shared" si="14"/>
        <v>#N/A</v>
      </c>
      <c r="AZ41" s="119" t="e">
        <f t="shared" si="15"/>
        <v>#N/A</v>
      </c>
      <c r="BA41" s="119" t="e">
        <f t="shared" si="16"/>
        <v>#N/A</v>
      </c>
      <c r="BB41" s="116" t="e">
        <f t="shared" si="17"/>
        <v>#N/A</v>
      </c>
      <c r="BC41" s="118" t="str">
        <f>IFERROR(INDEX($AQ$12:$BF$87,31,$BC$2),"")</f>
        <v/>
      </c>
      <c r="BD41" s="119" t="str">
        <f>IFERROR(INDEX($AQ$12:$BF$87,31,$BD$2),"")</f>
        <v/>
      </c>
      <c r="BE41" s="250" t="str">
        <f t="shared" si="18"/>
        <v/>
      </c>
      <c r="BF41" s="198" t="str">
        <f t="array" ref="BF41">INDEX(BE:BE,SMALL(IF($BE$2:$BE$143&lt;&gt;"",ROW($2:$143),144),ROW(BE40)))&amp;""</f>
        <v/>
      </c>
      <c r="BG41" s="156">
        <f>IF(主要!C123="",0,主要!C123)</f>
        <v>0</v>
      </c>
      <c r="BH41" s="130" t="str">
        <f t="shared" si="2"/>
        <v/>
      </c>
      <c r="BI41" s="155" t="str">
        <f t="shared" si="5"/>
        <v/>
      </c>
      <c r="BJ41" s="130"/>
      <c r="BK41" s="130"/>
      <c r="BL41" s="130"/>
      <c r="BM41" s="130"/>
      <c r="BN41" s="130"/>
      <c r="BO41" s="130"/>
      <c r="BP41" s="130"/>
      <c r="BQ41" s="130"/>
      <c r="BR41" s="130"/>
      <c r="BS41" s="130"/>
      <c r="BT41" s="130"/>
      <c r="BU41" s="130"/>
      <c r="BV41" s="130"/>
      <c r="BW41" s="130"/>
      <c r="BX41" s="130"/>
      <c r="BY41" s="130"/>
      <c r="BZ41" s="130"/>
    </row>
    <row r="42" spans="1:78" ht="14.4" customHeight="1" x14ac:dyDescent="0.25">
      <c r="A42" s="156">
        <v>26</v>
      </c>
      <c r="B42" s="207" t="str">
        <f>IF(AND(综合数据!B5=TRUE,OR(BH48&lt;1,COUNTIF($BG$2:$BG$46,"图腾精魄-虎"))),"图腾精魄-虎","")</f>
        <v>图腾精魄-虎</v>
      </c>
      <c r="C42" s="207" t="s">
        <v>2217</v>
      </c>
      <c r="D42" s="287" t="s">
        <v>2218</v>
      </c>
      <c r="E42" s="287" t="s">
        <v>2219</v>
      </c>
      <c r="F42" s="287" t="s">
        <v>2220</v>
      </c>
      <c r="G42" s="287" t="s">
        <v>2221</v>
      </c>
      <c r="H42" s="292" t="s">
        <v>2170</v>
      </c>
      <c r="I42" s="283" t="s">
        <v>2222</v>
      </c>
      <c r="J42" s="291" t="str">
        <f>IF(OR(BI55&gt;0,COUNTIF($BG$2:$BG$46,"战技-缴械攻击")),"战技-缴械攻击","")</f>
        <v/>
      </c>
      <c r="K42" s="291" t="s">
        <v>2223</v>
      </c>
      <c r="L42" s="283" t="s">
        <v>2224</v>
      </c>
      <c r="M42" s="283" t="s">
        <v>2225</v>
      </c>
      <c r="N42" s="180" t="s">
        <v>2226</v>
      </c>
      <c r="O42" s="119" t="s">
        <v>2227</v>
      </c>
      <c r="P42" s="119" t="s">
        <v>2228</v>
      </c>
      <c r="Q42" s="119" t="s">
        <v>2229</v>
      </c>
      <c r="R42" s="290" t="s">
        <v>2230</v>
      </c>
      <c r="S42" s="290" t="s">
        <v>2231</v>
      </c>
      <c r="T42" s="180" t="s">
        <v>2232</v>
      </c>
      <c r="U42" s="119" t="s">
        <v>2233</v>
      </c>
      <c r="V42" s="106" t="s">
        <v>2234</v>
      </c>
      <c r="W42" s="119" t="s">
        <v>2235</v>
      </c>
      <c r="X42" s="290" t="s">
        <v>2236</v>
      </c>
      <c r="Y42" s="290" t="s">
        <v>2237</v>
      </c>
      <c r="Z42" s="274" t="str">
        <f>IF(AND(综合数据!B14=TRUE,OR(BI67&gt;0,COUNTIF($BG$2:$BG$46,"注法-法力恢复戒指"))),"注法-法力恢复戒指","")</f>
        <v/>
      </c>
      <c r="AA42" s="279" t="s">
        <v>2238</v>
      </c>
      <c r="AB42" s="118" t="str">
        <f>IF(AND(主要!$R$4&lt;&gt;"",主要!$Y$3-主要!$Y$6-主要!$Y$7&gt;=19),19,"")</f>
        <v/>
      </c>
      <c r="AC42" s="119" t="str">
        <f>IF(AND(主要!$R$6&lt;&gt;"",主要!$Y$3-主要!$Y$4-主要!$Y$7&gt;=19),19,"")</f>
        <v/>
      </c>
      <c r="AD42" s="120" t="str">
        <f>IF(AND(主要!$R$7&lt;&gt;"",主要!$Y$3-主要!$Y$4-主要!$Y$6&gt;=19),19,"")</f>
        <v/>
      </c>
      <c r="AF42" s="273"/>
      <c r="AL42" s="157" t="e">
        <f t="array" ref="AL42">INDEX(AK:AK,SMALL(IF($AK$18:$AK$35&lt;&gt;"",ROW($18:$35),36),ROW(AK2)))&amp;""</f>
        <v>#N/A</v>
      </c>
      <c r="AM42" s="251" t="s">
        <v>2239</v>
      </c>
      <c r="AN42" s="251"/>
      <c r="AO42" s="251">
        <v>34</v>
      </c>
      <c r="AP42" s="267">
        <f>IF($AG$5&gt;=14,37,IF($AG$5&gt;=10,36,IF($AG$5&gt;=6,35,IF($AG$5&gt;=2,34,0))))</f>
        <v>0</v>
      </c>
      <c r="AQ42" s="115" t="e">
        <f t="shared" si="6"/>
        <v>#N/A</v>
      </c>
      <c r="AR42" s="119" t="e">
        <f t="shared" si="7"/>
        <v>#N/A</v>
      </c>
      <c r="AS42" s="119" t="e">
        <f t="shared" si="8"/>
        <v>#N/A</v>
      </c>
      <c r="AT42" s="116" t="e">
        <f t="shared" si="9"/>
        <v>#N/A</v>
      </c>
      <c r="AU42" s="115" t="e">
        <f t="shared" si="10"/>
        <v>#N/A</v>
      </c>
      <c r="AV42" s="119" t="e">
        <f t="shared" si="11"/>
        <v>#N/A</v>
      </c>
      <c r="AW42" s="119" t="e">
        <f t="shared" si="12"/>
        <v>#N/A</v>
      </c>
      <c r="AX42" s="116" t="e">
        <f t="shared" si="13"/>
        <v>#N/A</v>
      </c>
      <c r="AY42" s="115" t="e">
        <f t="shared" si="14"/>
        <v>#N/A</v>
      </c>
      <c r="AZ42" s="119" t="e">
        <f t="shared" si="15"/>
        <v>#N/A</v>
      </c>
      <c r="BA42" s="119" t="e">
        <f t="shared" si="16"/>
        <v>#N/A</v>
      </c>
      <c r="BB42" s="116" t="e">
        <f t="shared" si="17"/>
        <v>#N/A</v>
      </c>
      <c r="BC42" s="118" t="str">
        <f>IFERROR(INDEX($AQ$12:$BF$87,32,$BC$2),"")</f>
        <v/>
      </c>
      <c r="BD42" s="119" t="str">
        <f>IFERROR(INDEX($AQ$12:$BF$87,32,$BD$2),"")</f>
        <v/>
      </c>
      <c r="BE42" s="250" t="str">
        <f t="shared" si="18"/>
        <v/>
      </c>
      <c r="BF42" s="198" t="str">
        <f t="array" ref="BF42">INDEX(BE:BE,SMALL(IF($BE$2:$BE$143&lt;&gt;"",ROW($2:$143),144),ROW(BE41)))&amp;""</f>
        <v/>
      </c>
      <c r="BG42" s="156">
        <f>IF(主要!C124="",0,主要!C124)</f>
        <v>0</v>
      </c>
      <c r="BH42" s="130" t="str">
        <f t="shared" si="2"/>
        <v/>
      </c>
      <c r="BI42" s="155" t="str">
        <f t="shared" si="5"/>
        <v/>
      </c>
      <c r="BJ42" s="130"/>
      <c r="BK42" s="130"/>
      <c r="BL42" s="130"/>
      <c r="BM42" s="130"/>
      <c r="BN42" s="130"/>
      <c r="BO42" s="130"/>
      <c r="BP42" s="130"/>
      <c r="BQ42" s="130"/>
      <c r="BR42" s="130"/>
      <c r="BS42" s="130"/>
      <c r="BT42" s="130"/>
      <c r="BU42" s="130"/>
      <c r="BV42" s="130"/>
      <c r="BW42" s="130"/>
      <c r="BX42" s="130"/>
      <c r="BY42" s="130"/>
      <c r="BZ42" s="130"/>
    </row>
    <row r="43" spans="1:78" ht="14.4" customHeight="1" x14ac:dyDescent="0.25">
      <c r="A43" s="156">
        <v>27</v>
      </c>
      <c r="B43" s="287" t="s">
        <v>2240</v>
      </c>
      <c r="C43" s="287" t="s">
        <v>2241</v>
      </c>
      <c r="D43" s="290" t="s">
        <v>2242</v>
      </c>
      <c r="E43" s="290" t="s">
        <v>2243</v>
      </c>
      <c r="F43" s="287" t="str">
        <f>IF(OR(BH55&lt;1,COUNTIF($BG$2:$BG$46,"神圣打击")),"神圣打击","")</f>
        <v>神圣打击</v>
      </c>
      <c r="G43" s="287" t="s">
        <v>2244</v>
      </c>
      <c r="H43" s="292" t="s">
        <v>2245</v>
      </c>
      <c r="I43" s="283" t="s">
        <v>2246</v>
      </c>
      <c r="J43" s="291" t="str">
        <f>IF(OR(BI55&gt;0,COUNTIF($BG$2:$BG$46,"战技-扰乱打击")),"战技-扰乱打击","")</f>
        <v/>
      </c>
      <c r="K43" s="291" t="s">
        <v>2247</v>
      </c>
      <c r="L43" s="283" t="s">
        <v>2248</v>
      </c>
      <c r="M43" s="283" t="s">
        <v>2249</v>
      </c>
      <c r="N43" s="283" t="s">
        <v>2250</v>
      </c>
      <c r="O43" s="283" t="s">
        <v>2251</v>
      </c>
      <c r="P43" s="119" t="s">
        <v>2252</v>
      </c>
      <c r="Q43" s="119" t="s">
        <v>2253</v>
      </c>
      <c r="R43" s="290" t="s">
        <v>2254</v>
      </c>
      <c r="S43" s="290" t="s">
        <v>2255</v>
      </c>
      <c r="T43" s="287" t="s">
        <v>2256</v>
      </c>
      <c r="U43" s="287" t="s">
        <v>2257</v>
      </c>
      <c r="V43" s="269" t="str">
        <f>IF(OR(BH66&lt;1,COUNTIF($BG$2:$BG$46,"魔契恩泽-链之魔契")),"魔契恩泽-链之魔契","")</f>
        <v>魔契恩泽-链之魔契</v>
      </c>
      <c r="W43" s="269" t="s">
        <v>2258</v>
      </c>
      <c r="X43" s="293" t="s">
        <v>2259</v>
      </c>
      <c r="Y43" s="293" t="s">
        <v>2260</v>
      </c>
      <c r="Z43" s="119" t="s">
        <v>2261</v>
      </c>
      <c r="AA43" s="120" t="s">
        <v>2262</v>
      </c>
      <c r="AB43" s="128" t="str">
        <f>IF(AND(主要!$R$4&lt;&gt;"",主要!$Y$3-主要!$Y$6-主要!$Y$7&gt;=20),20,"")</f>
        <v/>
      </c>
      <c r="AC43" s="129" t="str">
        <f>IF(AND(主要!$R$6&lt;&gt;"",主要!$Y$3-主要!$Y$4-主要!$Y$7&gt;=20),20,"")</f>
        <v/>
      </c>
      <c r="AD43" s="294" t="str">
        <f>IF(AND(主要!$R$7&lt;&gt;"",主要!$Y$3-主要!$Y$4-主要!$Y$6&gt;=20),20,"")</f>
        <v/>
      </c>
      <c r="AF43" s="119"/>
      <c r="AL43" s="157" t="e">
        <f t="array" ref="AL43">INDEX(AK:AK,SMALL(IF($AK$18:$AK$35&lt;&gt;"",ROW($18:$35),36),ROW(AK3)))&amp;""</f>
        <v>#N/A</v>
      </c>
      <c r="AM43" s="251" t="s">
        <v>2263</v>
      </c>
      <c r="AN43" s="251"/>
      <c r="AO43" s="251">
        <v>38</v>
      </c>
      <c r="AP43" s="267">
        <f>IF($AG$5&gt;=14,42,IF($AG$5&gt;=10,41,IF($AG$5&gt;=6,40,IF($AG$5&gt;=2,39,0))))</f>
        <v>0</v>
      </c>
      <c r="AQ43" s="115" t="e">
        <f t="shared" si="6"/>
        <v>#N/A</v>
      </c>
      <c r="AR43" s="119" t="e">
        <f t="shared" si="7"/>
        <v>#N/A</v>
      </c>
      <c r="AS43" s="119" t="e">
        <f t="shared" si="8"/>
        <v>#N/A</v>
      </c>
      <c r="AT43" s="116" t="e">
        <f t="shared" si="9"/>
        <v>#N/A</v>
      </c>
      <c r="AU43" s="115" t="e">
        <f t="shared" si="10"/>
        <v>#N/A</v>
      </c>
      <c r="AV43" s="119" t="e">
        <f t="shared" si="11"/>
        <v>#N/A</v>
      </c>
      <c r="AW43" s="119" t="e">
        <f t="shared" si="12"/>
        <v>#N/A</v>
      </c>
      <c r="AX43" s="116" t="e">
        <f t="shared" si="13"/>
        <v>#N/A</v>
      </c>
      <c r="AY43" s="115" t="e">
        <f t="shared" si="14"/>
        <v>#N/A</v>
      </c>
      <c r="AZ43" s="119" t="e">
        <f t="shared" si="15"/>
        <v>#N/A</v>
      </c>
      <c r="BA43" s="119" t="e">
        <f t="shared" si="16"/>
        <v>#N/A</v>
      </c>
      <c r="BB43" s="116" t="e">
        <f t="shared" si="17"/>
        <v>#N/A</v>
      </c>
      <c r="BC43" s="118" t="str">
        <f>IFERROR(INDEX($AQ$12:$BF$87,33,$BC$2),"")</f>
        <v/>
      </c>
      <c r="BD43" s="119" t="str">
        <f>IFERROR(INDEX($AQ$12:$BF$87,33,$BD$2),"")</f>
        <v/>
      </c>
      <c r="BE43" s="250" t="str">
        <f t="shared" si="18"/>
        <v/>
      </c>
      <c r="BF43" s="198" t="str">
        <f t="array" ref="BF43">INDEX(BE:BE,SMALL(IF($BE$2:$BE$143&lt;&gt;"",ROW($2:$143),144),ROW(BE42)))&amp;""</f>
        <v/>
      </c>
      <c r="BG43" s="156">
        <f>IF(主要!C125="",0,主要!C125)</f>
        <v>0</v>
      </c>
      <c r="BH43" s="130" t="str">
        <f t="shared" si="2"/>
        <v/>
      </c>
      <c r="BI43" s="155" t="str">
        <f t="shared" si="5"/>
        <v/>
      </c>
      <c r="BJ43" s="130"/>
      <c r="BK43" s="130"/>
      <c r="BL43" s="130"/>
      <c r="BM43" s="130"/>
      <c r="BN43" s="130"/>
      <c r="BO43" s="130"/>
      <c r="BP43" s="130"/>
      <c r="BQ43" s="130"/>
      <c r="BR43" s="130"/>
      <c r="BS43" s="130"/>
      <c r="BT43" s="130"/>
      <c r="BU43" s="130"/>
      <c r="BV43" s="130"/>
      <c r="BW43" s="130"/>
      <c r="BX43" s="130"/>
      <c r="BY43" s="130"/>
      <c r="BZ43" s="130"/>
    </row>
    <row r="44" spans="1:78" ht="14.4" customHeight="1" x14ac:dyDescent="0.25">
      <c r="A44" s="156">
        <v>28</v>
      </c>
      <c r="B44" s="207" t="str">
        <f>IF(OR(BH49&lt;1,COUNTIF($BG$2:$BG$46,"兽之形-熊")),"兽之形-熊","")</f>
        <v>兽之形-熊</v>
      </c>
      <c r="C44" s="207" t="s">
        <v>2264</v>
      </c>
      <c r="D44" s="290" t="s">
        <v>2265</v>
      </c>
      <c r="E44" s="290" t="s">
        <v>2266</v>
      </c>
      <c r="F44" s="287" t="s">
        <v>2267</v>
      </c>
      <c r="G44" s="287" t="s">
        <v>2268</v>
      </c>
      <c r="H44" s="292" t="s">
        <v>2269</v>
      </c>
      <c r="I44" s="283" t="s">
        <v>2270</v>
      </c>
      <c r="J44" s="291" t="str">
        <f>IF(OR(BI55&gt;0,COUNTIF($BG$2:$BG$46,"战技-灵巧步法")),"战技-灵巧步法","")</f>
        <v/>
      </c>
      <c r="K44" s="291" t="s">
        <v>2271</v>
      </c>
      <c r="L44" s="283" t="s">
        <v>2272</v>
      </c>
      <c r="M44" s="283" t="s">
        <v>2273</v>
      </c>
      <c r="N44" s="289" t="s">
        <v>2274</v>
      </c>
      <c r="O44" s="289" t="s">
        <v>2275</v>
      </c>
      <c r="P44" s="119" t="s">
        <v>2276</v>
      </c>
      <c r="Q44" s="119" t="s">
        <v>2277</v>
      </c>
      <c r="R44" s="290" t="s">
        <v>2278</v>
      </c>
      <c r="S44" s="290" t="s">
        <v>2279</v>
      </c>
      <c r="T44" s="287" t="s">
        <v>2280</v>
      </c>
      <c r="U44" s="287" t="s">
        <v>2281</v>
      </c>
      <c r="V44" s="269" t="str">
        <f>IF(OR(BH66&lt;1,COUNTIF($BG$2:$BG$46,"魔契恩泽-刃之魔契")),"魔契恩泽-刃之魔契","")</f>
        <v>魔契恩泽-刃之魔契</v>
      </c>
      <c r="W44" s="269" t="s">
        <v>2282</v>
      </c>
      <c r="X44" s="293" t="s">
        <v>2283</v>
      </c>
      <c r="Y44" s="293" t="s">
        <v>2284</v>
      </c>
      <c r="Z44" s="119" t="s">
        <v>2285</v>
      </c>
      <c r="AA44" s="120" t="s">
        <v>2286</v>
      </c>
      <c r="AB44" s="119"/>
      <c r="AF44" s="119"/>
      <c r="AL44" s="157" t="e">
        <f t="array" ref="AL44">INDEX(AK:AK,SMALL(IF($AK$18:$AK$35&lt;&gt;"",ROW($18:$35),36),ROW(AK4)))&amp;""</f>
        <v>#N/A</v>
      </c>
      <c r="AM44" s="256" t="s">
        <v>2287</v>
      </c>
      <c r="AN44" s="256"/>
      <c r="AO44" s="256">
        <v>43</v>
      </c>
      <c r="AP44" s="295">
        <f>IF($AG$5&gt;=14,48,IF($AG$5&gt;=10,47,IF($AG$5&gt;=6,46,IF($AG$5&gt;=2,45,0))))</f>
        <v>0</v>
      </c>
      <c r="AQ44" s="115" t="e">
        <f t="shared" ref="AQ44:AQ75" si="19">IF(AQ43+1&gt;$AT$3,IF(AQ43+1&gt;$AT$3,IF($AS$4+AT43&gt;$AT$4,"",$AS$4+AT43)),AQ43+1)</f>
        <v>#N/A</v>
      </c>
      <c r="AR44" s="119" t="e">
        <f t="shared" ref="AR44:AR75" si="20">INDEX($B$17:$AA$154,AQ44,$AR$4)</f>
        <v>#N/A</v>
      </c>
      <c r="AS44" s="119" t="e">
        <f t="shared" ref="AS44:AS75" si="21">INDEX($B$17:$AA$154,AQ44,$AR$3)</f>
        <v>#N/A</v>
      </c>
      <c r="AT44" s="116" t="e">
        <f t="shared" ref="AT44:AT75" si="22">IF(AQ43+1&gt;$AT$3,AT43+1,0)</f>
        <v>#N/A</v>
      </c>
      <c r="AU44" s="115" t="e">
        <f t="shared" ref="AU44:AU75" si="23">IF($AU43+1&gt;$AX$3,IF($AU43+1&gt;$AX$3,IF($AW$4+AX43&gt;$AX$4,"",$AW$4+AX43)),$AU43+1)</f>
        <v>#N/A</v>
      </c>
      <c r="AV44" s="119" t="e">
        <f t="shared" ref="AV44:AV75" si="24">INDEX($B$17:$AA$154,AU44,$AV$4)</f>
        <v>#N/A</v>
      </c>
      <c r="AW44" s="119" t="e">
        <f t="shared" ref="AW44:AW75" si="25">INDEX($B$17:$AA$154,AU44,$AV$3)</f>
        <v>#N/A</v>
      </c>
      <c r="AX44" s="116" t="e">
        <f t="shared" ref="AX44:AX75" si="26">IF($AU43+1&gt;$AX$3,$AX43+1,0)</f>
        <v>#N/A</v>
      </c>
      <c r="AY44" s="115" t="e">
        <f t="shared" ref="AY44:AY75" si="27">IF($AY43+1&gt;$BB$3,IF($AY43+1&gt;$BB$3,IF($BA$4+BB43&gt;$BB$4,"",$BA$4+BB43)),$AY43+1)</f>
        <v>#N/A</v>
      </c>
      <c r="AZ44" s="119" t="e">
        <f t="shared" ref="AZ44:AZ75" si="28">INDEX($B$17:$AA$154,AY44,$AZ$4)</f>
        <v>#N/A</v>
      </c>
      <c r="BA44" s="119" t="e">
        <f t="shared" ref="BA44:BA75" si="29">INDEX($B$17:$AA$154,AY44,$AZ$3)</f>
        <v>#N/A</v>
      </c>
      <c r="BB44" s="116" t="e">
        <f t="shared" ref="BB44:BB75" si="30">IF($AY43+1&gt;$BB$3,$BB43+1,0)</f>
        <v>#N/A</v>
      </c>
      <c r="BC44" s="118" t="str">
        <f>IFERROR(INDEX($AQ$12:$BF$87,34,$BC$2),"")</f>
        <v/>
      </c>
      <c r="BD44" s="119" t="str">
        <f>IFERROR(INDEX($AQ$12:$BF$87,34,$BD$2),"")</f>
        <v/>
      </c>
      <c r="BE44" s="250" t="str">
        <f t="shared" si="18"/>
        <v/>
      </c>
      <c r="BF44" s="198" t="str">
        <f t="array" ref="BF44">INDEX(BE:BE,SMALL(IF($BE$2:$BE$143&lt;&gt;"",ROW($2:$143),144),ROW(BE43)))&amp;""</f>
        <v/>
      </c>
      <c r="BG44" s="156">
        <f>IF(主要!C126="",0,主要!C126)</f>
        <v>0</v>
      </c>
      <c r="BH44" s="130" t="str">
        <f t="shared" si="2"/>
        <v/>
      </c>
      <c r="BI44" s="155" t="str">
        <f t="shared" si="5"/>
        <v/>
      </c>
      <c r="BJ44" s="130"/>
      <c r="BK44" s="130"/>
      <c r="BL44" s="130"/>
      <c r="BM44" s="130"/>
      <c r="BN44" s="130"/>
      <c r="BO44" s="130"/>
      <c r="BP44" s="130"/>
      <c r="BQ44" s="130"/>
      <c r="BR44" s="130"/>
      <c r="BS44" s="130"/>
      <c r="BT44" s="130"/>
      <c r="BU44" s="130"/>
      <c r="BV44" s="130"/>
      <c r="BW44" s="130"/>
      <c r="BX44" s="130"/>
      <c r="BY44" s="130"/>
      <c r="BZ44" s="130"/>
    </row>
    <row r="45" spans="1:78" ht="14.4" customHeight="1" x14ac:dyDescent="0.25">
      <c r="A45" s="156">
        <v>29</v>
      </c>
      <c r="B45" s="207" t="str">
        <f>IF(OR(BH49&lt;1,COUNTIF($BG$2:$BG$46,"兽之形-雕")),"兽之形-雕","")</f>
        <v>兽之形-雕</v>
      </c>
      <c r="C45" s="207" t="s">
        <v>2288</v>
      </c>
      <c r="D45" s="290" t="s">
        <v>2289</v>
      </c>
      <c r="E45" s="290" t="s">
        <v>2290</v>
      </c>
      <c r="F45" s="290" t="s">
        <v>2291</v>
      </c>
      <c r="G45" s="290" t="s">
        <v>2292</v>
      </c>
      <c r="H45" s="287" t="s">
        <v>2293</v>
      </c>
      <c r="I45" s="287" t="s">
        <v>2294</v>
      </c>
      <c r="J45" s="291" t="str">
        <f>IF(OR(BI55&gt;0,COUNTIF($BG$2:$BG$46,"战技-诡诈攻击")),"战技-诡诈攻击","")</f>
        <v/>
      </c>
      <c r="K45" s="291" t="s">
        <v>2295</v>
      </c>
      <c r="L45" s="283" t="s">
        <v>2296</v>
      </c>
      <c r="M45" s="283" t="s">
        <v>2297</v>
      </c>
      <c r="N45" s="289" t="s">
        <v>2298</v>
      </c>
      <c r="O45" s="289" t="s">
        <v>2299</v>
      </c>
      <c r="P45" s="283" t="s">
        <v>2300</v>
      </c>
      <c r="Q45" s="283" t="s">
        <v>2301</v>
      </c>
      <c r="R45" s="290" t="s">
        <v>2302</v>
      </c>
      <c r="S45" s="290" t="s">
        <v>2303</v>
      </c>
      <c r="T45" s="287" t="s">
        <v>2304</v>
      </c>
      <c r="U45" s="287" t="s">
        <v>2305</v>
      </c>
      <c r="V45" s="269" t="str">
        <f>IF(OR(BH66&lt;1,COUNTIF($BG$2:$BG$46,"魔契恩泽-书之魔契")),"魔契恩泽-书之魔契","")</f>
        <v>魔契恩泽-书之魔契</v>
      </c>
      <c r="W45" s="269" t="s">
        <v>2306</v>
      </c>
      <c r="X45" s="293" t="s">
        <v>2307</v>
      </c>
      <c r="Y45" s="293" t="s">
        <v>2308</v>
      </c>
      <c r="Z45" s="274" t="str">
        <f>IF(AND(综合数据!B14=TRUE,OR(BI67&gt;0,COUNTIF($BG$2:$BG$46,"注法-警觉之盔"))),"注法-警觉之盔","")</f>
        <v/>
      </c>
      <c r="AA45" s="279" t="s">
        <v>2309</v>
      </c>
      <c r="AB45" s="273"/>
      <c r="AF45" s="273"/>
      <c r="AL45" s="157" t="e">
        <f t="array" ref="AL45">INDEX(AK:AK,SMALL(IF($AK$18:$AK$35&lt;&gt;"",ROW($18:$35),36),ROW(AK5)))&amp;""</f>
        <v>#N/A</v>
      </c>
      <c r="AM45" s="253" t="s">
        <v>1534</v>
      </c>
      <c r="AN45" s="253"/>
      <c r="AO45" s="253">
        <v>49</v>
      </c>
      <c r="AP45" s="275">
        <f>IF($AG$5&gt;=14,53,IF($AG$5&gt;=10,52,IF($AG$5&gt;=6,51,IF($AG$5&gt;=2,50,0))))</f>
        <v>0</v>
      </c>
      <c r="AQ45" s="115" t="e">
        <f t="shared" si="19"/>
        <v>#N/A</v>
      </c>
      <c r="AR45" s="119" t="e">
        <f t="shared" si="20"/>
        <v>#N/A</v>
      </c>
      <c r="AS45" s="119" t="e">
        <f t="shared" si="21"/>
        <v>#N/A</v>
      </c>
      <c r="AT45" s="116" t="e">
        <f t="shared" si="22"/>
        <v>#N/A</v>
      </c>
      <c r="AU45" s="115" t="e">
        <f t="shared" si="23"/>
        <v>#N/A</v>
      </c>
      <c r="AV45" s="119" t="e">
        <f t="shared" si="24"/>
        <v>#N/A</v>
      </c>
      <c r="AW45" s="119" t="e">
        <f t="shared" si="25"/>
        <v>#N/A</v>
      </c>
      <c r="AX45" s="116" t="e">
        <f t="shared" si="26"/>
        <v>#N/A</v>
      </c>
      <c r="AY45" s="115" t="e">
        <f t="shared" si="27"/>
        <v>#N/A</v>
      </c>
      <c r="AZ45" s="119" t="e">
        <f t="shared" si="28"/>
        <v>#N/A</v>
      </c>
      <c r="BA45" s="119" t="e">
        <f t="shared" si="29"/>
        <v>#N/A</v>
      </c>
      <c r="BB45" s="116" t="e">
        <f t="shared" si="30"/>
        <v>#N/A</v>
      </c>
      <c r="BC45" s="118" t="str">
        <f>IFERROR(INDEX($AQ$12:$BF$87,35,$BC$2),"")</f>
        <v/>
      </c>
      <c r="BD45" s="119" t="str">
        <f>IFERROR(INDEX($AQ$12:$BF$87,35,$BD$2),"")</f>
        <v/>
      </c>
      <c r="BE45" s="250" t="str">
        <f t="shared" si="18"/>
        <v/>
      </c>
      <c r="BF45" s="198" t="str">
        <f t="array" ref="BF45">INDEX(BE:BE,SMALL(IF($BE$2:$BE$143&lt;&gt;"",ROW($2:$143),144),ROW(BE44)))&amp;""</f>
        <v/>
      </c>
      <c r="BG45" s="156">
        <f>IF(主要!C127="",0,主要!C127)</f>
        <v>0</v>
      </c>
      <c r="BH45" s="130" t="str">
        <f t="shared" si="2"/>
        <v/>
      </c>
      <c r="BI45" s="155" t="str">
        <f t="shared" si="5"/>
        <v/>
      </c>
      <c r="BJ45" s="130"/>
      <c r="BK45" s="130"/>
      <c r="BL45" s="130"/>
      <c r="BM45" s="130"/>
      <c r="BN45" s="130"/>
      <c r="BO45" s="130"/>
      <c r="BP45" s="130"/>
      <c r="BQ45" s="130"/>
      <c r="BR45" s="130"/>
      <c r="BS45" s="130"/>
      <c r="BT45" s="130"/>
      <c r="BU45" s="130"/>
      <c r="BV45" s="130"/>
      <c r="BW45" s="130"/>
      <c r="BX45" s="130"/>
      <c r="BY45" s="130"/>
      <c r="BZ45" s="130"/>
    </row>
    <row r="46" spans="1:78" ht="14.4" customHeight="1" x14ac:dyDescent="0.25">
      <c r="A46" s="156">
        <v>30</v>
      </c>
      <c r="B46" s="207" t="str">
        <f>IF(OR(BH49&lt;1,COUNTIF($BG$2:$BG$46,"兽之形-狼")),"兽之形-狼","")</f>
        <v>兽之形-狼</v>
      </c>
      <c r="C46" s="207" t="s">
        <v>2310</v>
      </c>
      <c r="D46" s="290" t="s">
        <v>2311</v>
      </c>
      <c r="E46" s="290" t="s">
        <v>2312</v>
      </c>
      <c r="F46" s="290" t="s">
        <v>2313</v>
      </c>
      <c r="G46" s="290" t="s">
        <v>2314</v>
      </c>
      <c r="H46" s="287" t="s">
        <v>2315</v>
      </c>
      <c r="I46" s="287" t="s">
        <v>2316</v>
      </c>
      <c r="J46" s="291" t="str">
        <f>IF(OR(BI55&gt;0,COUNTIF($BG$2:$BG$46,"战技-挑衅攻击")),"战技-挑衅攻击","")</f>
        <v/>
      </c>
      <c r="K46" s="291" t="s">
        <v>2317</v>
      </c>
      <c r="L46" s="287" t="s">
        <v>2318</v>
      </c>
      <c r="M46" s="287" t="s">
        <v>2319</v>
      </c>
      <c r="N46" s="283" t="s">
        <v>2320</v>
      </c>
      <c r="O46" s="283" t="s">
        <v>2321</v>
      </c>
      <c r="P46" s="205" t="str">
        <f>IF(OR(BH61&lt;1,COUNTIF($BG$2:$BG$46,"猎物-巨像屠夫")),"猎物-巨像屠夫","")</f>
        <v>猎物-巨像屠夫</v>
      </c>
      <c r="Q46" s="205" t="s">
        <v>2322</v>
      </c>
      <c r="R46" s="290" t="s">
        <v>2323</v>
      </c>
      <c r="S46" s="290" t="s">
        <v>2324</v>
      </c>
      <c r="T46" s="287" t="s">
        <v>2325</v>
      </c>
      <c r="U46" s="287" t="s">
        <v>2326</v>
      </c>
      <c r="V46" s="274" t="str">
        <f>IF(AND(综合数据!B14=TRUE,OR(BH66&lt;1,COUNTIF($BG$2:$BG$46,"魔契恩泽-符之魔契"))),"魔契恩泽-符之魔契","")</f>
        <v>魔契恩泽-符之魔契</v>
      </c>
      <c r="W46" s="269" t="s">
        <v>2327</v>
      </c>
      <c r="X46" s="293" t="s">
        <v>2328</v>
      </c>
      <c r="Y46" s="293" t="s">
        <v>2329</v>
      </c>
      <c r="Z46" s="119" t="s">
        <v>2330</v>
      </c>
      <c r="AA46" s="120" t="s">
        <v>2331</v>
      </c>
      <c r="AB46" s="119"/>
      <c r="AF46" s="119"/>
      <c r="AL46" s="157" t="e">
        <f t="array" ref="AL46">INDEX(AK:AK,SMALL(IF($AK$18:$AK$35&lt;&gt;"",ROW($18:$35),36),ROW(AK6)))&amp;""</f>
        <v>#N/A</v>
      </c>
      <c r="AM46" s="253" t="s">
        <v>1535</v>
      </c>
      <c r="AN46" s="253"/>
      <c r="AO46" s="253">
        <v>54</v>
      </c>
      <c r="AP46" s="275">
        <f>IF($AG$5&gt;=14,58,IF($AG$5&gt;=10,57,IF($AG$5&gt;=6,56,IF($AG$5&gt;=2,55,0))))</f>
        <v>0</v>
      </c>
      <c r="AQ46" s="115" t="e">
        <f t="shared" si="19"/>
        <v>#N/A</v>
      </c>
      <c r="AR46" s="119" t="e">
        <f t="shared" si="20"/>
        <v>#N/A</v>
      </c>
      <c r="AS46" s="119" t="e">
        <f t="shared" si="21"/>
        <v>#N/A</v>
      </c>
      <c r="AT46" s="116" t="e">
        <f t="shared" si="22"/>
        <v>#N/A</v>
      </c>
      <c r="AU46" s="115" t="e">
        <f t="shared" si="23"/>
        <v>#N/A</v>
      </c>
      <c r="AV46" s="119" t="e">
        <f t="shared" si="24"/>
        <v>#N/A</v>
      </c>
      <c r="AW46" s="119" t="e">
        <f t="shared" si="25"/>
        <v>#N/A</v>
      </c>
      <c r="AX46" s="116" t="e">
        <f t="shared" si="26"/>
        <v>#N/A</v>
      </c>
      <c r="AY46" s="115" t="e">
        <f t="shared" si="27"/>
        <v>#N/A</v>
      </c>
      <c r="AZ46" s="119" t="e">
        <f t="shared" si="28"/>
        <v>#N/A</v>
      </c>
      <c r="BA46" s="119" t="e">
        <f t="shared" si="29"/>
        <v>#N/A</v>
      </c>
      <c r="BB46" s="116" t="e">
        <f t="shared" si="30"/>
        <v>#N/A</v>
      </c>
      <c r="BC46" s="118" t="str">
        <f>IFERROR(INDEX($AQ$12:$BF$87,36,$BC$2),"")</f>
        <v/>
      </c>
      <c r="BD46" s="119" t="str">
        <f>IFERROR(INDEX($AQ$12:$BF$87,36,$BD$2),"")</f>
        <v/>
      </c>
      <c r="BE46" s="250" t="str">
        <f t="shared" si="18"/>
        <v/>
      </c>
      <c r="BF46" s="198" t="str">
        <f t="array" ref="BF46">INDEX(BE:BE,SMALL(IF($BE$2:$BE$143&lt;&gt;"",ROW($2:$143),144),ROW(BE45)))&amp;""</f>
        <v/>
      </c>
      <c r="BG46" s="156">
        <f>IF(主要!C128="",0,主要!C128)</f>
        <v>0</v>
      </c>
      <c r="BH46" s="130" t="str">
        <f t="shared" si="2"/>
        <v/>
      </c>
      <c r="BI46" s="155" t="str">
        <f t="shared" si="5"/>
        <v/>
      </c>
      <c r="BJ46" s="130"/>
      <c r="BK46" s="130"/>
      <c r="BL46" s="130"/>
      <c r="BM46" s="130"/>
      <c r="BN46" s="130"/>
      <c r="BO46" s="130"/>
      <c r="BP46" s="130"/>
      <c r="BQ46" s="130"/>
      <c r="BR46" s="130"/>
      <c r="BS46" s="130"/>
      <c r="BT46" s="130"/>
      <c r="BU46" s="130"/>
      <c r="BV46" s="130"/>
      <c r="BW46" s="130"/>
      <c r="BX46" s="130"/>
      <c r="BY46" s="130"/>
      <c r="BZ46" s="130"/>
    </row>
    <row r="47" spans="1:78" ht="14.4" customHeight="1" x14ac:dyDescent="0.25">
      <c r="A47" s="156">
        <v>31</v>
      </c>
      <c r="B47" s="207" t="str">
        <f>IF(AND(综合数据!B5=TRUE,OR(BH49&lt;1,COUNTIF($BG$2:$BG$46,"兽之形-鹿"))),"兽之形-鹿","")</f>
        <v>兽之形-鹿</v>
      </c>
      <c r="C47" s="207" t="s">
        <v>2332</v>
      </c>
      <c r="D47" s="293" t="s">
        <v>2078</v>
      </c>
      <c r="E47" s="293" t="s">
        <v>2333</v>
      </c>
      <c r="F47" s="290" t="s">
        <v>2334</v>
      </c>
      <c r="G47" s="290" t="s">
        <v>2335</v>
      </c>
      <c r="H47" s="287" t="s">
        <v>2336</v>
      </c>
      <c r="I47" s="287" t="s">
        <v>2337</v>
      </c>
      <c r="J47" s="291" t="str">
        <f>IF(OR(BI55&gt;0,COUNTIF($BG$2:$BG$46,"战技-突刺攻击")),"战技-突刺攻击","")</f>
        <v/>
      </c>
      <c r="K47" s="291" t="s">
        <v>2338</v>
      </c>
      <c r="L47" s="287" t="s">
        <v>2339</v>
      </c>
      <c r="M47" s="287" t="s">
        <v>2340</v>
      </c>
      <c r="N47" s="283" t="s">
        <v>2341</v>
      </c>
      <c r="O47" s="283" t="s">
        <v>2342</v>
      </c>
      <c r="P47" s="205" t="str">
        <f>IF(OR(BH61&lt;1,COUNTIF($BG$2:$BG$46,"猎物-巨人杀手")),"猎物-巨人杀手","")</f>
        <v>猎物-巨人杀手</v>
      </c>
      <c r="Q47" s="205" t="s">
        <v>2343</v>
      </c>
      <c r="R47" s="290" t="s">
        <v>2344</v>
      </c>
      <c r="S47" s="290" t="s">
        <v>2345</v>
      </c>
      <c r="T47" s="287" t="s">
        <v>2346</v>
      </c>
      <c r="U47" s="287" t="s">
        <v>2347</v>
      </c>
      <c r="V47" s="273" t="str">
        <f>IF(AND(COUNTIF(BG2:BG44,"*书之魔契"),OR(BI65&gt;0,COUNTIF($BG$2:$BG$46,"魔能祈唤-远古奥秘之书"))),"魔能祈唤-远古奥秘之书","")</f>
        <v/>
      </c>
      <c r="W47" s="278" t="s">
        <v>2348</v>
      </c>
      <c r="X47" s="293" t="s">
        <v>2349</v>
      </c>
      <c r="Y47" s="293" t="s">
        <v>2350</v>
      </c>
      <c r="Z47" s="119" t="s">
        <v>2351</v>
      </c>
      <c r="AA47" s="120" t="s">
        <v>2352</v>
      </c>
      <c r="AB47" s="119"/>
      <c r="AF47" s="119"/>
      <c r="AL47" s="157" t="e">
        <f t="array" ref="AL47">INDEX(AK:AK,SMALL(IF($AK$18:$AK$35&lt;&gt;"",ROW($18:$35),36),ROW(AK7)))&amp;""</f>
        <v>#N/A</v>
      </c>
      <c r="AM47" s="249" t="s">
        <v>1562</v>
      </c>
      <c r="AN47" s="249">
        <v>5</v>
      </c>
      <c r="AO47" s="249">
        <v>1</v>
      </c>
      <c r="AP47" s="276">
        <f>IF($AG$6&gt;=9,18,IF($AG$6&gt;=5,17,IF($AG$6&gt;=4,16,IF($AG$6&gt;=3,15,IF($AG$6&gt;=2,14,IF($AG$6&gt;=1,13,0))))))</f>
        <v>0</v>
      </c>
      <c r="AQ47" s="115" t="e">
        <f t="shared" si="19"/>
        <v>#N/A</v>
      </c>
      <c r="AR47" s="119" t="e">
        <f t="shared" si="20"/>
        <v>#N/A</v>
      </c>
      <c r="AS47" s="119" t="e">
        <f t="shared" si="21"/>
        <v>#N/A</v>
      </c>
      <c r="AT47" s="116" t="e">
        <f t="shared" si="22"/>
        <v>#N/A</v>
      </c>
      <c r="AU47" s="115" t="e">
        <f t="shared" si="23"/>
        <v>#N/A</v>
      </c>
      <c r="AV47" s="119" t="e">
        <f t="shared" si="24"/>
        <v>#N/A</v>
      </c>
      <c r="AW47" s="119" t="e">
        <f t="shared" si="25"/>
        <v>#N/A</v>
      </c>
      <c r="AX47" s="116" t="e">
        <f t="shared" si="26"/>
        <v>#N/A</v>
      </c>
      <c r="AY47" s="115" t="e">
        <f t="shared" si="27"/>
        <v>#N/A</v>
      </c>
      <c r="AZ47" s="119" t="e">
        <f t="shared" si="28"/>
        <v>#N/A</v>
      </c>
      <c r="BA47" s="119" t="e">
        <f t="shared" si="29"/>
        <v>#N/A</v>
      </c>
      <c r="BB47" s="116" t="e">
        <f t="shared" si="30"/>
        <v>#N/A</v>
      </c>
      <c r="BC47" s="118" t="str">
        <f>IFERROR(INDEX($AQ$12:$BF$87,37,$BC$2),"")</f>
        <v/>
      </c>
      <c r="BD47" s="119" t="str">
        <f>IFERROR(INDEX($AQ$12:$BF$87,37,$BD$2),"")</f>
        <v/>
      </c>
      <c r="BE47" s="250" t="str">
        <f t="shared" si="18"/>
        <v/>
      </c>
      <c r="BF47" s="198" t="str">
        <f t="array" ref="BF47">INDEX(BE:BE,SMALL(IF($BE$2:$BE$143&lt;&gt;"",ROW($2:$143),144),ROW(BE46)))&amp;""</f>
        <v/>
      </c>
      <c r="BG47" s="115" t="s">
        <v>755</v>
      </c>
      <c r="BH47" s="130">
        <f>COUNTIF(BH48:BH68,"&gt;1")</f>
        <v>0</v>
      </c>
      <c r="BI47" s="116" t="s">
        <v>750</v>
      </c>
      <c r="BJ47" s="130"/>
      <c r="BK47" s="130"/>
      <c r="BL47" s="130"/>
      <c r="BM47" s="130"/>
      <c r="BN47" s="130"/>
      <c r="BO47" s="130"/>
      <c r="BP47" s="130"/>
      <c r="BQ47" s="130"/>
      <c r="BR47" s="130"/>
      <c r="BS47" s="130"/>
      <c r="BT47" s="130"/>
      <c r="BU47" s="130"/>
      <c r="BV47" s="130"/>
      <c r="BW47" s="130"/>
      <c r="BX47" s="130"/>
      <c r="BY47" s="130"/>
      <c r="BZ47" s="130"/>
    </row>
    <row r="48" spans="1:78" ht="14.4" customHeight="1" x14ac:dyDescent="0.25">
      <c r="A48" s="156">
        <v>32</v>
      </c>
      <c r="B48" s="207" t="str">
        <f>IF(AND(综合数据!B5=TRUE,OR(BH49&lt;1,COUNTIF($BG$2:$BG$46,"兽之形-虎"))),"兽之形-虎","")</f>
        <v>兽之形-虎</v>
      </c>
      <c r="C48" s="207" t="s">
        <v>2353</v>
      </c>
      <c r="D48" s="293" t="s">
        <v>2354</v>
      </c>
      <c r="E48" s="293" t="s">
        <v>2355</v>
      </c>
      <c r="F48" s="296" t="s">
        <v>2356</v>
      </c>
      <c r="G48" s="296" t="s">
        <v>2357</v>
      </c>
      <c r="H48" s="287" t="s">
        <v>2358</v>
      </c>
      <c r="I48" s="287" t="s">
        <v>2359</v>
      </c>
      <c r="J48" s="291" t="str">
        <f>IF(OR(BI55&gt;0,COUNTIF($BG$2:$BG$46,"战技-灵动攻击")),"战技-灵动攻击","")</f>
        <v/>
      </c>
      <c r="K48" s="291" t="s">
        <v>2360</v>
      </c>
      <c r="L48" s="287" t="s">
        <v>2361</v>
      </c>
      <c r="M48" s="287" t="s">
        <v>2362</v>
      </c>
      <c r="N48" s="283" t="s">
        <v>2363</v>
      </c>
      <c r="O48" s="283" t="s">
        <v>2364</v>
      </c>
      <c r="P48" s="205" t="str">
        <f>IF(OR(BH61&lt;1,COUNTIF($BG$2:$BG$46,"猎物-灭族者")),"猎物-灭族者","")</f>
        <v>猎物-灭族者</v>
      </c>
      <c r="Q48" s="205" t="s">
        <v>2365</v>
      </c>
      <c r="R48" s="290" t="s">
        <v>2366</v>
      </c>
      <c r="S48" s="290" t="s">
        <v>2367</v>
      </c>
      <c r="T48" s="290" t="s">
        <v>2368</v>
      </c>
      <c r="U48" s="290" t="s">
        <v>2369</v>
      </c>
      <c r="V48" s="273" t="str">
        <f>IF(AND(COUNTIF(BG2:BG44,"*链之魔契"),OR(BI65&gt;0,COUNTIF($BG$2:$BG$46,"魔能祈唤-缚主之音"))),"魔能祈唤-缚主之音","")</f>
        <v/>
      </c>
      <c r="W48" s="278" t="s">
        <v>2370</v>
      </c>
      <c r="X48" s="297" t="s">
        <v>2371</v>
      </c>
      <c r="Y48" s="297" t="s">
        <v>2372</v>
      </c>
      <c r="Z48" s="274" t="str">
        <f>IF(AND(综合数据!B14=TRUE,OR(BI67&gt;0,COUNTIF($BG$2:$BG$46,"注法-奥能动力甲"))),"注法-奥能动力甲","")</f>
        <v/>
      </c>
      <c r="AA48" s="279" t="s">
        <v>2373</v>
      </c>
      <c r="AB48" s="273"/>
      <c r="AF48" s="273"/>
      <c r="AL48" s="157" t="e">
        <f t="array" ref="AL48">INDEX(AK:AK,SMALL(IF($AK$18:$AK$35&lt;&gt;"",ROW($18:$35),36),ROW(AK8)))&amp;""</f>
        <v>#N/A</v>
      </c>
      <c r="AM48" s="106" t="s">
        <v>1563</v>
      </c>
      <c r="AN48" s="106"/>
      <c r="AO48" s="106">
        <v>19</v>
      </c>
      <c r="AP48" s="116">
        <f>IF($AG$6&gt;=18,23,IF($AG$6&gt;=15,22,IF($AG$6&gt;=10,21,IF($AG$6&gt;=7,20,IF($AG$6&gt;=3,19,0)))))</f>
        <v>0</v>
      </c>
      <c r="AQ48" s="115" t="e">
        <f t="shared" si="19"/>
        <v>#N/A</v>
      </c>
      <c r="AR48" s="119" t="e">
        <f t="shared" si="20"/>
        <v>#N/A</v>
      </c>
      <c r="AS48" s="119" t="e">
        <f t="shared" si="21"/>
        <v>#N/A</v>
      </c>
      <c r="AT48" s="116" t="e">
        <f t="shared" si="22"/>
        <v>#N/A</v>
      </c>
      <c r="AU48" s="115" t="e">
        <f t="shared" si="23"/>
        <v>#N/A</v>
      </c>
      <c r="AV48" s="119" t="e">
        <f t="shared" si="24"/>
        <v>#N/A</v>
      </c>
      <c r="AW48" s="119" t="e">
        <f t="shared" si="25"/>
        <v>#N/A</v>
      </c>
      <c r="AX48" s="116" t="e">
        <f t="shared" si="26"/>
        <v>#N/A</v>
      </c>
      <c r="AY48" s="115" t="e">
        <f t="shared" si="27"/>
        <v>#N/A</v>
      </c>
      <c r="AZ48" s="119" t="e">
        <f t="shared" si="28"/>
        <v>#N/A</v>
      </c>
      <c r="BA48" s="119" t="e">
        <f t="shared" si="29"/>
        <v>#N/A</v>
      </c>
      <c r="BB48" s="116" t="e">
        <f t="shared" si="30"/>
        <v>#N/A</v>
      </c>
      <c r="BC48" s="118" t="str">
        <f>IFERROR(INDEX($AQ$12:$BF$87,38,$BC$2),"")</f>
        <v/>
      </c>
      <c r="BD48" s="119" t="str">
        <f>IFERROR(INDEX($AQ$12:$BF$87,38,$BD$2),"")</f>
        <v/>
      </c>
      <c r="BE48" s="250" t="str">
        <f t="shared" si="18"/>
        <v/>
      </c>
      <c r="BF48" s="198" t="str">
        <f t="array" ref="BF48">INDEX(BE:BE,SMALL(IF($BE$2:$BE$143&lt;&gt;"",ROW($2:$143),144),ROW(BE47)))&amp;""</f>
        <v/>
      </c>
      <c r="BG48" s="298" t="s">
        <v>2118</v>
      </c>
      <c r="BH48" s="130">
        <f>COUNTIF($BG$2:$BG$46,"图腾精魄-*")</f>
        <v>0</v>
      </c>
      <c r="BI48" s="155">
        <f>COUNTIF(BI2:BI44,"&gt;1")-COUNTIF($BG$2:$BG$46,"注法-复制魔法物品")</f>
        <v>0</v>
      </c>
      <c r="BJ48" s="130"/>
      <c r="BK48" s="130"/>
      <c r="BL48" s="130"/>
      <c r="BM48" s="130"/>
      <c r="BN48" s="130"/>
      <c r="BO48" s="130"/>
      <c r="BP48" s="130"/>
      <c r="BQ48" s="130"/>
      <c r="BR48" s="130"/>
      <c r="BS48" s="130"/>
      <c r="BT48" s="130"/>
      <c r="BU48" s="130"/>
      <c r="BV48" s="130"/>
      <c r="BW48" s="130"/>
      <c r="BX48" s="130"/>
      <c r="BY48" s="130"/>
      <c r="BZ48" s="130"/>
    </row>
    <row r="49" spans="1:78" ht="14.4" customHeight="1" x14ac:dyDescent="0.25">
      <c r="A49" s="156">
        <v>33</v>
      </c>
      <c r="B49" s="287" t="s">
        <v>2374</v>
      </c>
      <c r="C49" s="287" t="s">
        <v>2375</v>
      </c>
      <c r="D49" s="299" t="str">
        <f>IF(OR(BI53&gt;0,COUNTIF($BG$2:$BG$46,"战斗风格-决斗")),"战斗风格-决斗","")</f>
        <v/>
      </c>
      <c r="E49" s="299" t="s">
        <v>2376</v>
      </c>
      <c r="F49" s="290" t="s">
        <v>2377</v>
      </c>
      <c r="G49" s="290" t="s">
        <v>2378</v>
      </c>
      <c r="H49" s="287" t="s">
        <v>2379</v>
      </c>
      <c r="I49" s="287" t="s">
        <v>2380</v>
      </c>
      <c r="J49" s="291" t="str">
        <f>IF(OR(BI55&gt;0,COUNTIF($BG$2:$BG$46,"战技-恐吓攻击")),"战技-恐吓攻击","")</f>
        <v/>
      </c>
      <c r="K49" s="291" t="s">
        <v>2381</v>
      </c>
      <c r="L49" s="287" t="s">
        <v>2382</v>
      </c>
      <c r="M49" s="287" t="s">
        <v>2383</v>
      </c>
      <c r="N49" s="287" t="s">
        <v>2384</v>
      </c>
      <c r="O49" s="287" t="s">
        <v>2385</v>
      </c>
      <c r="P49" s="283" t="s">
        <v>2386</v>
      </c>
      <c r="Q49" s="283" t="s">
        <v>2387</v>
      </c>
      <c r="R49" s="293" t="s">
        <v>2388</v>
      </c>
      <c r="S49" s="293" t="s">
        <v>2389</v>
      </c>
      <c r="T49" s="290" t="s">
        <v>2390</v>
      </c>
      <c r="U49" s="290" t="s">
        <v>2391</v>
      </c>
      <c r="V49" s="274" t="str">
        <f>IF(AND(综合数据!B14=TRUE,COUNTIF(BG2:BG44,"*书之魔契"),OR(BI65&gt;0,COUNTIF($BG$2:$BG$46,"魔能祈唤-月之仪态"))),"魔能祈唤-月之仪态","")</f>
        <v/>
      </c>
      <c r="W49" s="278" t="s">
        <v>2392</v>
      </c>
      <c r="X49" s="297" t="s">
        <v>2393</v>
      </c>
      <c r="Y49" s="297" t="s">
        <v>2394</v>
      </c>
      <c r="Z49" s="119" t="s">
        <v>2395</v>
      </c>
      <c r="AA49" s="120" t="s">
        <v>2396</v>
      </c>
      <c r="AB49" s="119"/>
      <c r="AF49" s="119"/>
      <c r="AL49" s="157" t="e">
        <f t="array" ref="AL49">INDEX(AK:AK,SMALL(IF($AK$18:$AK$35&lt;&gt;"",ROW($18:$35),36),ROW(AK9)))&amp;""</f>
        <v>#N/A</v>
      </c>
      <c r="AM49" s="106" t="s">
        <v>1564</v>
      </c>
      <c r="AN49" s="106"/>
      <c r="AO49" s="106">
        <v>24</v>
      </c>
      <c r="AP49" s="116">
        <f>IF($AG$6&gt;=15,51,IF($AG$6&gt;=10,50,IF($AG$6&gt;=7,49,IF($AG$6&gt;=3,48,0))))</f>
        <v>0</v>
      </c>
      <c r="AQ49" s="115" t="e">
        <f t="shared" si="19"/>
        <v>#N/A</v>
      </c>
      <c r="AR49" s="119" t="e">
        <f t="shared" si="20"/>
        <v>#N/A</v>
      </c>
      <c r="AS49" s="119" t="e">
        <f t="shared" si="21"/>
        <v>#N/A</v>
      </c>
      <c r="AT49" s="116" t="e">
        <f t="shared" si="22"/>
        <v>#N/A</v>
      </c>
      <c r="AU49" s="115" t="e">
        <f t="shared" si="23"/>
        <v>#N/A</v>
      </c>
      <c r="AV49" s="119" t="e">
        <f t="shared" si="24"/>
        <v>#N/A</v>
      </c>
      <c r="AW49" s="119" t="e">
        <f t="shared" si="25"/>
        <v>#N/A</v>
      </c>
      <c r="AX49" s="116" t="e">
        <f t="shared" si="26"/>
        <v>#N/A</v>
      </c>
      <c r="AY49" s="115" t="e">
        <f t="shared" si="27"/>
        <v>#N/A</v>
      </c>
      <c r="AZ49" s="119" t="e">
        <f t="shared" si="28"/>
        <v>#N/A</v>
      </c>
      <c r="BA49" s="119" t="e">
        <f t="shared" si="29"/>
        <v>#N/A</v>
      </c>
      <c r="BB49" s="116" t="e">
        <f t="shared" si="30"/>
        <v>#N/A</v>
      </c>
      <c r="BC49" s="118" t="str">
        <f>IFERROR(INDEX($AQ$12:$BF$87,39,$BC$2),"")</f>
        <v/>
      </c>
      <c r="BD49" s="119" t="str">
        <f>IFERROR(INDEX($AQ$12:$BF$87,39,$BD$2),"")</f>
        <v/>
      </c>
      <c r="BE49" s="250" t="str">
        <f t="shared" si="18"/>
        <v/>
      </c>
      <c r="BF49" s="198" t="str">
        <f t="array" ref="BF49">INDEX(BE:BE,SMALL(IF($BE$2:$BE$143&lt;&gt;"",ROW($2:$143),144),ROW(BE48)))&amp;""</f>
        <v/>
      </c>
      <c r="BG49" s="298" t="s">
        <v>2240</v>
      </c>
      <c r="BH49" s="130">
        <f>COUNTIF($BG$2:$BG$46,"兽之形-*")</f>
        <v>0</v>
      </c>
      <c r="BI49" s="116" t="s">
        <v>2397</v>
      </c>
      <c r="BJ49" s="130"/>
      <c r="BK49" s="130"/>
      <c r="BL49" s="130"/>
      <c r="BM49" s="130"/>
      <c r="BN49" s="130"/>
      <c r="BO49" s="130"/>
      <c r="BP49" s="130"/>
      <c r="BQ49" s="130"/>
      <c r="BR49" s="130"/>
      <c r="BS49" s="130"/>
      <c r="BT49" s="130"/>
      <c r="BU49" s="130"/>
      <c r="BV49" s="130"/>
      <c r="BW49" s="130"/>
      <c r="BX49" s="130"/>
      <c r="BY49" s="130"/>
      <c r="BZ49" s="130"/>
    </row>
    <row r="50" spans="1:78" ht="14.4" customHeight="1" x14ac:dyDescent="0.25">
      <c r="A50" s="156">
        <v>34</v>
      </c>
      <c r="B50" s="287" t="s">
        <v>2398</v>
      </c>
      <c r="C50" s="287" t="s">
        <v>2399</v>
      </c>
      <c r="D50" s="299" t="str">
        <f>IF(OR(BI53&gt;0,COUNTIF($BG$2:$BG$46,"战斗风格-双武器战斗")),"战斗风格-双武器战斗","")</f>
        <v/>
      </c>
      <c r="E50" s="299" t="s">
        <v>2400</v>
      </c>
      <c r="F50" s="290" t="str">
        <f>IF(OR(BH55&lt;1,COUNTIF($BG$2:$BG$46,"强力施法")),"强力施法","")</f>
        <v>强力施法</v>
      </c>
      <c r="G50" s="290" t="s">
        <v>2102</v>
      </c>
      <c r="H50" s="290" t="s">
        <v>2401</v>
      </c>
      <c r="I50" s="290" t="s">
        <v>2402</v>
      </c>
      <c r="J50" s="291" t="str">
        <f>IF(OR(BI55&gt;0,COUNTIF($BG$2:$BG$46,"战技-格挡")),"战技-格挡","")</f>
        <v/>
      </c>
      <c r="K50" s="291" t="s">
        <v>2403</v>
      </c>
      <c r="L50" s="290" t="s">
        <v>2404</v>
      </c>
      <c r="M50" s="290" t="s">
        <v>2405</v>
      </c>
      <c r="N50" s="291" t="s">
        <v>2406</v>
      </c>
      <c r="O50" s="291" t="s">
        <v>2407</v>
      </c>
      <c r="P50" s="205" t="str">
        <f>IF(OR(BH62&lt;1,COUNTIF($BG$2:$BG$46,"防守战术-冲出重围")),"防守战术-冲出重围","")</f>
        <v>防守战术-冲出重围</v>
      </c>
      <c r="Q50" s="205" t="s">
        <v>2408</v>
      </c>
      <c r="R50" s="293" t="s">
        <v>2409</v>
      </c>
      <c r="S50" s="293" t="s">
        <v>2410</v>
      </c>
      <c r="T50" s="290" t="s">
        <v>2411</v>
      </c>
      <c r="U50" s="290" t="s">
        <v>2412</v>
      </c>
      <c r="V50" s="274" t="str">
        <f>IF(AND(综合数据!B14=TRUE,COUNTIF(BG2:BG44,"*链之魔契"),OR(BI65&gt;0,COUNTIF($BG$2:$BG$46,"魔能祈唤-永生者赠礼"))),"魔能祈唤-永生者赠礼","")</f>
        <v/>
      </c>
      <c r="W50" s="278" t="s">
        <v>2413</v>
      </c>
      <c r="X50" s="297" t="s">
        <v>2414</v>
      </c>
      <c r="Y50" s="297" t="s">
        <v>2415</v>
      </c>
      <c r="Z50" s="119" t="s">
        <v>2416</v>
      </c>
      <c r="AA50" s="120" t="s">
        <v>2417</v>
      </c>
      <c r="AB50" s="119"/>
      <c r="AF50" s="119"/>
      <c r="AL50" s="157" t="e">
        <f t="array" ref="AL50">INDEX(AK:AK,SMALL(IF($AK$18:$AK$35&lt;&gt;"",ROW($18:$35),36),ROW(AK10)))&amp;""</f>
        <v>#N/A</v>
      </c>
      <c r="AM50" s="106" t="s">
        <v>1565</v>
      </c>
      <c r="AN50" s="106"/>
      <c r="AO50" s="106">
        <v>52</v>
      </c>
      <c r="AP50" s="116">
        <f>IF($AG$6&gt;=18,61,IF($AG$6&gt;=15,60,IF($AG$6&gt;=10,59,IF($AG$6&gt;=7,58,IF($AG$6&gt;=3,57,0)))))</f>
        <v>0</v>
      </c>
      <c r="AQ50" s="115" t="e">
        <f t="shared" si="19"/>
        <v>#N/A</v>
      </c>
      <c r="AR50" s="119" t="e">
        <f t="shared" si="20"/>
        <v>#N/A</v>
      </c>
      <c r="AS50" s="119" t="e">
        <f t="shared" si="21"/>
        <v>#N/A</v>
      </c>
      <c r="AT50" s="116" t="e">
        <f t="shared" si="22"/>
        <v>#N/A</v>
      </c>
      <c r="AU50" s="115" t="e">
        <f t="shared" si="23"/>
        <v>#N/A</v>
      </c>
      <c r="AV50" s="119" t="e">
        <f t="shared" si="24"/>
        <v>#N/A</v>
      </c>
      <c r="AW50" s="119" t="e">
        <f t="shared" si="25"/>
        <v>#N/A</v>
      </c>
      <c r="AX50" s="116" t="e">
        <f t="shared" si="26"/>
        <v>#N/A</v>
      </c>
      <c r="AY50" s="115" t="e">
        <f t="shared" si="27"/>
        <v>#N/A</v>
      </c>
      <c r="AZ50" s="119" t="e">
        <f t="shared" si="28"/>
        <v>#N/A</v>
      </c>
      <c r="BA50" s="119" t="e">
        <f t="shared" si="29"/>
        <v>#N/A</v>
      </c>
      <c r="BB50" s="116" t="e">
        <f t="shared" si="30"/>
        <v>#N/A</v>
      </c>
      <c r="BC50" s="118" t="str">
        <f>IFERROR(INDEX($AQ$12:$BF$87,40,$BC$2),"")</f>
        <v/>
      </c>
      <c r="BD50" s="119" t="str">
        <f>IFERROR(INDEX($AQ$12:$BF$87,40,$BD$2),"")</f>
        <v/>
      </c>
      <c r="BE50" s="250" t="str">
        <f t="shared" si="18"/>
        <v/>
      </c>
      <c r="BF50" s="198" t="str">
        <f t="array" ref="BF50">INDEX(BE:BE,SMALL(IF($BE$2:$BE$143&lt;&gt;"",ROW($2:$143),144),ROW(BE49)))&amp;""</f>
        <v/>
      </c>
      <c r="BG50" s="298" t="s">
        <v>2398</v>
      </c>
      <c r="BH50" s="130">
        <f>COUNTIF($BG$2:$BG$46,"图腾同调-*")</f>
        <v>0</v>
      </c>
      <c r="BI50" s="155">
        <f>COUNTIF(BI52:BI67,"&gt;=1")</f>
        <v>0</v>
      </c>
      <c r="BJ50" s="130"/>
      <c r="BK50" s="130"/>
      <c r="BL50" s="130"/>
      <c r="BM50" s="130"/>
      <c r="BN50" s="130"/>
      <c r="BO50" s="130"/>
      <c r="BP50" s="130"/>
      <c r="BQ50" s="130"/>
      <c r="BR50" s="130"/>
      <c r="BS50" s="130"/>
      <c r="BT50" s="130"/>
      <c r="BU50" s="130"/>
      <c r="BV50" s="130"/>
      <c r="BW50" s="130"/>
      <c r="BX50" s="130"/>
      <c r="BY50" s="130"/>
      <c r="BZ50" s="130"/>
    </row>
    <row r="51" spans="1:78" ht="14.4" customHeight="1" x14ac:dyDescent="0.25">
      <c r="A51" s="156">
        <v>35</v>
      </c>
      <c r="B51" s="207" t="str">
        <f>IF(OR(BH50&lt;1,COUNTIF($BG$2:$BG$46,"图腾同调-熊")),"图腾同调-熊","")</f>
        <v>图腾同调-熊</v>
      </c>
      <c r="C51" s="207" t="s">
        <v>2418</v>
      </c>
      <c r="D51" s="293" t="s">
        <v>2419</v>
      </c>
      <c r="E51" s="293" t="s">
        <v>2420</v>
      </c>
      <c r="F51" s="290" t="s">
        <v>2421</v>
      </c>
      <c r="G51" s="290" t="s">
        <v>2422</v>
      </c>
      <c r="H51" s="290" t="s">
        <v>2423</v>
      </c>
      <c r="I51" s="290" t="s">
        <v>2424</v>
      </c>
      <c r="J51" s="291" t="str">
        <f>IF(OR(BI55&gt;0,COUNTIF($BG$2:$BG$46,"战技-精准攻击")),"战技-精准攻击","")</f>
        <v/>
      </c>
      <c r="K51" s="291" t="s">
        <v>2425</v>
      </c>
      <c r="L51" s="290" t="s">
        <v>2426</v>
      </c>
      <c r="M51" s="290" t="s">
        <v>2427</v>
      </c>
      <c r="N51" s="291" t="s">
        <v>2428</v>
      </c>
      <c r="O51" s="291" t="s">
        <v>2429</v>
      </c>
      <c r="P51" s="205" t="str">
        <f>IF(OR(BH62&lt;1,COUNTIF($BG$2:$BG$46,"防守战术-多重防御")),"防守战术-多重防御","")</f>
        <v>防守战术-多重防御</v>
      </c>
      <c r="Q51" s="205" t="s">
        <v>2430</v>
      </c>
      <c r="R51" s="293" t="s">
        <v>2431</v>
      </c>
      <c r="S51" s="293" t="s">
        <v>2432</v>
      </c>
      <c r="T51" s="290" t="s">
        <v>2433</v>
      </c>
      <c r="U51" s="290" t="s">
        <v>2434</v>
      </c>
      <c r="V51" s="274" t="str">
        <f>IF(AND(综合数据!B14=TRUE,COUNTIF(BG2:BG44,"*刃之魔契"),OR(BI65&gt;0,COUNTIF($BG$2:$BG$46,"魔能祈唤-进阶契约武器"))),"魔能祈唤-进阶契约武器","")</f>
        <v/>
      </c>
      <c r="W51" s="278" t="s">
        <v>2435</v>
      </c>
      <c r="X51" s="297" t="s">
        <v>2436</v>
      </c>
      <c r="Y51" s="297" t="s">
        <v>2437</v>
      </c>
      <c r="Z51" s="287" t="s">
        <v>2438</v>
      </c>
      <c r="AA51" s="300" t="s">
        <v>2439</v>
      </c>
      <c r="AB51" s="119"/>
      <c r="AF51" s="119"/>
      <c r="AL51" s="157" t="e">
        <f t="array" ref="AL51">INDEX(AK:AK,SMALL(IF($AK$18:$AK$35&lt;&gt;"",ROW($18:$35),36),ROW(AK11)))&amp;""</f>
        <v>#N/A</v>
      </c>
      <c r="AM51" s="166" t="s">
        <v>2440</v>
      </c>
      <c r="AN51" s="166"/>
      <c r="AO51" s="166">
        <v>62</v>
      </c>
      <c r="AP51" s="282">
        <f>IF($AG$6&gt;=15,65,IF($AG$6&gt;=10,64,IF($AG$6&gt;=7,63,IF($AG$6&gt;=3,62,0))))</f>
        <v>0</v>
      </c>
      <c r="AQ51" s="115" t="e">
        <f t="shared" si="19"/>
        <v>#N/A</v>
      </c>
      <c r="AR51" s="119" t="e">
        <f t="shared" si="20"/>
        <v>#N/A</v>
      </c>
      <c r="AS51" s="119" t="e">
        <f t="shared" si="21"/>
        <v>#N/A</v>
      </c>
      <c r="AT51" s="116" t="e">
        <f t="shared" si="22"/>
        <v>#N/A</v>
      </c>
      <c r="AU51" s="115" t="e">
        <f t="shared" si="23"/>
        <v>#N/A</v>
      </c>
      <c r="AV51" s="119" t="e">
        <f t="shared" si="24"/>
        <v>#N/A</v>
      </c>
      <c r="AW51" s="119" t="e">
        <f t="shared" si="25"/>
        <v>#N/A</v>
      </c>
      <c r="AX51" s="116" t="e">
        <f t="shared" si="26"/>
        <v>#N/A</v>
      </c>
      <c r="AY51" s="115" t="e">
        <f t="shared" si="27"/>
        <v>#N/A</v>
      </c>
      <c r="AZ51" s="119" t="e">
        <f t="shared" si="28"/>
        <v>#N/A</v>
      </c>
      <c r="BA51" s="119" t="e">
        <f t="shared" si="29"/>
        <v>#N/A</v>
      </c>
      <c r="BB51" s="116" t="e">
        <f t="shared" si="30"/>
        <v>#N/A</v>
      </c>
      <c r="BC51" s="118" t="str">
        <f>IFERROR(INDEX($AQ$12:$BF$87,41,$BC$2),"")</f>
        <v/>
      </c>
      <c r="BD51" s="119" t="str">
        <f>IFERROR(INDEX($AQ$12:$BF$87,41,$BD$2),"")</f>
        <v/>
      </c>
      <c r="BE51" s="250" t="str">
        <f t="shared" si="18"/>
        <v/>
      </c>
      <c r="BF51" s="198" t="str">
        <f t="array" ref="BF51">INDEX(BE:BE,SMALL(IF($BE$2:$BE$143&lt;&gt;"",ROW($2:$143),144),ROW(BE50)))&amp;""</f>
        <v/>
      </c>
      <c r="BG51" s="301" t="s">
        <v>2441</v>
      </c>
      <c r="BH51" s="130">
        <f>COUNTIF($BG$2:$BG$46,"愤怒风暴-*")</f>
        <v>0</v>
      </c>
      <c r="BI51" s="155">
        <f>COUNTIF(BI52:BI67,"&lt;=-1")</f>
        <v>0</v>
      </c>
      <c r="BJ51" s="130"/>
      <c r="BK51" s="130"/>
      <c r="BL51" s="130"/>
      <c r="BM51" s="130"/>
      <c r="BN51" s="130"/>
      <c r="BO51" s="130"/>
      <c r="BP51" s="130"/>
      <c r="BQ51" s="130"/>
      <c r="BR51" s="130"/>
      <c r="BS51" s="130"/>
      <c r="BT51" s="130"/>
      <c r="BU51" s="130"/>
      <c r="BV51" s="130"/>
      <c r="BW51" s="130"/>
      <c r="BX51" s="130"/>
      <c r="BY51" s="130"/>
      <c r="BZ51" s="130"/>
    </row>
    <row r="52" spans="1:78" ht="14.4" customHeight="1" x14ac:dyDescent="0.25">
      <c r="A52" s="156">
        <v>36</v>
      </c>
      <c r="B52" s="207" t="str">
        <f>IF(OR(BH50&lt;1,COUNTIF($BG$2:$BG$46,"图腾同调-雕")),"图腾同调-雕","")</f>
        <v>图腾同调-雕</v>
      </c>
      <c r="C52" s="207" t="s">
        <v>2442</v>
      </c>
      <c r="D52" s="293" t="str">
        <f>IF(COUNTIF($BG$2:$BG$46,"额外攻击-*"),"","额外攻击")</f>
        <v>额外攻击</v>
      </c>
      <c r="E52" s="293" t="s">
        <v>2200</v>
      </c>
      <c r="F52" s="293" t="s">
        <v>2443</v>
      </c>
      <c r="G52" s="293" t="s">
        <v>2444</v>
      </c>
      <c r="H52" s="290" t="s">
        <v>2445</v>
      </c>
      <c r="I52" s="290" t="s">
        <v>2446</v>
      </c>
      <c r="J52" s="291" t="str">
        <f>IF(OR(BI55&gt;0,COUNTIF($BG$2:$BG$46,"战技-推撞攻击")),"战技-推撞攻击","")</f>
        <v/>
      </c>
      <c r="K52" s="291" t="s">
        <v>2447</v>
      </c>
      <c r="L52" s="296" t="str">
        <f>IF(OR(BI61&gt;0,COUNTIF($BG$2:$BG$46,"法门-元素同调")),"法门-元素同调","")</f>
        <v/>
      </c>
      <c r="M52" s="296" t="s">
        <v>2448</v>
      </c>
      <c r="N52" s="287" t="s">
        <v>2449</v>
      </c>
      <c r="O52" s="287" t="s">
        <v>2450</v>
      </c>
      <c r="P52" s="205" t="str">
        <f>IF(OR(BH62&lt;1,COUNTIF($BG$2:$BG$46,"防守战术-钢铁意志")),"防守战术-钢铁意志","")</f>
        <v>防守战术-钢铁意志</v>
      </c>
      <c r="Q52" s="205" t="s">
        <v>2451</v>
      </c>
      <c r="R52" s="293" t="s">
        <v>2452</v>
      </c>
      <c r="S52" s="293" t="s">
        <v>2453</v>
      </c>
      <c r="T52" s="290" t="s">
        <v>2454</v>
      </c>
      <c r="U52" s="290" t="s">
        <v>2455</v>
      </c>
      <c r="V52" s="274" t="str">
        <f>IF(AND(综合数据!B14=TRUE,COUNTIF(BG2:BG44,"*链之魔契"),OR(BI65&gt;0,COUNTIF($BG$2:$BG$46,"魔能祈唤-链主赋能"))),"魔能祈唤-链主赋能","")</f>
        <v/>
      </c>
      <c r="W52" s="278" t="s">
        <v>2456</v>
      </c>
      <c r="X52" s="297" t="s">
        <v>2457</v>
      </c>
      <c r="Y52" s="297" t="s">
        <v>2458</v>
      </c>
      <c r="Z52" s="287" t="s">
        <v>2459</v>
      </c>
      <c r="AA52" s="300" t="s">
        <v>2460</v>
      </c>
      <c r="AB52" s="119"/>
      <c r="AC52" s="119"/>
      <c r="AD52" s="119"/>
      <c r="AE52" s="119"/>
      <c r="AF52" s="119"/>
      <c r="AL52" s="157" t="e">
        <f t="array" ref="AL52">INDEX(AK:AK,SMALL(IF($AK$18:$AK$35&lt;&gt;"",ROW($18:$35),36),ROW(AK12)))&amp;""</f>
        <v>#N/A</v>
      </c>
      <c r="AM52" s="247" t="s">
        <v>2461</v>
      </c>
      <c r="AN52" s="247"/>
      <c r="AO52" s="247">
        <v>66</v>
      </c>
      <c r="AP52" s="284">
        <f>IF($AG$6&gt;=15,78,IF($AG$6&gt;=7,77,IF($AG$6&gt;=3,75,0)))</f>
        <v>0</v>
      </c>
      <c r="AQ52" s="115" t="e">
        <f t="shared" si="19"/>
        <v>#N/A</v>
      </c>
      <c r="AR52" s="119" t="e">
        <f t="shared" si="20"/>
        <v>#N/A</v>
      </c>
      <c r="AS52" s="119" t="e">
        <f t="shared" si="21"/>
        <v>#N/A</v>
      </c>
      <c r="AT52" s="116" t="e">
        <f t="shared" si="22"/>
        <v>#N/A</v>
      </c>
      <c r="AU52" s="115" t="e">
        <f t="shared" si="23"/>
        <v>#N/A</v>
      </c>
      <c r="AV52" s="119" t="e">
        <f t="shared" si="24"/>
        <v>#N/A</v>
      </c>
      <c r="AW52" s="119" t="e">
        <f t="shared" si="25"/>
        <v>#N/A</v>
      </c>
      <c r="AX52" s="116" t="e">
        <f t="shared" si="26"/>
        <v>#N/A</v>
      </c>
      <c r="AY52" s="115" t="e">
        <f t="shared" si="27"/>
        <v>#N/A</v>
      </c>
      <c r="AZ52" s="119" t="e">
        <f t="shared" si="28"/>
        <v>#N/A</v>
      </c>
      <c r="BA52" s="119" t="e">
        <f t="shared" si="29"/>
        <v>#N/A</v>
      </c>
      <c r="BB52" s="116" t="e">
        <f t="shared" si="30"/>
        <v>#N/A</v>
      </c>
      <c r="BC52" s="118" t="str">
        <f>IFERROR(INDEX($AQ$12:$BF$87,42,$BC$2),"")</f>
        <v/>
      </c>
      <c r="BD52" s="119" t="str">
        <f>IFERROR(INDEX($AQ$12:$BF$87,42,$BD$2),"")</f>
        <v/>
      </c>
      <c r="BE52" s="250" t="str">
        <f t="shared" si="18"/>
        <v/>
      </c>
      <c r="BF52" s="198" t="str">
        <f t="array" ref="BF52">INDEX(BE:BE,SMALL(IF($BE$2:$BE$143&lt;&gt;"",ROW($2:$143),144),ROW(BE51)))&amp;""</f>
        <v/>
      </c>
      <c r="BG52" s="301" t="s">
        <v>2462</v>
      </c>
      <c r="BH52" s="130">
        <f>COUNTIF($BG$2:$BG$46,"风暴之魂-*")</f>
        <v>0</v>
      </c>
      <c r="BI52" s="116" t="s">
        <v>2463</v>
      </c>
      <c r="BJ52" s="130"/>
      <c r="BK52" s="130"/>
      <c r="BL52" s="130"/>
      <c r="BM52" s="130"/>
      <c r="BN52" s="130"/>
      <c r="BO52" s="130"/>
      <c r="BP52" s="130"/>
      <c r="BQ52" s="130"/>
      <c r="BR52" s="130"/>
      <c r="BS52" s="130"/>
      <c r="BT52" s="130"/>
      <c r="BU52" s="130"/>
      <c r="BV52" s="130"/>
      <c r="BW52" s="130"/>
      <c r="BX52" s="130"/>
      <c r="BY52" s="130"/>
      <c r="BZ52" s="130"/>
    </row>
    <row r="53" spans="1:78" ht="14.4" customHeight="1" x14ac:dyDescent="0.25">
      <c r="A53" s="156">
        <v>37</v>
      </c>
      <c r="B53" s="207" t="str">
        <f>IF(OR(BH50&lt;1,COUNTIF($BG$2:$BG$46,"图腾同调-狼")),"图腾同调-狼","")</f>
        <v>图腾同调-狼</v>
      </c>
      <c r="C53" s="207" t="s">
        <v>2464</v>
      </c>
      <c r="D53" s="293" t="s">
        <v>2465</v>
      </c>
      <c r="E53" s="293" t="s">
        <v>2466</v>
      </c>
      <c r="F53" s="293" t="s">
        <v>2467</v>
      </c>
      <c r="G53" s="293" t="s">
        <v>2468</v>
      </c>
      <c r="H53" s="290" t="s">
        <v>2469</v>
      </c>
      <c r="I53" s="290" t="s">
        <v>2470</v>
      </c>
      <c r="J53" s="291" t="str">
        <f>IF(OR(BI55&gt;0,COUNTIF($BG$2:$BG$46,"战技-重整旗鼓")),"战技-重整旗鼓","")</f>
        <v/>
      </c>
      <c r="K53" s="291" t="s">
        <v>2471</v>
      </c>
      <c r="L53" s="296" t="str">
        <f>IF(OR(BI61&gt;0,COUNTIF($BG$2:$BG$46,"法门-火蛇利牙")),"法门-火蛇利牙","")</f>
        <v/>
      </c>
      <c r="M53" s="296" t="s">
        <v>2472</v>
      </c>
      <c r="N53" s="287" t="s">
        <v>2473</v>
      </c>
      <c r="O53" s="287" t="s">
        <v>2474</v>
      </c>
      <c r="P53" s="283" t="s">
        <v>2475</v>
      </c>
      <c r="Q53" s="283" t="s">
        <v>2476</v>
      </c>
      <c r="R53" s="293" t="s">
        <v>2477</v>
      </c>
      <c r="S53" s="293" t="s">
        <v>2478</v>
      </c>
      <c r="T53" s="293" t="s">
        <v>2479</v>
      </c>
      <c r="U53" s="293" t="s">
        <v>2480</v>
      </c>
      <c r="V53" s="274" t="str">
        <f>IF(AND(COUNTIF(BG2:BG44,"*符之魔契"),OR(BI65&gt;0,COUNTIF($BG$2:$BG$46,"魔能祈唤-符令责斥"))),"魔能祈唤-符令责斥","")</f>
        <v/>
      </c>
      <c r="W53" s="278" t="s">
        <v>2481</v>
      </c>
      <c r="X53" s="302" t="s">
        <v>2482</v>
      </c>
      <c r="Y53" s="302" t="s">
        <v>2483</v>
      </c>
      <c r="Z53" s="287" t="s">
        <v>2484</v>
      </c>
      <c r="AA53" s="300" t="s">
        <v>2485</v>
      </c>
      <c r="AB53" s="119"/>
      <c r="AC53" s="119"/>
      <c r="AD53" s="119"/>
      <c r="AE53" s="119"/>
      <c r="AF53" s="119"/>
      <c r="AL53" s="157" t="e">
        <f t="array" ref="AL53">INDEX(AK:AK,SMALL(IF($AK$18:$AK$35&lt;&gt;"",ROW($18:$35),36),ROW(AK13)))&amp;""</f>
        <v>#N/A</v>
      </c>
      <c r="AM53" s="247" t="s">
        <v>2486</v>
      </c>
      <c r="AN53" s="247"/>
      <c r="AO53" s="247">
        <v>79</v>
      </c>
      <c r="AP53" s="284">
        <f>IF($AG$6&gt;=18,85,IF($AG$6&gt;=15,84,IF($AG$6&gt;=10,83,IF($AG$6&gt;=7,82,IF($AG$6&gt;=3,81,0)))))</f>
        <v>0</v>
      </c>
      <c r="AQ53" s="115" t="e">
        <f t="shared" si="19"/>
        <v>#N/A</v>
      </c>
      <c r="AR53" s="119" t="e">
        <f t="shared" si="20"/>
        <v>#N/A</v>
      </c>
      <c r="AS53" s="119" t="e">
        <f t="shared" si="21"/>
        <v>#N/A</v>
      </c>
      <c r="AT53" s="116" t="e">
        <f t="shared" si="22"/>
        <v>#N/A</v>
      </c>
      <c r="AU53" s="115" t="e">
        <f t="shared" si="23"/>
        <v>#N/A</v>
      </c>
      <c r="AV53" s="119" t="e">
        <f t="shared" si="24"/>
        <v>#N/A</v>
      </c>
      <c r="AW53" s="119" t="e">
        <f t="shared" si="25"/>
        <v>#N/A</v>
      </c>
      <c r="AX53" s="116" t="e">
        <f t="shared" si="26"/>
        <v>#N/A</v>
      </c>
      <c r="AY53" s="115" t="e">
        <f t="shared" si="27"/>
        <v>#N/A</v>
      </c>
      <c r="AZ53" s="119" t="e">
        <f t="shared" si="28"/>
        <v>#N/A</v>
      </c>
      <c r="BA53" s="119" t="e">
        <f t="shared" si="29"/>
        <v>#N/A</v>
      </c>
      <c r="BB53" s="116" t="e">
        <f t="shared" si="30"/>
        <v>#N/A</v>
      </c>
      <c r="BC53" s="118" t="str">
        <f>IFERROR(INDEX($AQ$12:$BF$87,43,$BC$2),"")</f>
        <v/>
      </c>
      <c r="BD53" s="119" t="str">
        <f>IFERROR(INDEX($AQ$12:$BF$87,43,$BD$2),"")</f>
        <v/>
      </c>
      <c r="BE53" s="250" t="str">
        <f t="shared" si="18"/>
        <v/>
      </c>
      <c r="BF53" s="198" t="str">
        <f t="array" ref="BF53">INDEX(BE:BE,SMALL(IF($BE$2:$BE$143&lt;&gt;"",ROW($2:$143),144),ROW(BE52)))&amp;""</f>
        <v/>
      </c>
      <c r="BG53" s="301" t="s">
        <v>2487</v>
      </c>
      <c r="BH53" s="130">
        <f>COUNTIF($BG$2:$BG$46,"狂怒风暴-*")</f>
        <v>0</v>
      </c>
      <c r="BI53" s="155">
        <f>IF(AG3&gt;=4,COUNTIF(AD16:AD18,E3),0)+IF(AG6&gt;=1,1,0)+IF(AG6&gt;=10,COUNTIF(AD16:AD18,B6),0)+IF(AG8&gt;=2,1,0)+IF(AG9&gt;=2,1,0)+COUNTIF(专长数据!E2:E7,专长数据!A76)-COUNTIF($BG$2:$BG$46,"战斗风格-*")</f>
        <v>0</v>
      </c>
      <c r="BJ53" s="130"/>
      <c r="BK53" s="106"/>
      <c r="BL53" s="130"/>
      <c r="BM53" s="130"/>
      <c r="BN53" s="130"/>
      <c r="BO53" s="130"/>
      <c r="BP53" s="130"/>
      <c r="BQ53" s="130"/>
      <c r="BR53" s="130"/>
      <c r="BS53" s="130"/>
      <c r="BT53" s="130"/>
      <c r="BU53" s="130"/>
      <c r="BV53" s="130"/>
      <c r="BW53" s="130"/>
      <c r="BX53" s="130"/>
      <c r="BY53" s="130"/>
      <c r="BZ53" s="130"/>
    </row>
    <row r="54" spans="1:78" ht="14.4" customHeight="1" x14ac:dyDescent="0.25">
      <c r="A54" s="156">
        <v>38</v>
      </c>
      <c r="B54" s="207" t="str">
        <f>IF(AND(综合数据!B5=TRUE,OR(BH50&lt;1,COUNTIF($BG$2:$BG$46,"图腾同调-鹿"))),"图腾同调-鹿","")</f>
        <v>图腾同调-鹿</v>
      </c>
      <c r="C54" s="207" t="s">
        <v>2488</v>
      </c>
      <c r="D54" s="297" t="s">
        <v>2489</v>
      </c>
      <c r="E54" s="297" t="s">
        <v>2490</v>
      </c>
      <c r="F54" s="293" t="s">
        <v>2161</v>
      </c>
      <c r="G54" s="293" t="s">
        <v>2162</v>
      </c>
      <c r="H54" s="293" t="s">
        <v>2491</v>
      </c>
      <c r="I54" s="293" t="s">
        <v>2492</v>
      </c>
      <c r="J54" s="291" t="str">
        <f>IF(OR(BI55&gt;0,COUNTIF($BG$2:$BG$46,"战技-反击")),"战技-反击","")</f>
        <v/>
      </c>
      <c r="K54" s="291" t="s">
        <v>2493</v>
      </c>
      <c r="L54" s="296" t="str">
        <f>IF(OR(BI61&gt;0,COUNTIF($BG$2:$BG$46,"法门-四雷拳")),"法门-四雷拳","")</f>
        <v/>
      </c>
      <c r="M54" s="296" t="s">
        <v>2494</v>
      </c>
      <c r="N54" s="287" t="s">
        <v>2495</v>
      </c>
      <c r="O54" s="287" t="s">
        <v>2496</v>
      </c>
      <c r="P54" s="205" t="str">
        <f>IF(OR(BH63&lt;1,COUNTIF($BG$2:$BG$46,"多重攻击-箭雨")),"多重攻击-箭雨","")</f>
        <v>多重攻击-箭雨</v>
      </c>
      <c r="Q54" s="205" t="s">
        <v>2497</v>
      </c>
      <c r="R54" s="293" t="s">
        <v>2498</v>
      </c>
      <c r="S54" s="293" t="s">
        <v>2499</v>
      </c>
      <c r="T54" s="293" t="s">
        <v>2500</v>
      </c>
      <c r="U54" s="293" t="s">
        <v>2501</v>
      </c>
      <c r="V54" s="274" t="str">
        <f>IF(综合数据!B14=TRUE,"魔能选项","")</f>
        <v>魔能选项</v>
      </c>
      <c r="W54" s="274" t="s">
        <v>2502</v>
      </c>
      <c r="X54" s="302" t="s">
        <v>2503</v>
      </c>
      <c r="Y54" s="302" t="s">
        <v>2504</v>
      </c>
      <c r="Z54" s="287" t="s">
        <v>2505</v>
      </c>
      <c r="AA54" s="300" t="s">
        <v>2506</v>
      </c>
      <c r="AB54" s="119"/>
      <c r="AC54" s="119"/>
      <c r="AD54" s="119"/>
      <c r="AE54" s="119"/>
      <c r="AF54" s="119"/>
      <c r="AL54" s="157" t="e">
        <f t="array" ref="AL54">INDEX(AK:AK,SMALL(IF($AK$18:$AK$35&lt;&gt;"",ROW($18:$35),36),ROW(AK14)))&amp;""</f>
        <v>#N/A</v>
      </c>
      <c r="AM54" s="247" t="s">
        <v>2507</v>
      </c>
      <c r="AN54" s="247"/>
      <c r="AO54" s="247">
        <v>86</v>
      </c>
      <c r="AP54" s="284">
        <f>IF($AG$6&gt;=18,91,IF($AG$6&gt;=15,90,IF($AG$6&gt;=10,89,IF($AG$6&gt;=7,88,IF($AG$6&gt;=3,87,0)))))</f>
        <v>0</v>
      </c>
      <c r="AQ54" s="115" t="e">
        <f t="shared" si="19"/>
        <v>#N/A</v>
      </c>
      <c r="AR54" s="119" t="e">
        <f t="shared" si="20"/>
        <v>#N/A</v>
      </c>
      <c r="AS54" s="119" t="e">
        <f t="shared" si="21"/>
        <v>#N/A</v>
      </c>
      <c r="AT54" s="116" t="e">
        <f t="shared" si="22"/>
        <v>#N/A</v>
      </c>
      <c r="AU54" s="115" t="e">
        <f t="shared" si="23"/>
        <v>#N/A</v>
      </c>
      <c r="AV54" s="119" t="e">
        <f t="shared" si="24"/>
        <v>#N/A</v>
      </c>
      <c r="AW54" s="119" t="e">
        <f t="shared" si="25"/>
        <v>#N/A</v>
      </c>
      <c r="AX54" s="116" t="e">
        <f t="shared" si="26"/>
        <v>#N/A</v>
      </c>
      <c r="AY54" s="115" t="e">
        <f t="shared" si="27"/>
        <v>#N/A</v>
      </c>
      <c r="AZ54" s="119" t="e">
        <f t="shared" si="28"/>
        <v>#N/A</v>
      </c>
      <c r="BA54" s="119" t="e">
        <f t="shared" si="29"/>
        <v>#N/A</v>
      </c>
      <c r="BB54" s="116" t="e">
        <f t="shared" si="30"/>
        <v>#N/A</v>
      </c>
      <c r="BC54" s="118" t="str">
        <f>IFERROR(INDEX($AQ$12:$BF$87,44,$BC$2),"")</f>
        <v/>
      </c>
      <c r="BD54" s="119" t="str">
        <f>IFERROR(INDEX($AQ$12:$BF$87,44,$BD$2),"")</f>
        <v/>
      </c>
      <c r="BE54" s="250" t="str">
        <f t="shared" si="18"/>
        <v/>
      </c>
      <c r="BF54" s="198" t="str">
        <f t="array" ref="BF54">INDEX(BE:BE,SMALL(IF($BE$2:$BE$143&lt;&gt;"",ROW($2:$143),144),ROW(BE53)))&amp;""</f>
        <v/>
      </c>
      <c r="BG54" s="298" t="s">
        <v>2508</v>
      </c>
      <c r="BH54" s="130">
        <f>COUNTIF($BG$2:$BG$46,"兽性之魂-*")</f>
        <v>0</v>
      </c>
      <c r="BI54" s="300" t="s">
        <v>2185</v>
      </c>
      <c r="BJ54" s="130"/>
      <c r="BK54" s="130"/>
      <c r="BL54" s="130"/>
      <c r="BM54" s="130"/>
      <c r="BN54" s="130"/>
      <c r="BO54" s="130"/>
      <c r="BP54" s="130"/>
      <c r="BQ54" s="130"/>
      <c r="BR54" s="130"/>
      <c r="BS54" s="130"/>
      <c r="BT54" s="130"/>
      <c r="BU54" s="130"/>
      <c r="BV54" s="130"/>
      <c r="BW54" s="130"/>
      <c r="BX54" s="130"/>
      <c r="BY54" s="130"/>
      <c r="BZ54" s="130"/>
    </row>
    <row r="55" spans="1:78" ht="14.4" customHeight="1" x14ac:dyDescent="0.25">
      <c r="A55" s="156">
        <v>39</v>
      </c>
      <c r="B55" s="207" t="str">
        <f>IF(AND(综合数据!B5=TRUE,OR(BH50&lt;1,COUNTIF($BG$2:$BG$46,"图腾同调-虎"))),"图腾同调-虎","")</f>
        <v>图腾同调-虎</v>
      </c>
      <c r="C55" s="207" t="s">
        <v>2509</v>
      </c>
      <c r="D55" s="297" t="s">
        <v>2510</v>
      </c>
      <c r="E55" s="297" t="s">
        <v>2511</v>
      </c>
      <c r="F55" s="299" t="s">
        <v>2512</v>
      </c>
      <c r="G55" s="299" t="s">
        <v>2513</v>
      </c>
      <c r="H55" s="293" t="s">
        <v>2514</v>
      </c>
      <c r="I55" s="293" t="s">
        <v>2515</v>
      </c>
      <c r="J55" s="291" t="str">
        <f>IF(OR(BI55&gt;0,COUNTIF($BG$2:$BG$46,"战技-横扫攻击")),"战技-横扫攻击","")</f>
        <v/>
      </c>
      <c r="K55" s="291" t="s">
        <v>2516</v>
      </c>
      <c r="L55" s="296" t="str">
        <f>IF(OR(BI61&gt;0,COUNTIF($BG$2:$BG$46,"法门-凝气刚拳")),"法门-凝气刚拳","")</f>
        <v/>
      </c>
      <c r="M55" s="296" t="s">
        <v>2517</v>
      </c>
      <c r="N55" s="290" t="s">
        <v>2518</v>
      </c>
      <c r="O55" s="290" t="s">
        <v>2519</v>
      </c>
      <c r="P55" s="205" t="str">
        <f>IF(OR(BH63&lt;1,COUNTIF($BG$2:$BG$46,"多重攻击-剑刃风暴")),"多重攻击-剑刃风暴","")</f>
        <v>多重攻击-剑刃风暴</v>
      </c>
      <c r="Q55" s="205" t="s">
        <v>2520</v>
      </c>
      <c r="R55" s="297" t="s">
        <v>2521</v>
      </c>
      <c r="S55" s="297" t="s">
        <v>2522</v>
      </c>
      <c r="T55" s="293" t="s">
        <v>2523</v>
      </c>
      <c r="U55" s="293" t="s">
        <v>2524</v>
      </c>
      <c r="V55" s="273" t="str">
        <f>IF(OR(BI65&gt;0,COUNTIF($BG$2:$BG$46,"魔能祈唤-心灵泥沼")),"魔能祈唤-心灵泥沼","")</f>
        <v/>
      </c>
      <c r="W55" s="273" t="s">
        <v>2525</v>
      </c>
      <c r="X55" s="302" t="s">
        <v>2526</v>
      </c>
      <c r="Y55" s="302" t="s">
        <v>2527</v>
      </c>
      <c r="Z55" s="287" t="s">
        <v>2528</v>
      </c>
      <c r="AA55" s="300" t="s">
        <v>2529</v>
      </c>
      <c r="AB55" s="119"/>
      <c r="AC55" s="119"/>
      <c r="AD55" s="119"/>
      <c r="AE55" s="119"/>
      <c r="AF55" s="119"/>
      <c r="AL55" s="157" t="e">
        <f t="array" ref="AL55">INDEX(AK:AK,SMALL(IF($AK$18:$AK$35&lt;&gt;"",ROW($18:$35),36),ROW(AK15)))&amp;""</f>
        <v>#N/A</v>
      </c>
      <c r="AM55" s="257" t="s">
        <v>2530</v>
      </c>
      <c r="AN55" s="257"/>
      <c r="AO55" s="257">
        <v>92</v>
      </c>
      <c r="AP55" s="303">
        <f>IF($AG$6&gt;=18,97,IF($AG$6&gt;=15,96,IF($AG$6&gt;=10,95,IF($AG$6&gt;=7,94,IF($AG$6&gt;=3,93,0)))))</f>
        <v>0</v>
      </c>
      <c r="AQ55" s="115" t="e">
        <f t="shared" si="19"/>
        <v>#N/A</v>
      </c>
      <c r="AR55" s="119" t="e">
        <f t="shared" si="20"/>
        <v>#N/A</v>
      </c>
      <c r="AS55" s="119" t="e">
        <f t="shared" si="21"/>
        <v>#N/A</v>
      </c>
      <c r="AT55" s="116" t="e">
        <f t="shared" si="22"/>
        <v>#N/A</v>
      </c>
      <c r="AU55" s="115" t="e">
        <f t="shared" si="23"/>
        <v>#N/A</v>
      </c>
      <c r="AV55" s="119" t="e">
        <f t="shared" si="24"/>
        <v>#N/A</v>
      </c>
      <c r="AW55" s="119" t="e">
        <f t="shared" si="25"/>
        <v>#N/A</v>
      </c>
      <c r="AX55" s="116" t="e">
        <f t="shared" si="26"/>
        <v>#N/A</v>
      </c>
      <c r="AY55" s="115" t="e">
        <f t="shared" si="27"/>
        <v>#N/A</v>
      </c>
      <c r="AZ55" s="119" t="e">
        <f t="shared" si="28"/>
        <v>#N/A</v>
      </c>
      <c r="BA55" s="119" t="e">
        <f t="shared" si="29"/>
        <v>#N/A</v>
      </c>
      <c r="BB55" s="116" t="e">
        <f t="shared" si="30"/>
        <v>#N/A</v>
      </c>
      <c r="BC55" s="118" t="str">
        <f>IFERROR(INDEX($AQ$12:$BF$87,45,$BC$2),"")</f>
        <v/>
      </c>
      <c r="BD55" s="119" t="str">
        <f>IFERROR(INDEX($AQ$12:$BF$87,45,$BD$2),"")</f>
        <v/>
      </c>
      <c r="BE55" s="250" t="str">
        <f t="shared" si="18"/>
        <v/>
      </c>
      <c r="BF55" s="198" t="str">
        <f t="array" ref="BF55">INDEX(BE:BE,SMALL(IF($BE$2:$BE$143&lt;&gt;"",ROW($2:$143),144),ROW(BE54)))&amp;""</f>
        <v/>
      </c>
      <c r="BG55" s="304" t="s">
        <v>2531</v>
      </c>
      <c r="BH55" s="130">
        <f>COUNTIF($BG$2:$BG$46,"受祝击")+COUNTIF($BG$2:$BG$46,"神圣打击")+COUNTIF($BG$2:$BG$46,"强力施法")</f>
        <v>0</v>
      </c>
      <c r="BI55" s="116">
        <f>IF(COUNTIF(AD16:AD18,C6),IF(AG6&gt;=15,9,IF(AG6&gt;=10,7,IF(AG6&gt;=7,5,IF(AG6&gt;=3,3,0)))),0)+COUNTIF(专长数据!E2:E7,专长数据!A19)*2-COUNTIF($BG$2:$BG$46,"战技-*")</f>
        <v>0</v>
      </c>
      <c r="BJ55" s="130"/>
      <c r="BK55" s="130"/>
      <c r="BL55" s="130"/>
      <c r="BM55" s="130"/>
      <c r="BN55" s="130"/>
      <c r="BO55" s="130"/>
      <c r="BP55" s="130"/>
      <c r="BQ55" s="130"/>
      <c r="BR55" s="130"/>
      <c r="BS55" s="130"/>
      <c r="BT55" s="130"/>
      <c r="BU55" s="130"/>
      <c r="BV55" s="130"/>
      <c r="BW55" s="130"/>
      <c r="BX55" s="130"/>
      <c r="BY55" s="130"/>
      <c r="BZ55" s="130"/>
    </row>
    <row r="56" spans="1:78" ht="14.4" customHeight="1" x14ac:dyDescent="0.25">
      <c r="A56" s="156">
        <v>40</v>
      </c>
      <c r="B56" s="290" t="s">
        <v>2532</v>
      </c>
      <c r="C56" s="290" t="s">
        <v>2533</v>
      </c>
      <c r="D56" s="297" t="s">
        <v>2534</v>
      </c>
      <c r="E56" s="297" t="s">
        <v>2535</v>
      </c>
      <c r="F56" s="293" t="s">
        <v>2536</v>
      </c>
      <c r="G56" s="293" t="s">
        <v>2537</v>
      </c>
      <c r="H56" s="293" t="s">
        <v>2538</v>
      </c>
      <c r="I56" s="293" t="s">
        <v>2539</v>
      </c>
      <c r="J56" s="291" t="str">
        <f>IF(OR(BI55&gt;0,COUNTIF($BG$2:$BG$46,"战技-摔绊攻击")),"战技-摔绊攻击","")</f>
        <v/>
      </c>
      <c r="K56" s="291" t="s">
        <v>2540</v>
      </c>
      <c r="L56" s="296" t="str">
        <f>IF(OR(BI61&gt;0,COUNTIF($BG$2:$BG$46,"法门-风灵突进")),"法门-风灵突进","")</f>
        <v/>
      </c>
      <c r="M56" s="296" t="s">
        <v>2541</v>
      </c>
      <c r="N56" s="296" t="s">
        <v>2542</v>
      </c>
      <c r="O56" s="296" t="s">
        <v>2543</v>
      </c>
      <c r="P56" s="283" t="s">
        <v>2544</v>
      </c>
      <c r="Q56" s="283" t="s">
        <v>2545</v>
      </c>
      <c r="R56" s="297" t="s">
        <v>2546</v>
      </c>
      <c r="S56" s="297" t="s">
        <v>2547</v>
      </c>
      <c r="T56" s="293" t="s">
        <v>2548</v>
      </c>
      <c r="U56" s="293" t="s">
        <v>2549</v>
      </c>
      <c r="V56" s="273" t="str">
        <f>IF(OR(BI65&gt;0,COUNTIF($BG$2:$BG$46,"魔能祈唤-融身入影")),"魔能祈唤-融身入影","")</f>
        <v/>
      </c>
      <c r="W56" s="273" t="s">
        <v>2550</v>
      </c>
      <c r="X56" s="302" t="s">
        <v>2551</v>
      </c>
      <c r="Y56" s="302" t="s">
        <v>2552</v>
      </c>
      <c r="Z56" s="287" t="s">
        <v>2553</v>
      </c>
      <c r="AA56" s="300" t="s">
        <v>2554</v>
      </c>
      <c r="AB56" s="119"/>
      <c r="AC56" s="119"/>
      <c r="AD56" s="119"/>
      <c r="AE56" s="119"/>
      <c r="AF56" s="119"/>
      <c r="AL56" s="157" t="e">
        <f t="array" ref="AL56">INDEX(AK:AK,SMALL(IF($AK$18:$AK$35&lt;&gt;"",ROW($18:$35),36),ROW(AK16)))&amp;""</f>
        <v>#N/A</v>
      </c>
      <c r="AM56" s="248" t="s">
        <v>2555</v>
      </c>
      <c r="AN56" s="248"/>
      <c r="AO56" s="248">
        <v>98</v>
      </c>
      <c r="AP56" s="288">
        <f>IF($AG$6&gt;=18,110,IF($AG$6&gt;=15,109,IF($AG$6&gt;=10,108,IF($AG$6&gt;=7,107,IF($AG$6&gt;=3,104,0)))))</f>
        <v>0</v>
      </c>
      <c r="AQ56" s="115" t="e">
        <f t="shared" si="19"/>
        <v>#N/A</v>
      </c>
      <c r="AR56" s="119" t="e">
        <f t="shared" si="20"/>
        <v>#N/A</v>
      </c>
      <c r="AS56" s="119" t="e">
        <f t="shared" si="21"/>
        <v>#N/A</v>
      </c>
      <c r="AT56" s="116" t="e">
        <f t="shared" si="22"/>
        <v>#N/A</v>
      </c>
      <c r="AU56" s="115" t="e">
        <f t="shared" si="23"/>
        <v>#N/A</v>
      </c>
      <c r="AV56" s="119" t="e">
        <f t="shared" si="24"/>
        <v>#N/A</v>
      </c>
      <c r="AW56" s="119" t="e">
        <f t="shared" si="25"/>
        <v>#N/A</v>
      </c>
      <c r="AX56" s="116" t="e">
        <f t="shared" si="26"/>
        <v>#N/A</v>
      </c>
      <c r="AY56" s="115" t="e">
        <f t="shared" si="27"/>
        <v>#N/A</v>
      </c>
      <c r="AZ56" s="119" t="e">
        <f t="shared" si="28"/>
        <v>#N/A</v>
      </c>
      <c r="BA56" s="119" t="e">
        <f t="shared" si="29"/>
        <v>#N/A</v>
      </c>
      <c r="BB56" s="116" t="e">
        <f t="shared" si="30"/>
        <v>#N/A</v>
      </c>
      <c r="BC56" s="118" t="str">
        <f>IFERROR(INDEX($AQ$12:$BF$87,46,$BC$2),"")</f>
        <v/>
      </c>
      <c r="BD56" s="119" t="str">
        <f>IFERROR(INDEX($AQ$12:$BF$87,46,$BD$2),"")</f>
        <v/>
      </c>
      <c r="BE56" s="250" t="str">
        <f t="shared" si="18"/>
        <v/>
      </c>
      <c r="BF56" s="198" t="str">
        <f t="array" ref="BF56">INDEX(BE:BE,SMALL(IF($BE$2:$BE$143&lt;&gt;"",ROW($2:$143),144),ROW(BE55)))&amp;""</f>
        <v/>
      </c>
      <c r="BG56" s="305" t="s">
        <v>2038</v>
      </c>
      <c r="BH56" s="130">
        <f>COUNTIF($BG$2:$BG$46,"结社法术-*")</f>
        <v>0</v>
      </c>
      <c r="BI56" s="306" t="s">
        <v>2556</v>
      </c>
      <c r="BJ56" s="130"/>
      <c r="BK56" s="130"/>
      <c r="BL56" s="130"/>
      <c r="BM56" s="130"/>
      <c r="BN56" s="130"/>
      <c r="BO56" s="130"/>
      <c r="BP56" s="130"/>
      <c r="BQ56" s="130"/>
      <c r="BR56" s="130"/>
      <c r="BS56" s="130"/>
      <c r="BT56" s="130"/>
      <c r="BU56" s="130"/>
      <c r="BV56" s="130"/>
      <c r="BW56" s="130"/>
      <c r="BX56" s="130"/>
      <c r="BY56" s="130"/>
      <c r="BZ56" s="130"/>
    </row>
    <row r="57" spans="1:78" ht="14.4" customHeight="1" x14ac:dyDescent="0.25">
      <c r="A57" s="156">
        <v>41</v>
      </c>
      <c r="B57" s="290" t="s">
        <v>2557</v>
      </c>
      <c r="C57" s="290" t="s">
        <v>2558</v>
      </c>
      <c r="D57" s="297" t="s">
        <v>2559</v>
      </c>
      <c r="E57" s="297" t="s">
        <v>2560</v>
      </c>
      <c r="F57" s="293" t="str">
        <f>IF(OR(BH55&lt;1,COUNTIF($BG$2:$BG$46,"神圣打击")),"神圣打击","")</f>
        <v>神圣打击</v>
      </c>
      <c r="G57" s="293" t="s">
        <v>2561</v>
      </c>
      <c r="H57" s="293" t="s">
        <v>2562</v>
      </c>
      <c r="I57" s="293" t="s">
        <v>2563</v>
      </c>
      <c r="J57" s="307" t="str">
        <f>IF(AND(综合数据!B14=TRUE,OR(BI55&gt;0,COUNTIF($BG$2:$BG$46,"战技-突袭"))),"战技-突袭","")</f>
        <v/>
      </c>
      <c r="K57" s="291" t="s">
        <v>2564</v>
      </c>
      <c r="L57" s="296" t="str">
        <f>IF(OR(BI61&gt;0,COUNTIF($BG$2:$BG$46,"法门-身化长流")),"法门-身化长流","")</f>
        <v/>
      </c>
      <c r="M57" s="296" t="s">
        <v>2565</v>
      </c>
      <c r="N57" s="296" t="s">
        <v>2566</v>
      </c>
      <c r="O57" s="296" t="s">
        <v>2567</v>
      </c>
      <c r="P57" s="205" t="str">
        <f>IF(OR(BH64&lt;1,COUNTIF($BG$2:$BG$46,"高效猎人防术-反射闪避")),"高效猎人防术-反射闪避","")</f>
        <v>高效猎人防术-反射闪避</v>
      </c>
      <c r="Q57" s="205" t="s">
        <v>2568</v>
      </c>
      <c r="R57" s="297" t="s">
        <v>2569</v>
      </c>
      <c r="S57" s="297" t="s">
        <v>2570</v>
      </c>
      <c r="T57" s="293" t="s">
        <v>2571</v>
      </c>
      <c r="U57" s="293" t="s">
        <v>2572</v>
      </c>
      <c r="V57" s="273" t="str">
        <f>IF(OR(BI65&gt;0,COUNTIF($BG$2:$BG$46,"魔能祈唤-凶兆符记")),"魔能祈唤-凶兆符记","")</f>
        <v/>
      </c>
      <c r="W57" s="273" t="s">
        <v>2573</v>
      </c>
      <c r="X57" s="302" t="s">
        <v>2574</v>
      </c>
      <c r="Y57" s="302" t="s">
        <v>2575</v>
      </c>
      <c r="Z57" s="290" t="s">
        <v>2438</v>
      </c>
      <c r="AA57" s="308" t="s">
        <v>2576</v>
      </c>
      <c r="AB57" s="119"/>
      <c r="AC57" s="119"/>
      <c r="AD57" s="119"/>
      <c r="AE57" s="119"/>
      <c r="AF57" s="119"/>
      <c r="AL57" s="157" t="e">
        <f t="array" ref="AL57">INDEX(AK:AK,SMALL(IF($AK$18:$AK$35&lt;&gt;"",ROW($18:$35),36),ROW(AK17)))&amp;""</f>
        <v>#N/A</v>
      </c>
      <c r="AM57" s="248" t="s">
        <v>2577</v>
      </c>
      <c r="AN57" s="248"/>
      <c r="AO57" s="248">
        <v>111</v>
      </c>
      <c r="AP57" s="288">
        <f>IF($AG$6&gt;=18,120,IF($AG$6&gt;=15,119,IF($AG$6&gt;=10,118,IF($AG$6&gt;=7,117,IF($AG$6&gt;=3,114,0)))))</f>
        <v>0</v>
      </c>
      <c r="AQ57" s="115" t="e">
        <f t="shared" si="19"/>
        <v>#N/A</v>
      </c>
      <c r="AR57" s="119" t="e">
        <f t="shared" si="20"/>
        <v>#N/A</v>
      </c>
      <c r="AS57" s="119" t="e">
        <f t="shared" si="21"/>
        <v>#N/A</v>
      </c>
      <c r="AT57" s="116" t="e">
        <f t="shared" si="22"/>
        <v>#N/A</v>
      </c>
      <c r="AU57" s="115" t="e">
        <f t="shared" si="23"/>
        <v>#N/A</v>
      </c>
      <c r="AV57" s="119" t="e">
        <f t="shared" si="24"/>
        <v>#N/A</v>
      </c>
      <c r="AW57" s="119" t="e">
        <f t="shared" si="25"/>
        <v>#N/A</v>
      </c>
      <c r="AX57" s="116" t="e">
        <f t="shared" si="26"/>
        <v>#N/A</v>
      </c>
      <c r="AY57" s="115" t="e">
        <f t="shared" si="27"/>
        <v>#N/A</v>
      </c>
      <c r="AZ57" s="119" t="e">
        <f t="shared" si="28"/>
        <v>#N/A</v>
      </c>
      <c r="BA57" s="119" t="e">
        <f t="shared" si="29"/>
        <v>#N/A</v>
      </c>
      <c r="BB57" s="116" t="e">
        <f t="shared" si="30"/>
        <v>#N/A</v>
      </c>
      <c r="BC57" s="118" t="str">
        <f>IFERROR(INDEX($AQ$12:$BF$87,47,$BC$2),"")</f>
        <v/>
      </c>
      <c r="BD57" s="119" t="str">
        <f>IFERROR(INDEX($AQ$12:$BF$87,47,$BD$2),"")</f>
        <v/>
      </c>
      <c r="BE57" s="250" t="str">
        <f t="shared" si="18"/>
        <v/>
      </c>
      <c r="BF57" s="198" t="str">
        <f t="array" ref="BF57">INDEX(BE:BE,SMALL(IF($BE$2:$BE$143&lt;&gt;"",ROW($2:$143),144),ROW(BE56)))&amp;""</f>
        <v/>
      </c>
      <c r="BG57" s="309" t="s">
        <v>2578</v>
      </c>
      <c r="BH57" s="130">
        <f>COUNTIF($BG$2:$BG$46,"宿敌")+COUNTIF($BG$2:$BG$46,"夙敌")</f>
        <v>0</v>
      </c>
      <c r="BI57" s="310">
        <f>IF(COUNTIF(AD16:AD18,F6),IF(AG6&gt;=18,6,IF(AG6&gt;=15,5,IF(AG6&gt;=10,4,IF(AG6&gt;=7,3,IF(AG6&gt;=3,2,0))))),0)-COUNTIF($BG$2:$BG$46,"奥术射击-*")</f>
        <v>0</v>
      </c>
      <c r="BJ57" s="130"/>
      <c r="BK57" s="130"/>
      <c r="BL57" s="130"/>
      <c r="BM57" s="130"/>
      <c r="BN57" s="130"/>
      <c r="BO57" s="130"/>
      <c r="BP57" s="130"/>
      <c r="BQ57" s="130"/>
      <c r="BR57" s="130"/>
      <c r="BS57" s="130"/>
      <c r="BT57" s="130"/>
      <c r="BU57" s="130"/>
      <c r="BV57" s="130"/>
      <c r="BW57" s="130"/>
      <c r="BX57" s="130"/>
      <c r="BY57" s="130"/>
      <c r="BZ57" s="130"/>
    </row>
    <row r="58" spans="1:78" ht="14.4" customHeight="1" x14ac:dyDescent="0.25">
      <c r="A58" s="156">
        <v>42</v>
      </c>
      <c r="B58" s="290" t="s">
        <v>2579</v>
      </c>
      <c r="C58" s="290" t="s">
        <v>2580</v>
      </c>
      <c r="D58" s="302" t="s">
        <v>2581</v>
      </c>
      <c r="E58" s="302" t="s">
        <v>2582</v>
      </c>
      <c r="F58" s="293" t="s">
        <v>2583</v>
      </c>
      <c r="G58" s="293" t="s">
        <v>2584</v>
      </c>
      <c r="H58" s="293" t="s">
        <v>2585</v>
      </c>
      <c r="I58" s="293" t="s">
        <v>2586</v>
      </c>
      <c r="J58" s="307" t="str">
        <f>IF(AND(综合数据!B14=TRUE,OR(BI55&gt;0,COUNTIF($BG$2:$BG$46,"战技-诱饵战术"))),"战技-诱饵战术","")</f>
        <v/>
      </c>
      <c r="K58" s="291" t="s">
        <v>2587</v>
      </c>
      <c r="L58" s="296" t="str">
        <f>IF(OR(BI61&gt;0,COUNTIF($BG$2:$BG$46,"法门-飞炎击")),"法门-飞炎击","")</f>
        <v/>
      </c>
      <c r="M58" s="296" t="s">
        <v>2588</v>
      </c>
      <c r="N58" s="290" t="s">
        <v>2589</v>
      </c>
      <c r="O58" s="290" t="s">
        <v>2590</v>
      </c>
      <c r="P58" s="205" t="str">
        <f>IF(OR(BH64&lt;1,COUNTIF($BG$2:$BG$46,"高效猎人防术-逆流而上")),"高效猎人防术-逆流而上","")</f>
        <v>高效猎人防术-逆流而上</v>
      </c>
      <c r="Q58" s="205" t="s">
        <v>2591</v>
      </c>
      <c r="R58" s="297" t="s">
        <v>2592</v>
      </c>
      <c r="S58" s="297" t="s">
        <v>2593</v>
      </c>
      <c r="T58" s="297" t="s">
        <v>2594</v>
      </c>
      <c r="U58" s="297" t="s">
        <v>2595</v>
      </c>
      <c r="V58" s="273" t="str">
        <f>IF(OR(BI65&gt;0,COUNTIF($BG$2:$BG$46,"魔能祈唤-饥渴魔刃")),"魔能祈唤-饥渴魔刃","")</f>
        <v/>
      </c>
      <c r="W58" s="273" t="s">
        <v>2596</v>
      </c>
      <c r="X58" s="283" t="s">
        <v>2597</v>
      </c>
      <c r="Y58" s="283" t="s">
        <v>2598</v>
      </c>
      <c r="Z58" s="290" t="s">
        <v>2599</v>
      </c>
      <c r="AA58" s="308" t="s">
        <v>2600</v>
      </c>
      <c r="AB58" s="119"/>
      <c r="AC58" s="119"/>
      <c r="AD58" s="119"/>
      <c r="AE58" s="119"/>
      <c r="AF58" s="119"/>
      <c r="AJ58" s="119"/>
      <c r="AK58" s="119"/>
      <c r="AL58" s="192" t="e">
        <f t="array" ref="AL58">INDEX(AK:AK,SMALL(IF($AK$18:$AK$35&lt;&gt;"",ROW($18:$35),36),ROW(AK18)))&amp;""</f>
        <v>#N/A</v>
      </c>
      <c r="AM58" s="249" t="s">
        <v>1588</v>
      </c>
      <c r="AN58" s="249">
        <v>6</v>
      </c>
      <c r="AO58" s="249">
        <v>1</v>
      </c>
      <c r="AP58" s="276">
        <f>IF($AG$7=20,25,IF($AG$7&gt;=18,24,IF($AG$7&gt;=15,23,IF($AG$7&gt;=14,22,IF($AG$7&gt;=13,21,IF($AG$7&gt;=10,20,IF($AG$7&gt;=7,19,IF($AG$7&gt;=6,17,IF($AG$7&gt;=5,16,IF($AG$7&gt;=4,13,IF($AG$7&gt;=3,11,IF($AG$7&gt;=2,8,IF($AG$7&gt;=1,2,0)))))))))))))</f>
        <v>0</v>
      </c>
      <c r="AQ58" s="115" t="e">
        <f t="shared" si="19"/>
        <v>#N/A</v>
      </c>
      <c r="AR58" s="119" t="e">
        <f t="shared" si="20"/>
        <v>#N/A</v>
      </c>
      <c r="AS58" s="119" t="e">
        <f t="shared" si="21"/>
        <v>#N/A</v>
      </c>
      <c r="AT58" s="116" t="e">
        <f t="shared" si="22"/>
        <v>#N/A</v>
      </c>
      <c r="AU58" s="115" t="e">
        <f t="shared" si="23"/>
        <v>#N/A</v>
      </c>
      <c r="AV58" s="119" t="e">
        <f t="shared" si="24"/>
        <v>#N/A</v>
      </c>
      <c r="AW58" s="119" t="e">
        <f t="shared" si="25"/>
        <v>#N/A</v>
      </c>
      <c r="AX58" s="116" t="e">
        <f t="shared" si="26"/>
        <v>#N/A</v>
      </c>
      <c r="AY58" s="115" t="e">
        <f t="shared" si="27"/>
        <v>#N/A</v>
      </c>
      <c r="AZ58" s="119" t="e">
        <f t="shared" si="28"/>
        <v>#N/A</v>
      </c>
      <c r="BA58" s="119" t="e">
        <f t="shared" si="29"/>
        <v>#N/A</v>
      </c>
      <c r="BB58" s="116" t="e">
        <f t="shared" si="30"/>
        <v>#N/A</v>
      </c>
      <c r="BC58" s="118" t="str">
        <f>IFERROR(INDEX($AQ$12:$BF$87,48,$BC$2),"")</f>
        <v/>
      </c>
      <c r="BD58" s="119" t="str">
        <f>IFERROR(INDEX($AQ$12:$BF$87,48,$BD$2),"")</f>
        <v/>
      </c>
      <c r="BE58" s="250" t="str">
        <f t="shared" ref="BE58:BE84" si="31">IFERROR(IF(OR(BC60="",COUNTIF($BG$2:$BG$46,BC60)),"",BC60),"")</f>
        <v/>
      </c>
      <c r="BF58" s="198" t="str">
        <f t="array" ref="BF58">INDEX(BE:BE,SMALL(IF($BE$2:$BE$143&lt;&gt;"",ROW($2:$143),144),ROW(BE57)))&amp;""</f>
        <v/>
      </c>
      <c r="BG58" s="309" t="s">
        <v>2601</v>
      </c>
      <c r="BH58" s="130">
        <f>COUNTIF($BG$2:$BG$46,"自然探索者")+COUNTIF($BG$2:$BG$46,"熟练探险家")</f>
        <v>0</v>
      </c>
      <c r="BI58" s="308" t="s">
        <v>2602</v>
      </c>
      <c r="BJ58" s="130"/>
      <c r="BK58" s="130"/>
      <c r="BL58" s="130"/>
      <c r="BM58" s="130"/>
      <c r="BN58" s="130"/>
      <c r="BO58" s="130"/>
      <c r="BP58" s="130"/>
      <c r="BQ58" s="130"/>
      <c r="BR58" s="130"/>
      <c r="BS58" s="130"/>
      <c r="BT58" s="130"/>
      <c r="BU58" s="130"/>
      <c r="BV58" s="130"/>
      <c r="BW58" s="130"/>
      <c r="BX58" s="130"/>
      <c r="BY58" s="130"/>
      <c r="BZ58" s="130"/>
    </row>
    <row r="59" spans="1:78" ht="14.4" customHeight="1" x14ac:dyDescent="0.25">
      <c r="A59" s="156">
        <v>43</v>
      </c>
      <c r="B59" s="290" t="s">
        <v>2603</v>
      </c>
      <c r="C59" s="290" t="s">
        <v>2604</v>
      </c>
      <c r="D59" s="302" t="s">
        <v>2605</v>
      </c>
      <c r="E59" s="302" t="s">
        <v>2606</v>
      </c>
      <c r="F59" s="297" t="s">
        <v>2607</v>
      </c>
      <c r="G59" s="297" t="s">
        <v>2608</v>
      </c>
      <c r="H59" s="297" t="s">
        <v>2038</v>
      </c>
      <c r="I59" s="297" t="s">
        <v>2609</v>
      </c>
      <c r="J59" s="307" t="str">
        <f>IF(AND(综合数据!B14=TRUE,OR(BI55&gt;0,COUNTIF($BG$2:$BG$46,"战技-警戒"))),"战技-警戒","")</f>
        <v/>
      </c>
      <c r="K59" s="291" t="s">
        <v>2610</v>
      </c>
      <c r="L59" s="296" t="str">
        <f>IF(OR(BI61&gt;0,COUNTIF($BG$2:$BG$46,"法门-清流鞭")),"法门-清流鞭","")</f>
        <v/>
      </c>
      <c r="M59" s="296" t="s">
        <v>2611</v>
      </c>
      <c r="N59" s="290" t="s">
        <v>2612</v>
      </c>
      <c r="O59" s="290" t="s">
        <v>2613</v>
      </c>
      <c r="P59" s="205" t="str">
        <f>IF(OR(BH64&lt;1,COUNTIF($BG$2:$BG$46,"高效猎人防术-直觉闪避")),"高效猎人防术-直觉闪避","")</f>
        <v>高效猎人防术-直觉闪避</v>
      </c>
      <c r="Q59" s="205" t="s">
        <v>2614</v>
      </c>
      <c r="R59" s="297" t="s">
        <v>2615</v>
      </c>
      <c r="S59" s="297" t="s">
        <v>2616</v>
      </c>
      <c r="T59" s="297" t="s">
        <v>2617</v>
      </c>
      <c r="U59" s="297" t="s">
        <v>2618</v>
      </c>
      <c r="V59" s="274" t="str">
        <f>IF(AND(综合数据!B14=TRUE,OR(BI65&gt;0,COUNTIF($BG$2:$BG$46,"魔能祈唤-飞蝇斗篷"))),"魔能祈唤-飞蝇斗篷","")</f>
        <v/>
      </c>
      <c r="W59" s="274" t="s">
        <v>2619</v>
      </c>
      <c r="X59" s="283" t="s">
        <v>2620</v>
      </c>
      <c r="Y59" s="283" t="s">
        <v>2621</v>
      </c>
      <c r="Z59" s="290" t="s">
        <v>2622</v>
      </c>
      <c r="AA59" s="308" t="s">
        <v>2623</v>
      </c>
      <c r="AB59" s="119"/>
      <c r="AC59" s="119"/>
      <c r="AD59" s="119"/>
      <c r="AE59" s="119"/>
      <c r="AF59" s="119"/>
      <c r="AJ59" s="119"/>
      <c r="AK59" s="119"/>
      <c r="AL59" s="130"/>
      <c r="AM59" s="106" t="s">
        <v>1589</v>
      </c>
      <c r="AN59" s="106"/>
      <c r="AO59" s="106">
        <v>26</v>
      </c>
      <c r="AP59" s="116">
        <f>IF($AG$7&gt;=17,29,IF($AG$7&gt;=11,28,IF($AG$7&gt;=6,27,IF($AG$7&gt;=3,26,0))))</f>
        <v>0</v>
      </c>
      <c r="AQ59" s="115" t="e">
        <f t="shared" si="19"/>
        <v>#N/A</v>
      </c>
      <c r="AR59" s="119" t="e">
        <f t="shared" si="20"/>
        <v>#N/A</v>
      </c>
      <c r="AS59" s="119" t="e">
        <f t="shared" si="21"/>
        <v>#N/A</v>
      </c>
      <c r="AT59" s="116" t="e">
        <f t="shared" si="22"/>
        <v>#N/A</v>
      </c>
      <c r="AU59" s="115" t="e">
        <f t="shared" si="23"/>
        <v>#N/A</v>
      </c>
      <c r="AV59" s="119" t="e">
        <f t="shared" si="24"/>
        <v>#N/A</v>
      </c>
      <c r="AW59" s="119" t="e">
        <f t="shared" si="25"/>
        <v>#N/A</v>
      </c>
      <c r="AX59" s="116" t="e">
        <f t="shared" si="26"/>
        <v>#N/A</v>
      </c>
      <c r="AY59" s="115" t="e">
        <f t="shared" si="27"/>
        <v>#N/A</v>
      </c>
      <c r="AZ59" s="119" t="e">
        <f t="shared" si="28"/>
        <v>#N/A</v>
      </c>
      <c r="BA59" s="119" t="e">
        <f t="shared" si="29"/>
        <v>#N/A</v>
      </c>
      <c r="BB59" s="116" t="e">
        <f t="shared" si="30"/>
        <v>#N/A</v>
      </c>
      <c r="BC59" s="118" t="str">
        <f>IFERROR(INDEX($AQ$12:$BF$87,49,$BC$2),"")</f>
        <v/>
      </c>
      <c r="BD59" s="119" t="str">
        <f>IFERROR(INDEX($AQ$12:$BF$87,49,$BD$2),"")</f>
        <v/>
      </c>
      <c r="BE59" s="250" t="str">
        <f t="shared" si="31"/>
        <v/>
      </c>
      <c r="BF59" s="198" t="str">
        <f t="array" ref="BF59">INDEX(BE:BE,SMALL(IF($BE$2:$BE$143&lt;&gt;"",ROW($2:$143),144),ROW(BE58)))&amp;""</f>
        <v/>
      </c>
      <c r="BG59" s="309" t="s">
        <v>2624</v>
      </c>
      <c r="BH59" s="130">
        <f>COUNTIF($BG$2:$BG$46,"原初意识")+COUNTIF($BG$2:$BG$46,"原始意识")</f>
        <v>0</v>
      </c>
      <c r="BI59" s="311">
        <f>IF(COUNTIF(AD16:AD18,J6),IF(AG6&gt;=15,5,IF(AG6&gt;=10,4,IF(AG6&gt;=7,3,IF(AG6&gt;=3,2,0)))),0)-COUNTIF($BG$2:$BG$46,"符文-*")</f>
        <v>0</v>
      </c>
      <c r="BJ59" s="130"/>
      <c r="BK59" s="130"/>
      <c r="BL59" s="130"/>
      <c r="BM59" s="130"/>
      <c r="BN59" s="130"/>
      <c r="BO59" s="130"/>
      <c r="BP59" s="130"/>
      <c r="BQ59" s="130"/>
      <c r="BR59" s="130"/>
      <c r="BS59" s="130"/>
      <c r="BT59" s="130"/>
      <c r="BU59" s="130"/>
      <c r="BV59" s="130"/>
      <c r="BW59" s="130"/>
      <c r="BX59" s="130"/>
      <c r="BY59" s="130"/>
      <c r="BZ59" s="130"/>
    </row>
    <row r="60" spans="1:78" ht="14.4" customHeight="1" x14ac:dyDescent="0.25">
      <c r="A60" s="156">
        <v>44</v>
      </c>
      <c r="B60" s="293" t="s">
        <v>2625</v>
      </c>
      <c r="C60" s="293" t="s">
        <v>2626</v>
      </c>
      <c r="D60" s="302" t="s">
        <v>2627</v>
      </c>
      <c r="E60" s="302" t="s">
        <v>2628</v>
      </c>
      <c r="F60" s="297" t="s">
        <v>2161</v>
      </c>
      <c r="G60" s="297" t="s">
        <v>2629</v>
      </c>
      <c r="H60" s="297" t="s">
        <v>2630</v>
      </c>
      <c r="I60" s="297" t="s">
        <v>2631</v>
      </c>
      <c r="J60" s="307" t="str">
        <f>IF(AND(综合数据!B14=TRUE,OR(BI55&gt;0,COUNTIF($BG$2:$BG$46,"战技-领导风范"))),"战技-领导风范","")</f>
        <v/>
      </c>
      <c r="K60" s="291" t="s">
        <v>2632</v>
      </c>
      <c r="L60" s="296" t="str">
        <f>IF(OR(BI61&gt;0,COUNTIF($BG$2:$BG$46,"法门-北风之握")),"法门-北风之握","")</f>
        <v/>
      </c>
      <c r="M60" s="296" t="s">
        <v>2633</v>
      </c>
      <c r="N60" s="290" t="s">
        <v>2634</v>
      </c>
      <c r="O60" s="290" t="s">
        <v>2635</v>
      </c>
      <c r="P60" s="207" t="str">
        <f>IF(OR(BH65&lt;1,COUNTIF($BG$2:$BG$46,"游侠伴侣")),"游侠伴侣","")</f>
        <v>游侠伴侣</v>
      </c>
      <c r="Q60" s="207" t="s">
        <v>2636</v>
      </c>
      <c r="R60" s="302" t="s">
        <v>2637</v>
      </c>
      <c r="S60" s="302" t="s">
        <v>2638</v>
      </c>
      <c r="T60" s="297" t="s">
        <v>2639</v>
      </c>
      <c r="U60" s="297" t="s">
        <v>2640</v>
      </c>
      <c r="V60" s="274" t="str">
        <f>IF(AND(综合数据!B14=TRUE,COUNTIF(BG2:BG44,"*刃之魔契"),OR(BI65&gt;0,COUNTIF($BG$2:$BG$46,"魔能祈唤-魔能斩击"))),"魔能祈唤-魔能斩击","")</f>
        <v/>
      </c>
      <c r="W60" s="278" t="s">
        <v>2641</v>
      </c>
      <c r="X60" s="283" t="s">
        <v>2642</v>
      </c>
      <c r="Y60" s="283" t="s">
        <v>2643</v>
      </c>
      <c r="Z60" s="312" t="s">
        <v>2644</v>
      </c>
      <c r="AA60" s="313" t="s">
        <v>2645</v>
      </c>
      <c r="AB60" s="314"/>
      <c r="AC60" s="314"/>
      <c r="AD60" s="314"/>
      <c r="AE60" s="314"/>
      <c r="AF60" s="314"/>
      <c r="AJ60" s="314"/>
      <c r="AK60" s="314"/>
      <c r="AL60" s="130"/>
      <c r="AM60" s="115" t="s">
        <v>1590</v>
      </c>
      <c r="AN60" s="106"/>
      <c r="AO60" s="106">
        <v>30</v>
      </c>
      <c r="AP60" s="116">
        <f>IF($AG$7&gt;=17,33,IF($AG$7&gt;=11,32,IF($AG$7&gt;=6,31,IF($AG$7&gt;=3,30,0))))</f>
        <v>0</v>
      </c>
      <c r="AQ60" s="115" t="e">
        <f t="shared" si="19"/>
        <v>#N/A</v>
      </c>
      <c r="AR60" s="119" t="e">
        <f t="shared" si="20"/>
        <v>#N/A</v>
      </c>
      <c r="AS60" s="119" t="e">
        <f t="shared" si="21"/>
        <v>#N/A</v>
      </c>
      <c r="AT60" s="116" t="e">
        <f t="shared" si="22"/>
        <v>#N/A</v>
      </c>
      <c r="AU60" s="115" t="e">
        <f t="shared" si="23"/>
        <v>#N/A</v>
      </c>
      <c r="AV60" s="119" t="e">
        <f t="shared" si="24"/>
        <v>#N/A</v>
      </c>
      <c r="AW60" s="119" t="e">
        <f t="shared" si="25"/>
        <v>#N/A</v>
      </c>
      <c r="AX60" s="116" t="e">
        <f t="shared" si="26"/>
        <v>#N/A</v>
      </c>
      <c r="AY60" s="115" t="e">
        <f t="shared" si="27"/>
        <v>#N/A</v>
      </c>
      <c r="AZ60" s="119" t="e">
        <f t="shared" si="28"/>
        <v>#N/A</v>
      </c>
      <c r="BA60" s="119" t="e">
        <f t="shared" si="29"/>
        <v>#N/A</v>
      </c>
      <c r="BB60" s="116" t="e">
        <f t="shared" si="30"/>
        <v>#N/A</v>
      </c>
      <c r="BC60" s="118" t="str">
        <f>IFERROR(INDEX($AQ$12:$BF$87,50,$BC$2),"")</f>
        <v/>
      </c>
      <c r="BD60" s="119" t="str">
        <f>IFERROR(INDEX($AQ$12:$BF$87,50,$BD$2),"")</f>
        <v/>
      </c>
      <c r="BE60" s="250" t="str">
        <f t="shared" si="31"/>
        <v/>
      </c>
      <c r="BF60" s="198" t="str">
        <f t="array" ref="BF60">INDEX(BE:BE,SMALL(IF($BE$2:$BE$143&lt;&gt;"",ROW($2:$143),144),ROW(BE59)))&amp;""</f>
        <v/>
      </c>
      <c r="BG60" s="309" t="s">
        <v>2646</v>
      </c>
      <c r="BH60" s="130">
        <f>COUNTIF($BG$2:$BG$46,"遁术")+COUNTIF($BG$2:$BG$46,"自然面纱")</f>
        <v>0</v>
      </c>
      <c r="BI60" s="308" t="s">
        <v>2426</v>
      </c>
      <c r="BJ60" s="130"/>
      <c r="BK60" s="130"/>
      <c r="BL60" s="130"/>
      <c r="BM60" s="130"/>
      <c r="BN60" s="130"/>
      <c r="BO60" s="130"/>
      <c r="BP60" s="130"/>
      <c r="BQ60" s="130"/>
      <c r="BR60" s="130"/>
      <c r="BS60" s="130"/>
      <c r="BT60" s="130"/>
      <c r="BU60" s="130"/>
      <c r="BV60" s="130"/>
      <c r="BW60" s="130"/>
      <c r="BX60" s="130"/>
      <c r="BY60" s="130"/>
      <c r="BZ60" s="130"/>
    </row>
    <row r="61" spans="1:78" ht="14.4" customHeight="1" x14ac:dyDescent="0.25">
      <c r="A61" s="156">
        <v>45</v>
      </c>
      <c r="B61" s="293" t="s">
        <v>2647</v>
      </c>
      <c r="C61" s="293" t="s">
        <v>2648</v>
      </c>
      <c r="D61" s="302" t="s">
        <v>2649</v>
      </c>
      <c r="E61" s="302" t="s">
        <v>2650</v>
      </c>
      <c r="F61" s="297" t="s">
        <v>2651</v>
      </c>
      <c r="G61" s="297" t="s">
        <v>2652</v>
      </c>
      <c r="H61" s="297" t="s">
        <v>2653</v>
      </c>
      <c r="I61" s="297" t="s">
        <v>2654</v>
      </c>
      <c r="J61" s="307" t="str">
        <f>IF(AND(综合数据!B14=TRUE,OR(BI55&gt;0,COUNTIF($BG$2:$BG$46,"战技-擒拿击"))),"战技-擒拿击","")</f>
        <v/>
      </c>
      <c r="K61" s="291" t="s">
        <v>2655</v>
      </c>
      <c r="L61" s="296" t="str">
        <f>IF(OR(BI61&gt;0,COUNTIF($BG$2:$BG$46,"法门-狮吼功")),"法门-狮吼功","")</f>
        <v/>
      </c>
      <c r="M61" s="296" t="s">
        <v>2656</v>
      </c>
      <c r="N61" s="293" t="s">
        <v>2657</v>
      </c>
      <c r="O61" s="293" t="s">
        <v>2658</v>
      </c>
      <c r="P61" s="307" t="str">
        <f>IF(AND(综合数据!B14=TRUE,OR(BH65&lt;1,COUNTIF($BG$2:$BG$46,"原初伴侣"))),"原初伴侣","")</f>
        <v>原初伴侣</v>
      </c>
      <c r="Q61" s="207" t="s">
        <v>2659</v>
      </c>
      <c r="R61" s="302" t="s">
        <v>2660</v>
      </c>
      <c r="S61" s="302" t="s">
        <v>2661</v>
      </c>
      <c r="T61" s="297" t="s">
        <v>2662</v>
      </c>
      <c r="U61" s="297" t="s">
        <v>2663</v>
      </c>
      <c r="V61" s="274" t="str">
        <f>IF(AND(综合数据!B14=TRUE,OR(BI65&gt;0,COUNTIF($BG$2:$BG$46,"魔能祈唤-深海赠礼"))),"魔能祈唤-深海赠礼","")</f>
        <v/>
      </c>
      <c r="W61" s="273" t="s">
        <v>2664</v>
      </c>
      <c r="X61" s="283" t="s">
        <v>2665</v>
      </c>
      <c r="Y61" s="283" t="s">
        <v>2666</v>
      </c>
      <c r="Z61" s="312" t="s">
        <v>2667</v>
      </c>
      <c r="AA61" s="313" t="s">
        <v>2668</v>
      </c>
      <c r="AB61" s="314"/>
      <c r="AC61" s="314"/>
      <c r="AD61" s="314"/>
      <c r="AE61" s="314"/>
      <c r="AF61" s="314"/>
      <c r="AJ61" s="314"/>
      <c r="AK61" s="314"/>
      <c r="AL61" s="130"/>
      <c r="AM61" s="115" t="s">
        <v>1591</v>
      </c>
      <c r="AN61" s="106"/>
      <c r="AO61" s="106">
        <v>34</v>
      </c>
      <c r="AP61" s="116">
        <f>IF($AG$7&gt;=17,52,IF($AG$7&gt;=11,48,IF($AG$7&gt;=6,45,IF($AG$7&gt;=3,43,0))))</f>
        <v>0</v>
      </c>
      <c r="AQ61" s="115" t="e">
        <f t="shared" si="19"/>
        <v>#N/A</v>
      </c>
      <c r="AR61" s="119" t="e">
        <f t="shared" si="20"/>
        <v>#N/A</v>
      </c>
      <c r="AS61" s="119" t="e">
        <f t="shared" si="21"/>
        <v>#N/A</v>
      </c>
      <c r="AT61" s="116" t="e">
        <f t="shared" si="22"/>
        <v>#N/A</v>
      </c>
      <c r="AU61" s="115" t="e">
        <f t="shared" si="23"/>
        <v>#N/A</v>
      </c>
      <c r="AV61" s="119" t="e">
        <f t="shared" si="24"/>
        <v>#N/A</v>
      </c>
      <c r="AW61" s="119" t="e">
        <f t="shared" si="25"/>
        <v>#N/A</v>
      </c>
      <c r="AX61" s="116" t="e">
        <f t="shared" si="26"/>
        <v>#N/A</v>
      </c>
      <c r="AY61" s="115" t="e">
        <f t="shared" si="27"/>
        <v>#N/A</v>
      </c>
      <c r="AZ61" s="119" t="e">
        <f t="shared" si="28"/>
        <v>#N/A</v>
      </c>
      <c r="BA61" s="119" t="e">
        <f t="shared" si="29"/>
        <v>#N/A</v>
      </c>
      <c r="BB61" s="116" t="e">
        <f t="shared" si="30"/>
        <v>#N/A</v>
      </c>
      <c r="BC61" s="118" t="str">
        <f>IFERROR(INDEX($AQ$12:$BF$87,51,$BC$2),"")</f>
        <v/>
      </c>
      <c r="BD61" s="119" t="str">
        <f>IFERROR(INDEX($AQ$12:$BF$87,51,$BD$2),"")</f>
        <v/>
      </c>
      <c r="BE61" s="250" t="str">
        <f t="shared" si="31"/>
        <v/>
      </c>
      <c r="BF61" s="198" t="str">
        <f t="array" ref="BF61">INDEX(BE:BE,SMALL(IF($BE$2:$BE$143&lt;&gt;"",ROW($2:$143),144),ROW(BE60)))&amp;""</f>
        <v/>
      </c>
      <c r="BG61" s="305" t="s">
        <v>2300</v>
      </c>
      <c r="BH61" s="130">
        <f>COUNTIF($BG$2:$BG$46,"猎物-*")</f>
        <v>0</v>
      </c>
      <c r="BI61" s="155">
        <f>IF(COUNTIF(AD16:AD18,D7),IF(AG7&gt;=17,5,IF(AG7&gt;=11,4,IF(AG7&gt;=6,3,IF(AG7&gt;=3,2,0)))),0)-COUNTIF($BG$2:$BG$46,"法门-*")</f>
        <v>0</v>
      </c>
      <c r="BJ61" s="130"/>
      <c r="BK61" s="130"/>
      <c r="BL61" s="130"/>
      <c r="BM61" s="130"/>
      <c r="BN61" s="130"/>
      <c r="BO61" s="130"/>
      <c r="BP61" s="130"/>
      <c r="BQ61" s="130"/>
      <c r="BR61" s="130"/>
      <c r="BS61" s="130"/>
      <c r="BT61" s="130"/>
      <c r="BU61" s="130"/>
      <c r="BV61" s="130"/>
      <c r="BW61" s="130"/>
      <c r="BX61" s="130"/>
      <c r="BY61" s="130"/>
      <c r="BZ61" s="130"/>
    </row>
    <row r="62" spans="1:78" ht="14.4" customHeight="1" x14ac:dyDescent="0.25">
      <c r="A62" s="156">
        <v>46</v>
      </c>
      <c r="B62" s="293" t="s">
        <v>2669</v>
      </c>
      <c r="C62" s="293" t="s">
        <v>2670</v>
      </c>
      <c r="D62" s="302" t="s">
        <v>2671</v>
      </c>
      <c r="E62" s="302" t="s">
        <v>2672</v>
      </c>
      <c r="F62" s="315" t="s">
        <v>2673</v>
      </c>
      <c r="G62" s="315" t="s">
        <v>2674</v>
      </c>
      <c r="H62" s="297" t="s">
        <v>2675</v>
      </c>
      <c r="I62" s="297" t="s">
        <v>2676</v>
      </c>
      <c r="J62" s="307" t="str">
        <f>IF(AND(综合数据!B14=TRUE,OR(BI55&gt;0,COUNTIF($BG$2:$BG$46,"战技-快手投掷"))),"战技-快手投掷","")</f>
        <v/>
      </c>
      <c r="K62" s="291" t="s">
        <v>2677</v>
      </c>
      <c r="L62" s="296" t="str">
        <f>IF(OR(BI61&gt;0,COUNTIF($BG$2:$BG$46,"法门-凤凰烈焰")),"法门-凤凰烈焰","")</f>
        <v/>
      </c>
      <c r="M62" s="296" t="s">
        <v>2678</v>
      </c>
      <c r="N62" s="316" t="s">
        <v>2679</v>
      </c>
      <c r="O62" s="316" t="s">
        <v>2680</v>
      </c>
      <c r="P62" s="287" t="s">
        <v>2681</v>
      </c>
      <c r="Q62" s="287" t="s">
        <v>2682</v>
      </c>
      <c r="R62" s="302" t="s">
        <v>2683</v>
      </c>
      <c r="S62" s="302" t="s">
        <v>2684</v>
      </c>
      <c r="T62" s="297" t="s">
        <v>2685</v>
      </c>
      <c r="U62" s="297" t="s">
        <v>2686</v>
      </c>
      <c r="V62" s="274" t="str">
        <f>IF(AND(综合数据!B14=TRUE,OR(COUNTIF(法术数据!AK2:AK301,法术数据!B8)&gt;=1,COUNTIF(BG2:BG44,"*凶兆符记"),COUNTIF(AD16:AD18,G12)),OR(BI65&gt;0,COUNTIF($BG$2:$BG$46,"魔能祈唤-癫狂巫咒"))),"魔能祈唤-癫狂巫咒","")</f>
        <v/>
      </c>
      <c r="W62" s="278" t="s">
        <v>2687</v>
      </c>
      <c r="X62" s="283" t="s">
        <v>2688</v>
      </c>
      <c r="Y62" s="283" t="s">
        <v>2689</v>
      </c>
      <c r="Z62" s="312" t="s">
        <v>2690</v>
      </c>
      <c r="AA62" s="313" t="s">
        <v>2691</v>
      </c>
      <c r="AB62" s="314"/>
      <c r="AC62" s="314"/>
      <c r="AD62" s="314"/>
      <c r="AE62" s="314"/>
      <c r="AF62" s="314"/>
      <c r="AJ62" s="314"/>
      <c r="AK62" s="314"/>
      <c r="AL62" s="130"/>
      <c r="AM62" s="317" t="s">
        <v>2692</v>
      </c>
      <c r="AN62" s="258"/>
      <c r="AO62" s="258">
        <v>53</v>
      </c>
      <c r="AP62" s="318">
        <f>IF($AG$7&gt;=17,56,IF($AG$7&gt;=11,55,IF($AG$7&gt;=6,54,IF($AG$7&gt;=3,53,0))))</f>
        <v>0</v>
      </c>
      <c r="AQ62" s="115" t="e">
        <f t="shared" si="19"/>
        <v>#N/A</v>
      </c>
      <c r="AR62" s="119" t="e">
        <f t="shared" si="20"/>
        <v>#N/A</v>
      </c>
      <c r="AS62" s="119" t="e">
        <f t="shared" si="21"/>
        <v>#N/A</v>
      </c>
      <c r="AT62" s="116" t="e">
        <f t="shared" si="22"/>
        <v>#N/A</v>
      </c>
      <c r="AU62" s="115" t="e">
        <f t="shared" si="23"/>
        <v>#N/A</v>
      </c>
      <c r="AV62" s="119" t="e">
        <f t="shared" si="24"/>
        <v>#N/A</v>
      </c>
      <c r="AW62" s="119" t="e">
        <f t="shared" si="25"/>
        <v>#N/A</v>
      </c>
      <c r="AX62" s="116" t="e">
        <f t="shared" si="26"/>
        <v>#N/A</v>
      </c>
      <c r="AY62" s="115" t="e">
        <f t="shared" si="27"/>
        <v>#N/A</v>
      </c>
      <c r="AZ62" s="119" t="e">
        <f t="shared" si="28"/>
        <v>#N/A</v>
      </c>
      <c r="BA62" s="119" t="e">
        <f t="shared" si="29"/>
        <v>#N/A</v>
      </c>
      <c r="BB62" s="116" t="e">
        <f t="shared" si="30"/>
        <v>#N/A</v>
      </c>
      <c r="BC62" s="118" t="str">
        <f>IFERROR(INDEX($AQ$12:$BF$87,52,$BC$2),"")</f>
        <v/>
      </c>
      <c r="BD62" s="119" t="str">
        <f>IFERROR(INDEX($AQ$12:$BF$87,52,$BD$2),"")</f>
        <v/>
      </c>
      <c r="BE62" s="250" t="str">
        <f t="shared" si="31"/>
        <v/>
      </c>
      <c r="BF62" s="198" t="str">
        <f t="array" ref="BF62">INDEX(BE:BE,SMALL(IF($BE$2:$BE$143&lt;&gt;"",ROW($2:$143),144),ROW(BE61)))&amp;""</f>
        <v/>
      </c>
      <c r="BG62" s="305" t="s">
        <v>2386</v>
      </c>
      <c r="BH62" s="130">
        <f>COUNTIF($BG$2:$BG$46,"防守战术-*")</f>
        <v>0</v>
      </c>
      <c r="BI62" s="116" t="s">
        <v>1959</v>
      </c>
      <c r="BJ62" s="130"/>
      <c r="BK62" s="130"/>
      <c r="BL62" s="130"/>
      <c r="BM62" s="130"/>
      <c r="BN62" s="130"/>
      <c r="BO62" s="130"/>
      <c r="BP62" s="130"/>
      <c r="BQ62" s="130"/>
      <c r="BR62" s="130"/>
      <c r="BS62" s="130"/>
      <c r="BT62" s="130"/>
      <c r="BU62" s="130"/>
      <c r="BV62" s="130"/>
      <c r="BW62" s="130"/>
      <c r="BX62" s="130"/>
      <c r="BY62" s="130"/>
      <c r="BZ62" s="130"/>
    </row>
    <row r="63" spans="1:78" ht="14.4" customHeight="1" x14ac:dyDescent="0.25">
      <c r="A63" s="156">
        <v>47</v>
      </c>
      <c r="B63" s="293" t="s">
        <v>2693</v>
      </c>
      <c r="C63" s="293" t="s">
        <v>2694</v>
      </c>
      <c r="D63" s="283" t="s">
        <v>2695</v>
      </c>
      <c r="E63" s="283" t="s">
        <v>2696</v>
      </c>
      <c r="F63" s="297" t="s">
        <v>2697</v>
      </c>
      <c r="G63" s="297" t="s">
        <v>2698</v>
      </c>
      <c r="H63" s="297" t="s">
        <v>2699</v>
      </c>
      <c r="I63" s="297" t="s">
        <v>2700</v>
      </c>
      <c r="J63" s="307" t="str">
        <f>IF(AND(综合数据!B14=TRUE,OR(BI55&gt;0,COUNTIF($BG$2:$BG$46,"战技-战术预估"))),"战技-战术预估","")</f>
        <v/>
      </c>
      <c r="K63" s="291" t="s">
        <v>2701</v>
      </c>
      <c r="L63" s="296" t="str">
        <f>IF(OR(BI61&gt;0,COUNTIF($BG$2:$BG$46,"法门-云雾势")),"法门-云雾势","")</f>
        <v/>
      </c>
      <c r="M63" s="296" t="s">
        <v>2702</v>
      </c>
      <c r="N63" s="316" t="s">
        <v>2703</v>
      </c>
      <c r="O63" s="316" t="s">
        <v>2704</v>
      </c>
      <c r="P63" s="287" t="s">
        <v>2705</v>
      </c>
      <c r="Q63" s="287" t="s">
        <v>2706</v>
      </c>
      <c r="R63" s="302" t="s">
        <v>2707</v>
      </c>
      <c r="S63" s="302" t="s">
        <v>2708</v>
      </c>
      <c r="T63" s="302" t="s">
        <v>2709</v>
      </c>
      <c r="U63" s="302" t="s">
        <v>2710</v>
      </c>
      <c r="V63" s="274" t="str">
        <f>IF(AND(综合数据!B14=TRUE,OR(BI65&gt;0,COUNTIF($BG$2:$BG$46,"魔能祈唤-莱维斯图斯之墓"))),"魔能祈唤-莱维斯图斯之墓","")</f>
        <v/>
      </c>
      <c r="W63" s="273" t="s">
        <v>2711</v>
      </c>
      <c r="X63" s="287" t="s">
        <v>2712</v>
      </c>
      <c r="Y63" s="287" t="s">
        <v>2713</v>
      </c>
      <c r="Z63" s="290" t="s">
        <v>2714</v>
      </c>
      <c r="AA63" s="308" t="s">
        <v>2715</v>
      </c>
      <c r="AB63" s="119"/>
      <c r="AC63" s="119"/>
      <c r="AD63" s="119"/>
      <c r="AE63" s="119"/>
      <c r="AF63" s="119"/>
      <c r="AG63" s="119"/>
      <c r="AH63" s="119"/>
      <c r="AI63" s="119"/>
      <c r="AJ63" s="119"/>
      <c r="AK63" s="119"/>
      <c r="AL63" s="130"/>
      <c r="AM63" s="319" t="s">
        <v>2716</v>
      </c>
      <c r="AN63" s="247"/>
      <c r="AO63" s="247">
        <v>57</v>
      </c>
      <c r="AP63" s="284">
        <f>IF($AG$7&gt;=17,61,IF($AG$7&gt;=11,60,IF($AG$7&gt;=6,59,IF($AG$7&gt;=3,58,0))))</f>
        <v>0</v>
      </c>
      <c r="AQ63" s="115" t="e">
        <f t="shared" si="19"/>
        <v>#N/A</v>
      </c>
      <c r="AR63" s="119" t="e">
        <f t="shared" si="20"/>
        <v>#N/A</v>
      </c>
      <c r="AS63" s="119" t="e">
        <f t="shared" si="21"/>
        <v>#N/A</v>
      </c>
      <c r="AT63" s="116" t="e">
        <f t="shared" si="22"/>
        <v>#N/A</v>
      </c>
      <c r="AU63" s="115" t="e">
        <f t="shared" si="23"/>
        <v>#N/A</v>
      </c>
      <c r="AV63" s="119" t="e">
        <f t="shared" si="24"/>
        <v>#N/A</v>
      </c>
      <c r="AW63" s="119" t="e">
        <f t="shared" si="25"/>
        <v>#N/A</v>
      </c>
      <c r="AX63" s="116" t="e">
        <f t="shared" si="26"/>
        <v>#N/A</v>
      </c>
      <c r="AY63" s="115" t="e">
        <f t="shared" si="27"/>
        <v>#N/A</v>
      </c>
      <c r="AZ63" s="119" t="e">
        <f t="shared" si="28"/>
        <v>#N/A</v>
      </c>
      <c r="BA63" s="119" t="e">
        <f t="shared" si="29"/>
        <v>#N/A</v>
      </c>
      <c r="BB63" s="116" t="e">
        <f t="shared" si="30"/>
        <v>#N/A</v>
      </c>
      <c r="BC63" s="118" t="str">
        <f>IFERROR(INDEX($AQ$12:$BF$87,53,$BC$2),"")</f>
        <v/>
      </c>
      <c r="BD63" s="119" t="str">
        <f>IFERROR(INDEX($AQ$12:$BF$87,53,$BD$2),"")</f>
        <v/>
      </c>
      <c r="BE63" s="250" t="str">
        <f t="shared" si="31"/>
        <v/>
      </c>
      <c r="BF63" s="198" t="str">
        <f t="array" ref="BF63">INDEX(BE:BE,SMALL(IF($BE$2:$BE$143&lt;&gt;"",ROW($2:$143),144),ROW(BE62)))&amp;""</f>
        <v/>
      </c>
      <c r="BG63" s="305" t="s">
        <v>2475</v>
      </c>
      <c r="BH63" s="130">
        <f>COUNTIF($BG$2:$BG$46,"多重攻击-*")</f>
        <v>0</v>
      </c>
      <c r="BI63" s="155">
        <f>IF(AG11&gt;=17,4,IF(AG11&gt;=10,3,IF(AG11&gt;=3,2,0)))+COUNTIF(专长数据!E2:E7,专长数据!A78)*2-COUNTIF($BG$2:$BG$46,"超魔法-*")</f>
        <v>0</v>
      </c>
      <c r="BJ63" s="130"/>
      <c r="BK63" s="130"/>
      <c r="BL63" s="130"/>
      <c r="BM63" s="130"/>
      <c r="BN63" s="130"/>
      <c r="BO63" s="130"/>
      <c r="BP63" s="130"/>
      <c r="BQ63" s="130"/>
      <c r="BR63" s="130"/>
      <c r="BS63" s="130"/>
      <c r="BT63" s="130"/>
      <c r="BU63" s="130"/>
      <c r="BV63" s="130"/>
      <c r="BW63" s="130"/>
      <c r="BX63" s="130"/>
      <c r="BY63" s="130"/>
      <c r="BZ63" s="130"/>
    </row>
    <row r="64" spans="1:78" ht="14.4" customHeight="1" x14ac:dyDescent="0.25">
      <c r="A64" s="156">
        <v>48</v>
      </c>
      <c r="B64" s="297" t="s">
        <v>2441</v>
      </c>
      <c r="C64" s="297" t="s">
        <v>2717</v>
      </c>
      <c r="D64" s="283" t="s">
        <v>2718</v>
      </c>
      <c r="E64" s="283" t="s">
        <v>2719</v>
      </c>
      <c r="F64" s="297" t="str">
        <f>IF(OR(BH55&lt;1,COUNTIF($BG$2:$BG$46,"神圣打击")),"神圣打击","")</f>
        <v>神圣打击</v>
      </c>
      <c r="G64" s="297" t="s">
        <v>2720</v>
      </c>
      <c r="H64" s="297" t="s">
        <v>2721</v>
      </c>
      <c r="I64" s="297" t="s">
        <v>2722</v>
      </c>
      <c r="J64" s="287" t="s">
        <v>2723</v>
      </c>
      <c r="K64" s="287" t="s">
        <v>2724</v>
      </c>
      <c r="L64" s="296" t="str">
        <f>IF(OR(BI61&gt;0,COUNTIF($BG$2:$BG$46,"法门-攀云步")),"法门-攀云步","")</f>
        <v/>
      </c>
      <c r="M64" s="296" t="s">
        <v>2725</v>
      </c>
      <c r="N64" s="293" t="s">
        <v>2726</v>
      </c>
      <c r="O64" s="293" t="s">
        <v>2727</v>
      </c>
      <c r="P64" s="287" t="s">
        <v>2728</v>
      </c>
      <c r="Q64" s="287" t="s">
        <v>2729</v>
      </c>
      <c r="R64" s="302" t="s">
        <v>2730</v>
      </c>
      <c r="S64" s="302" t="s">
        <v>2731</v>
      </c>
      <c r="T64" s="302" t="s">
        <v>2732</v>
      </c>
      <c r="U64" s="302" t="s">
        <v>2733</v>
      </c>
      <c r="V64" s="274" t="str">
        <f>IF(AND(综合数据!B14=TRUE,COUNTIF(BG2:BG44,"*书之魔契"),OR(BI65&gt;0,COUNTIF($BG$2:$BG$46,"魔能祈唤-遥远音讯"))),"魔能祈唤-遥远音讯","")</f>
        <v/>
      </c>
      <c r="W64" s="278" t="s">
        <v>2734</v>
      </c>
      <c r="X64" s="287" t="s">
        <v>2735</v>
      </c>
      <c r="Y64" s="287" t="s">
        <v>2736</v>
      </c>
      <c r="Z64" s="290" t="s">
        <v>2737</v>
      </c>
      <c r="AA64" s="308" t="s">
        <v>2738</v>
      </c>
      <c r="AB64" s="119"/>
      <c r="AC64" s="119"/>
      <c r="AD64" s="119"/>
      <c r="AE64" s="119"/>
      <c r="AF64" s="119"/>
      <c r="AG64" s="119"/>
      <c r="AH64" s="119"/>
      <c r="AI64" s="119"/>
      <c r="AJ64" s="119"/>
      <c r="AK64" s="119"/>
      <c r="AL64" s="130"/>
      <c r="AM64" s="319" t="s">
        <v>2739</v>
      </c>
      <c r="AN64" s="247"/>
      <c r="AO64" s="247">
        <v>62</v>
      </c>
      <c r="AP64" s="284">
        <f>IF($AG$7&gt;=17,71,IF($AG$7&gt;=11,70,IF($AG$7&gt;=6,69,IF($AG$7&gt;=3,66,0))))</f>
        <v>0</v>
      </c>
      <c r="AQ64" s="115" t="e">
        <f t="shared" si="19"/>
        <v>#N/A</v>
      </c>
      <c r="AR64" s="119" t="e">
        <f t="shared" si="20"/>
        <v>#N/A</v>
      </c>
      <c r="AS64" s="119" t="e">
        <f t="shared" si="21"/>
        <v>#N/A</v>
      </c>
      <c r="AT64" s="116" t="e">
        <f t="shared" si="22"/>
        <v>#N/A</v>
      </c>
      <c r="AU64" s="115" t="e">
        <f t="shared" si="23"/>
        <v>#N/A</v>
      </c>
      <c r="AV64" s="119" t="e">
        <f t="shared" si="24"/>
        <v>#N/A</v>
      </c>
      <c r="AW64" s="119" t="e">
        <f t="shared" si="25"/>
        <v>#N/A</v>
      </c>
      <c r="AX64" s="116" t="e">
        <f t="shared" si="26"/>
        <v>#N/A</v>
      </c>
      <c r="AY64" s="115" t="e">
        <f t="shared" si="27"/>
        <v>#N/A</v>
      </c>
      <c r="AZ64" s="119" t="e">
        <f t="shared" si="28"/>
        <v>#N/A</v>
      </c>
      <c r="BA64" s="119" t="e">
        <f t="shared" si="29"/>
        <v>#N/A</v>
      </c>
      <c r="BB64" s="116" t="e">
        <f t="shared" si="30"/>
        <v>#N/A</v>
      </c>
      <c r="BC64" s="118" t="str">
        <f>IFERROR(INDEX($AQ$12:$BF$87,54,$BC$2),"")</f>
        <v/>
      </c>
      <c r="BD64" s="119" t="str">
        <f>IFERROR(INDEX($AQ$12:$BF$87,54,$BD$2),"")</f>
        <v/>
      </c>
      <c r="BE64" s="250" t="str">
        <f t="shared" si="31"/>
        <v/>
      </c>
      <c r="BF64" s="198" t="str">
        <f t="array" ref="BF64">INDEX(BE:BE,SMALL(IF($BE$2:$BE$143&lt;&gt;"",ROW($2:$143),144),ROW(BE63)))&amp;""</f>
        <v/>
      </c>
      <c r="BG64" s="305" t="s">
        <v>2544</v>
      </c>
      <c r="BH64" s="130">
        <f>COUNTIF($BG$2:$BG$46,"高效猎人防术-*")</f>
        <v>0</v>
      </c>
      <c r="BI64" s="116" t="s">
        <v>1858</v>
      </c>
      <c r="BJ64" s="130"/>
      <c r="BK64" s="130"/>
      <c r="BL64" s="130"/>
      <c r="BM64" s="130"/>
      <c r="BN64" s="130"/>
      <c r="BO64" s="130"/>
      <c r="BP64" s="130"/>
      <c r="BQ64" s="130"/>
      <c r="BR64" s="130"/>
      <c r="BS64" s="130"/>
      <c r="BT64" s="130"/>
      <c r="BU64" s="130"/>
      <c r="BV64" s="130"/>
      <c r="BW64" s="130"/>
      <c r="BX64" s="130"/>
      <c r="BY64" s="130"/>
      <c r="BZ64" s="130"/>
    </row>
    <row r="65" spans="1:78" ht="14.4" customHeight="1" x14ac:dyDescent="0.25">
      <c r="A65" s="156">
        <v>49</v>
      </c>
      <c r="B65" s="320" t="str">
        <f>IF(OR(BH51&lt;1,COUNTIF($BG$2:$BG$46,"愤怒风暴-沙漠")),"愤怒风暴-沙漠","")</f>
        <v>愤怒风暴-沙漠</v>
      </c>
      <c r="C65" s="320" t="s">
        <v>2740</v>
      </c>
      <c r="D65" s="283" t="s">
        <v>2741</v>
      </c>
      <c r="E65" s="283" t="s">
        <v>2742</v>
      </c>
      <c r="F65" s="297" t="s">
        <v>2743</v>
      </c>
      <c r="G65" s="297" t="s">
        <v>2744</v>
      </c>
      <c r="H65" s="302" t="s">
        <v>2745</v>
      </c>
      <c r="I65" s="302" t="s">
        <v>2746</v>
      </c>
      <c r="J65" s="287" t="s">
        <v>2747</v>
      </c>
      <c r="K65" s="287" t="s">
        <v>2748</v>
      </c>
      <c r="L65" s="296" t="str">
        <f>IF(OR(BI61&gt;0,COUNTIF($BG$2:$BG$46,"法门-寒冬之息")),"法门-寒冬之息","")</f>
        <v/>
      </c>
      <c r="M65" s="296" t="s">
        <v>2749</v>
      </c>
      <c r="N65" s="293" t="s">
        <v>2750</v>
      </c>
      <c r="O65" s="293" t="s">
        <v>2751</v>
      </c>
      <c r="P65" s="290" t="s">
        <v>2752</v>
      </c>
      <c r="Q65" s="290" t="s">
        <v>2753</v>
      </c>
      <c r="R65" s="283" t="s">
        <v>2754</v>
      </c>
      <c r="S65" s="283" t="s">
        <v>2755</v>
      </c>
      <c r="T65" s="302" t="s">
        <v>2756</v>
      </c>
      <c r="U65" s="302" t="s">
        <v>2757</v>
      </c>
      <c r="V65" s="274" t="str">
        <f>IF(AND(综合数据!B14=TRUE,OR(BI65&gt;0,COUNTIF($BG$2:$BG$46,"魔能祈唤-永恒奴役"))),"魔能祈唤-永恒奴役","")</f>
        <v/>
      </c>
      <c r="W65" s="273" t="s">
        <v>2758</v>
      </c>
      <c r="X65" s="287" t="s">
        <v>2759</v>
      </c>
      <c r="Y65" s="287" t="s">
        <v>2760</v>
      </c>
      <c r="Z65" s="290" t="s">
        <v>2761</v>
      </c>
      <c r="AA65" s="308" t="s">
        <v>2762</v>
      </c>
      <c r="AB65" s="119"/>
      <c r="AC65" s="119"/>
      <c r="AD65" s="119"/>
      <c r="AE65" s="119"/>
      <c r="AF65" s="119"/>
      <c r="AG65" s="119"/>
      <c r="AH65" s="119"/>
      <c r="AI65" s="119"/>
      <c r="AJ65" s="119"/>
      <c r="AK65" s="119"/>
      <c r="AL65" s="130"/>
      <c r="AM65" s="319" t="s">
        <v>2763</v>
      </c>
      <c r="AN65" s="247"/>
      <c r="AO65" s="247">
        <v>72</v>
      </c>
      <c r="AP65" s="284">
        <f>IF($AG$7&gt;=17,75,IF($AG$7&gt;=11,74,IF($AG$7&gt;=6,73,IF($AG$7&gt;=3,72,0))))</f>
        <v>0</v>
      </c>
      <c r="AQ65" s="115" t="e">
        <f t="shared" si="19"/>
        <v>#N/A</v>
      </c>
      <c r="AR65" s="119" t="e">
        <f t="shared" si="20"/>
        <v>#N/A</v>
      </c>
      <c r="AS65" s="119" t="e">
        <f t="shared" si="21"/>
        <v>#N/A</v>
      </c>
      <c r="AT65" s="116" t="e">
        <f t="shared" si="22"/>
        <v>#N/A</v>
      </c>
      <c r="AU65" s="115" t="e">
        <f t="shared" si="23"/>
        <v>#N/A</v>
      </c>
      <c r="AV65" s="119" t="e">
        <f t="shared" si="24"/>
        <v>#N/A</v>
      </c>
      <c r="AW65" s="119" t="e">
        <f t="shared" si="25"/>
        <v>#N/A</v>
      </c>
      <c r="AX65" s="116" t="e">
        <f t="shared" si="26"/>
        <v>#N/A</v>
      </c>
      <c r="AY65" s="115" t="e">
        <f t="shared" si="27"/>
        <v>#N/A</v>
      </c>
      <c r="AZ65" s="119" t="e">
        <f t="shared" si="28"/>
        <v>#N/A</v>
      </c>
      <c r="BA65" s="119" t="e">
        <f t="shared" si="29"/>
        <v>#N/A</v>
      </c>
      <c r="BB65" s="116" t="e">
        <f t="shared" si="30"/>
        <v>#N/A</v>
      </c>
      <c r="BC65" s="118" t="str">
        <f>IFERROR(INDEX($AQ$12:$BF$87,55,$BC$2),"")</f>
        <v/>
      </c>
      <c r="BD65" s="119" t="str">
        <f>IFERROR(INDEX($AQ$12:$BF$87,55,$BD$2),"")</f>
        <v/>
      </c>
      <c r="BE65" s="250" t="str">
        <f t="shared" si="31"/>
        <v/>
      </c>
      <c r="BF65" s="198" t="str">
        <f t="array" ref="BF65">INDEX(BE:BE,SMALL(IF($BE$2:$BE$143&lt;&gt;"",ROW($2:$143),144),ROW(BE64)))&amp;""</f>
        <v/>
      </c>
      <c r="BG65" s="321" t="s">
        <v>2764</v>
      </c>
      <c r="BH65" s="130">
        <f>COUNTIF($BG$2:$BG$46,"游侠伴侣")+COUNTIF($BG$2:$BG$46,"原初伴侣")</f>
        <v>0</v>
      </c>
      <c r="BI65" s="155">
        <f>IF(AG12&gt;=18,8,IF(AG12&gt;=15,7,IF(AG12&gt;=12,6,IF(AG12&gt;=9,5,IF(AG12&gt;=7,4,IF(AG12&gt;=5,3,IF(AG12&gt;=2,2,0)))))))+COUNTIF(专长数据!E2:E7,专长数据!A74)-COUNTIF($BG$2:$BG$46,"魔能祈唤-*")</f>
        <v>0</v>
      </c>
      <c r="BJ65" s="130"/>
      <c r="BK65" s="130"/>
      <c r="BL65" s="130"/>
      <c r="BM65" s="130"/>
      <c r="BN65" s="130"/>
      <c r="BO65" s="130"/>
      <c r="BP65" s="130"/>
      <c r="BQ65" s="130"/>
      <c r="BR65" s="130"/>
      <c r="BS65" s="130"/>
      <c r="BT65" s="130"/>
      <c r="BU65" s="130"/>
      <c r="BV65" s="130"/>
      <c r="BW65" s="130"/>
      <c r="BX65" s="130"/>
      <c r="BY65" s="130"/>
      <c r="BZ65" s="130"/>
    </row>
    <row r="66" spans="1:78" ht="14.4" customHeight="1" x14ac:dyDescent="0.25">
      <c r="A66" s="156">
        <v>50</v>
      </c>
      <c r="B66" s="320" t="str">
        <f>IF(OR(BH51&lt;1,COUNTIF($BG$2:$BG$46,"愤怒风暴-海洋")),"愤怒风暴-海洋","")</f>
        <v>愤怒风暴-海洋</v>
      </c>
      <c r="C66" s="320" t="s">
        <v>2765</v>
      </c>
      <c r="D66" s="283" t="s">
        <v>2766</v>
      </c>
      <c r="E66" s="283" t="s">
        <v>2767</v>
      </c>
      <c r="F66" s="302" t="s">
        <v>2768</v>
      </c>
      <c r="G66" s="302" t="s">
        <v>2769</v>
      </c>
      <c r="H66" s="302" t="s">
        <v>2770</v>
      </c>
      <c r="I66" s="302" t="s">
        <v>2771</v>
      </c>
      <c r="J66" s="287" t="s">
        <v>2772</v>
      </c>
      <c r="K66" s="287" t="s">
        <v>2773</v>
      </c>
      <c r="L66" s="296" t="str">
        <f>IF(OR(BI61&gt;0,COUNTIF($BG$2:$BG$46,"法门-苍山庇佑")),"法门-苍山庇佑","")</f>
        <v/>
      </c>
      <c r="M66" s="296" t="s">
        <v>2774</v>
      </c>
      <c r="N66" s="293" t="s">
        <v>2775</v>
      </c>
      <c r="O66" s="293" t="s">
        <v>2776</v>
      </c>
      <c r="P66" s="290" t="s">
        <v>2777</v>
      </c>
      <c r="Q66" s="290" t="s">
        <v>2778</v>
      </c>
      <c r="R66" s="283" t="s">
        <v>2779</v>
      </c>
      <c r="S66" s="283" t="s">
        <v>2780</v>
      </c>
      <c r="T66" s="302" t="s">
        <v>2781</v>
      </c>
      <c r="U66" s="302" t="s">
        <v>2782</v>
      </c>
      <c r="V66" s="273" t="str">
        <f>IF(AND(综合数据!B14=TRUE,OR(BI65&gt;0,COUNTIF($BG$2:$BG$46,"魔能祈唤-惑人低语"))),"魔能祈唤-惑人低语","")</f>
        <v/>
      </c>
      <c r="W66" s="273" t="s">
        <v>2783</v>
      </c>
      <c r="X66" s="287" t="s">
        <v>2784</v>
      </c>
      <c r="Y66" s="287" t="s">
        <v>2785</v>
      </c>
      <c r="Z66" s="293" t="s">
        <v>2438</v>
      </c>
      <c r="AA66" s="322" t="s">
        <v>2786</v>
      </c>
      <c r="AB66" s="119"/>
      <c r="AC66" s="119"/>
      <c r="AD66" s="119"/>
      <c r="AE66" s="119"/>
      <c r="AF66" s="119"/>
      <c r="AG66" s="119"/>
      <c r="AH66" s="119"/>
      <c r="AI66" s="119"/>
      <c r="AJ66" s="119"/>
      <c r="AK66" s="119"/>
      <c r="AL66" s="130"/>
      <c r="AM66" s="187" t="s">
        <v>2787</v>
      </c>
      <c r="AN66" s="248"/>
      <c r="AO66" s="248">
        <v>76</v>
      </c>
      <c r="AP66" s="288">
        <f>IF($AG$7&gt;=17,81,IF($AG$7&gt;=11,80,IF($AG$7&gt;=6,79,IF($AG$7&gt;=3,78,0))))</f>
        <v>0</v>
      </c>
      <c r="AQ66" s="115" t="e">
        <f t="shared" si="19"/>
        <v>#N/A</v>
      </c>
      <c r="AR66" s="119" t="e">
        <f t="shared" si="20"/>
        <v>#N/A</v>
      </c>
      <c r="AS66" s="119" t="e">
        <f t="shared" si="21"/>
        <v>#N/A</v>
      </c>
      <c r="AT66" s="116" t="e">
        <f t="shared" si="22"/>
        <v>#N/A</v>
      </c>
      <c r="AU66" s="115" t="e">
        <f t="shared" si="23"/>
        <v>#N/A</v>
      </c>
      <c r="AV66" s="119" t="e">
        <f t="shared" si="24"/>
        <v>#N/A</v>
      </c>
      <c r="AW66" s="119" t="e">
        <f t="shared" si="25"/>
        <v>#N/A</v>
      </c>
      <c r="AX66" s="116" t="e">
        <f t="shared" si="26"/>
        <v>#N/A</v>
      </c>
      <c r="AY66" s="115" t="e">
        <f t="shared" si="27"/>
        <v>#N/A</v>
      </c>
      <c r="AZ66" s="119" t="e">
        <f t="shared" si="28"/>
        <v>#N/A</v>
      </c>
      <c r="BA66" s="119" t="e">
        <f t="shared" si="29"/>
        <v>#N/A</v>
      </c>
      <c r="BB66" s="116" t="e">
        <f t="shared" si="30"/>
        <v>#N/A</v>
      </c>
      <c r="BC66" s="118" t="str">
        <f>IFERROR(INDEX($AQ$12:$BF$87,56,$BC$2),"")</f>
        <v/>
      </c>
      <c r="BD66" s="119" t="str">
        <f>IFERROR(INDEX($AQ$12:$BF$87,56,$BD$2),"")</f>
        <v/>
      </c>
      <c r="BE66" s="250" t="str">
        <f t="shared" si="31"/>
        <v/>
      </c>
      <c r="BF66" s="198" t="str">
        <f t="array" ref="BF66">INDEX(BE:BE,SMALL(IF($BE$2:$BE$143&lt;&gt;"",ROW($2:$143),144),ROW(BE65)))&amp;""</f>
        <v/>
      </c>
      <c r="BG66" s="115" t="s">
        <v>2234</v>
      </c>
      <c r="BH66" s="130">
        <f>COUNTIF($BG$2:$BG$46,"魔契恩泽-*")</f>
        <v>0</v>
      </c>
      <c r="BI66" s="120" t="s">
        <v>1862</v>
      </c>
      <c r="BJ66" s="130"/>
      <c r="BK66" s="130"/>
      <c r="BL66" s="130"/>
      <c r="BM66" s="130"/>
      <c r="BN66" s="130"/>
      <c r="BO66" s="130"/>
      <c r="BP66" s="130"/>
      <c r="BQ66" s="130"/>
      <c r="BR66" s="130"/>
      <c r="BS66" s="130"/>
      <c r="BT66" s="130"/>
      <c r="BU66" s="130"/>
      <c r="BV66" s="130"/>
      <c r="BW66" s="130"/>
      <c r="BX66" s="130"/>
      <c r="BY66" s="130"/>
      <c r="BZ66" s="130"/>
    </row>
    <row r="67" spans="1:78" ht="14.4" customHeight="1" x14ac:dyDescent="0.25">
      <c r="A67" s="156">
        <v>51</v>
      </c>
      <c r="B67" s="320" t="str">
        <f>IF(OR(BH51&lt;1,COUNTIF($BG$2:$BG$46,"愤怒风暴-冻原")),"愤怒风暴-冻原","")</f>
        <v>愤怒风暴-冻原</v>
      </c>
      <c r="C67" s="320" t="s">
        <v>2788</v>
      </c>
      <c r="D67" s="287" t="s">
        <v>2789</v>
      </c>
      <c r="E67" s="287" t="s">
        <v>2790</v>
      </c>
      <c r="F67" s="302" t="s">
        <v>2791</v>
      </c>
      <c r="G67" s="302" t="s">
        <v>2792</v>
      </c>
      <c r="H67" s="302" t="s">
        <v>2793</v>
      </c>
      <c r="I67" s="302" t="s">
        <v>2794</v>
      </c>
      <c r="J67" s="287" t="s">
        <v>2795</v>
      </c>
      <c r="K67" s="287" t="s">
        <v>2796</v>
      </c>
      <c r="L67" s="296" t="str">
        <f>IF(OR(BI61&gt;0,COUNTIF($BG$2:$BG$46,"法门-噬焰流")),"法门-噬焰流","")</f>
        <v/>
      </c>
      <c r="M67" s="296" t="s">
        <v>2797</v>
      </c>
      <c r="N67" s="297" t="s">
        <v>2798</v>
      </c>
      <c r="O67" s="297" t="s">
        <v>2799</v>
      </c>
      <c r="P67" s="290" t="s">
        <v>2800</v>
      </c>
      <c r="Q67" s="290" t="s">
        <v>2801</v>
      </c>
      <c r="R67" s="283" t="s">
        <v>2802</v>
      </c>
      <c r="S67" s="283" t="s">
        <v>2803</v>
      </c>
      <c r="T67" s="302" t="s">
        <v>2804</v>
      </c>
      <c r="U67" s="302" t="s">
        <v>2805</v>
      </c>
      <c r="V67" s="273" t="str">
        <f>IF(OR(BI65&gt;0,COUNTIF($BG$2:$BG$46,"魔能祈唤-恐惧箴言")),"魔能祈唤-恐惧箴言","")</f>
        <v/>
      </c>
      <c r="W67" s="273" t="s">
        <v>2806</v>
      </c>
      <c r="X67" s="287" t="s">
        <v>2807</v>
      </c>
      <c r="Y67" s="287" t="s">
        <v>2808</v>
      </c>
      <c r="Z67" s="293" t="s">
        <v>2809</v>
      </c>
      <c r="AA67" s="322" t="s">
        <v>2810</v>
      </c>
      <c r="AB67" s="119"/>
      <c r="AC67" s="119"/>
      <c r="AD67" s="119"/>
      <c r="AE67" s="119"/>
      <c r="AF67" s="119"/>
      <c r="AG67" s="119"/>
      <c r="AH67" s="119"/>
      <c r="AI67" s="119"/>
      <c r="AJ67" s="119"/>
      <c r="AK67" s="119"/>
      <c r="AL67" s="130"/>
      <c r="AM67" s="187" t="s">
        <v>2811</v>
      </c>
      <c r="AN67" s="248"/>
      <c r="AO67" s="248">
        <v>82</v>
      </c>
      <c r="AP67" s="288">
        <f>IF($AG$7&gt;=17,85,IF($AG$7&gt;=11,84,IF($AG$7&gt;=6,83,IF($AG$7&gt;=3,82,0))))</f>
        <v>0</v>
      </c>
      <c r="AQ67" s="115" t="e">
        <f t="shared" si="19"/>
        <v>#N/A</v>
      </c>
      <c r="AR67" s="119" t="e">
        <f t="shared" si="20"/>
        <v>#N/A</v>
      </c>
      <c r="AS67" s="119" t="e">
        <f t="shared" si="21"/>
        <v>#N/A</v>
      </c>
      <c r="AT67" s="116" t="e">
        <f t="shared" si="22"/>
        <v>#N/A</v>
      </c>
      <c r="AU67" s="115" t="e">
        <f t="shared" si="23"/>
        <v>#N/A</v>
      </c>
      <c r="AV67" s="119" t="e">
        <f t="shared" si="24"/>
        <v>#N/A</v>
      </c>
      <c r="AW67" s="119" t="e">
        <f t="shared" si="25"/>
        <v>#N/A</v>
      </c>
      <c r="AX67" s="116" t="e">
        <f t="shared" si="26"/>
        <v>#N/A</v>
      </c>
      <c r="AY67" s="115" t="e">
        <f t="shared" si="27"/>
        <v>#N/A</v>
      </c>
      <c r="AZ67" s="119" t="e">
        <f t="shared" si="28"/>
        <v>#N/A</v>
      </c>
      <c r="BA67" s="119" t="e">
        <f t="shared" si="29"/>
        <v>#N/A</v>
      </c>
      <c r="BB67" s="116" t="e">
        <f t="shared" si="30"/>
        <v>#N/A</v>
      </c>
      <c r="BC67" s="118" t="str">
        <f>IFERROR(INDEX($AQ$12:$BF$87,57,$BC$2),"")</f>
        <v/>
      </c>
      <c r="BD67" s="119" t="str">
        <f>IFERROR(INDEX($AQ$12:$BF$87,57,$BD$2),"")</f>
        <v/>
      </c>
      <c r="BE67" s="250" t="str">
        <f t="shared" si="31"/>
        <v/>
      </c>
      <c r="BF67" s="198" t="str">
        <f t="array" ref="BF67">INDEX(BE:BE,SMALL(IF($BE$2:$BE$143&lt;&gt;"",ROW($2:$143),144),ROW(BE66)))&amp;""</f>
        <v/>
      </c>
      <c r="BG67" s="287" t="s">
        <v>2812</v>
      </c>
      <c r="BH67" s="130">
        <f>COUNTIF($BG$2:$BG$46,"巨灵宗主扩展法术-*")</f>
        <v>0</v>
      </c>
      <c r="BI67" s="120">
        <f>IF(AG14&gt;=18,12,IF(AG14&gt;=14,10,IF(AG14&gt;=10,8,IF(AG14&gt;=6,6,IF(AG14&gt;=2,4,0)))))-COUNTIF($BG$2:$BG$46,"注法-*")</f>
        <v>0</v>
      </c>
      <c r="BJ67" s="130"/>
      <c r="BK67" s="130"/>
      <c r="BL67" s="130"/>
      <c r="BM67" s="130"/>
      <c r="BN67" s="130"/>
      <c r="BO67" s="130"/>
      <c r="BP67" s="130"/>
      <c r="BQ67" s="130"/>
      <c r="BR67" s="130"/>
      <c r="BS67" s="130"/>
      <c r="BT67" s="130"/>
      <c r="BU67" s="130"/>
      <c r="BV67" s="130"/>
      <c r="BW67" s="130"/>
      <c r="BX67" s="130"/>
      <c r="BY67" s="130"/>
      <c r="BZ67" s="130"/>
    </row>
    <row r="68" spans="1:78" ht="14.4" customHeight="1" x14ac:dyDescent="0.25">
      <c r="A68" s="156">
        <v>52</v>
      </c>
      <c r="B68" s="297" t="s">
        <v>2462</v>
      </c>
      <c r="C68" s="297" t="s">
        <v>2813</v>
      </c>
      <c r="D68" s="287" t="s">
        <v>2814</v>
      </c>
      <c r="E68" s="287" t="s">
        <v>2815</v>
      </c>
      <c r="F68" s="323" t="s">
        <v>2816</v>
      </c>
      <c r="G68" s="323" t="s">
        <v>2817</v>
      </c>
      <c r="H68" s="302" t="s">
        <v>2818</v>
      </c>
      <c r="I68" s="302" t="s">
        <v>2819</v>
      </c>
      <c r="J68" s="290" t="s">
        <v>2820</v>
      </c>
      <c r="K68" s="290" t="s">
        <v>2821</v>
      </c>
      <c r="L68" s="296" t="str">
        <f>IF(OR(BI61&gt;0,COUNTIF($BG$2:$BG$46,"法门-滚石流")),"法门-滚石流","")</f>
        <v/>
      </c>
      <c r="M68" s="296" t="s">
        <v>2822</v>
      </c>
      <c r="N68" s="324" t="s">
        <v>2823</v>
      </c>
      <c r="O68" s="324" t="s">
        <v>2824</v>
      </c>
      <c r="P68" s="290" t="s">
        <v>2825</v>
      </c>
      <c r="Q68" s="290" t="s">
        <v>2826</v>
      </c>
      <c r="R68" s="283" t="s">
        <v>2827</v>
      </c>
      <c r="S68" s="283" t="s">
        <v>2828</v>
      </c>
      <c r="T68" s="302" t="s">
        <v>2829</v>
      </c>
      <c r="U68" s="302" t="s">
        <v>2830</v>
      </c>
      <c r="V68" s="273" t="str">
        <f>IF(OR(BI65&gt;0,COUNTIF($BG$2:$BG$46,"魔能祈唤-重塑血肉")),"魔能祈唤-重塑血肉","")</f>
        <v/>
      </c>
      <c r="W68" s="273" t="s">
        <v>2831</v>
      </c>
      <c r="X68" s="290" t="s">
        <v>2832</v>
      </c>
      <c r="Y68" s="290" t="s">
        <v>2833</v>
      </c>
      <c r="Z68" s="293" t="s">
        <v>2834</v>
      </c>
      <c r="AA68" s="322" t="s">
        <v>2835</v>
      </c>
      <c r="AB68" s="119"/>
      <c r="AC68" s="119"/>
      <c r="AD68" s="119"/>
      <c r="AE68" s="119"/>
      <c r="AF68" s="119"/>
      <c r="AG68" s="119"/>
      <c r="AH68" s="119"/>
      <c r="AI68" s="119"/>
      <c r="AJ68" s="119"/>
      <c r="AK68" s="119"/>
      <c r="AL68" s="130"/>
      <c r="AM68" s="173" t="s">
        <v>2836</v>
      </c>
      <c r="AN68" s="260"/>
      <c r="AO68" s="260">
        <v>86</v>
      </c>
      <c r="AP68" s="260">
        <f>IF($AG$7&gt;=17,94,IF($AG$7&gt;=11,91,IF($AG$7&gt;=6,90,IF($AG$7&gt;=3,89,0))))</f>
        <v>0</v>
      </c>
      <c r="AQ68" s="115" t="e">
        <f t="shared" si="19"/>
        <v>#N/A</v>
      </c>
      <c r="AR68" s="119" t="e">
        <f t="shared" si="20"/>
        <v>#N/A</v>
      </c>
      <c r="AS68" s="119" t="e">
        <f t="shared" si="21"/>
        <v>#N/A</v>
      </c>
      <c r="AT68" s="116" t="e">
        <f t="shared" si="22"/>
        <v>#N/A</v>
      </c>
      <c r="AU68" s="115" t="e">
        <f t="shared" si="23"/>
        <v>#N/A</v>
      </c>
      <c r="AV68" s="119" t="e">
        <f t="shared" si="24"/>
        <v>#N/A</v>
      </c>
      <c r="AW68" s="119" t="e">
        <f t="shared" si="25"/>
        <v>#N/A</v>
      </c>
      <c r="AX68" s="116" t="e">
        <f t="shared" si="26"/>
        <v>#N/A</v>
      </c>
      <c r="AY68" s="115" t="e">
        <f t="shared" si="27"/>
        <v>#N/A</v>
      </c>
      <c r="AZ68" s="119" t="e">
        <f t="shared" si="28"/>
        <v>#N/A</v>
      </c>
      <c r="BA68" s="119" t="e">
        <f t="shared" si="29"/>
        <v>#N/A</v>
      </c>
      <c r="BB68" s="116" t="e">
        <f t="shared" si="30"/>
        <v>#N/A</v>
      </c>
      <c r="BC68" s="118" t="str">
        <f>IFERROR(INDEX($AQ$12:$BF$87,58,$BC$2),"")</f>
        <v/>
      </c>
      <c r="BD68" s="119" t="str">
        <f>IFERROR(INDEX($AQ$12:$BF$87,58,$BD$2),"")</f>
        <v/>
      </c>
      <c r="BE68" s="250" t="str">
        <f t="shared" si="31"/>
        <v/>
      </c>
      <c r="BF68" s="198" t="str">
        <f t="array" ref="BF68">INDEX(BE:BE,SMALL(IF($BE$2:$BE$143&lt;&gt;"",ROW($2:$143),144),ROW(BE67)))&amp;""</f>
        <v/>
      </c>
      <c r="BG68" s="325" t="s">
        <v>2837</v>
      </c>
      <c r="BH68" s="175">
        <f>COUNTIF($BG$2:$BG$46,"守护者")+COUNTIF($BG$2:$BG$46,"渗透者")</f>
        <v>0</v>
      </c>
      <c r="BI68" s="183"/>
      <c r="BJ68" s="130"/>
      <c r="BK68" s="130"/>
      <c r="BL68" s="130"/>
      <c r="BM68" s="130"/>
      <c r="BN68" s="130"/>
      <c r="BO68" s="130"/>
      <c r="BP68" s="130"/>
      <c r="BQ68" s="130"/>
      <c r="BR68" s="130"/>
      <c r="BS68" s="130"/>
      <c r="BT68" s="130"/>
      <c r="BU68" s="130"/>
      <c r="BV68" s="130"/>
      <c r="BW68" s="130"/>
      <c r="BX68" s="130"/>
      <c r="BY68" s="130"/>
      <c r="BZ68" s="130"/>
    </row>
    <row r="69" spans="1:78" ht="14.4" customHeight="1" x14ac:dyDescent="0.25">
      <c r="A69" s="156">
        <v>53</v>
      </c>
      <c r="B69" s="320" t="str">
        <f>IF(OR(BH52&lt;1,COUNTIF($BG$2:$BG$46,"风暴之魂-沙漠")),"风暴之魂-沙漠","")</f>
        <v>风暴之魂-沙漠</v>
      </c>
      <c r="C69" s="320" t="s">
        <v>2838</v>
      </c>
      <c r="D69" s="287" t="s">
        <v>2839</v>
      </c>
      <c r="E69" s="287" t="s">
        <v>2840</v>
      </c>
      <c r="F69" s="323" t="s">
        <v>2841</v>
      </c>
      <c r="G69" s="323" t="s">
        <v>2842</v>
      </c>
      <c r="H69" s="302" t="s">
        <v>2843</v>
      </c>
      <c r="I69" s="302" t="s">
        <v>2844</v>
      </c>
      <c r="J69" s="290" t="s">
        <v>2845</v>
      </c>
      <c r="K69" s="290" t="s">
        <v>2846</v>
      </c>
      <c r="L69" s="293" t="s">
        <v>2847</v>
      </c>
      <c r="M69" s="293" t="s">
        <v>2848</v>
      </c>
      <c r="N69" s="324" t="s">
        <v>2849</v>
      </c>
      <c r="O69" s="324" t="s">
        <v>2850</v>
      </c>
      <c r="P69" s="290" t="s">
        <v>2851</v>
      </c>
      <c r="Q69" s="290" t="s">
        <v>2852</v>
      </c>
      <c r="R69" s="283" t="s">
        <v>2853</v>
      </c>
      <c r="S69" s="283" t="s">
        <v>2854</v>
      </c>
      <c r="T69" s="283" t="s">
        <v>2855</v>
      </c>
      <c r="U69" s="283" t="s">
        <v>2856</v>
      </c>
      <c r="V69" s="274" t="str">
        <f>IF(AND(综合数据!B14=TRUE,OR(BI65&gt;0,COUNTIF($BG$2:$BG$46,"魔能祈唤-幽魂凝视"))),"魔能祈唤-幽魂凝视","")</f>
        <v/>
      </c>
      <c r="W69" s="273" t="s">
        <v>2857</v>
      </c>
      <c r="X69" s="290" t="s">
        <v>2858</v>
      </c>
      <c r="Y69" s="290" t="s">
        <v>2859</v>
      </c>
      <c r="Z69" s="293" t="s">
        <v>2860</v>
      </c>
      <c r="AA69" s="322" t="s">
        <v>2861</v>
      </c>
      <c r="AB69" s="119"/>
      <c r="AC69" s="119"/>
      <c r="AD69" s="119"/>
      <c r="AE69" s="119"/>
      <c r="AF69" s="119"/>
      <c r="AG69" s="119"/>
      <c r="AH69" s="119"/>
      <c r="AI69" s="119"/>
      <c r="AJ69" s="119"/>
      <c r="AK69" s="119"/>
      <c r="AL69" s="130"/>
      <c r="AM69" s="246" t="s">
        <v>1614</v>
      </c>
      <c r="AN69" s="249">
        <v>7</v>
      </c>
      <c r="AO69" s="249">
        <v>1</v>
      </c>
      <c r="AP69" s="276">
        <f>IF($AG$8&gt;=14,26,IF($AG$8&gt;=11,25,IF($AG$8&gt;=10,24,IF($AG$8&gt;=6,23,IF($AG$8&gt;=5,22,IF($AG$8&gt;=4,21,IF($AG$8&gt;=3,20,IF($AG$8&gt;=2,15,IF($AG$8&gt;=1,2,0)))))))))</f>
        <v>0</v>
      </c>
      <c r="AQ69" s="115" t="e">
        <f t="shared" si="19"/>
        <v>#N/A</v>
      </c>
      <c r="AR69" s="119" t="e">
        <f t="shared" si="20"/>
        <v>#N/A</v>
      </c>
      <c r="AS69" s="119" t="e">
        <f t="shared" si="21"/>
        <v>#N/A</v>
      </c>
      <c r="AT69" s="116" t="e">
        <f t="shared" si="22"/>
        <v>#N/A</v>
      </c>
      <c r="AU69" s="115" t="e">
        <f t="shared" si="23"/>
        <v>#N/A</v>
      </c>
      <c r="AV69" s="119" t="e">
        <f t="shared" si="24"/>
        <v>#N/A</v>
      </c>
      <c r="AW69" s="119" t="e">
        <f t="shared" si="25"/>
        <v>#N/A</v>
      </c>
      <c r="AX69" s="116" t="e">
        <f t="shared" si="26"/>
        <v>#N/A</v>
      </c>
      <c r="AY69" s="115" t="e">
        <f t="shared" si="27"/>
        <v>#N/A</v>
      </c>
      <c r="AZ69" s="119" t="e">
        <f t="shared" si="28"/>
        <v>#N/A</v>
      </c>
      <c r="BA69" s="119" t="e">
        <f t="shared" si="29"/>
        <v>#N/A</v>
      </c>
      <c r="BB69" s="116" t="e">
        <f t="shared" si="30"/>
        <v>#N/A</v>
      </c>
      <c r="BC69" s="118" t="str">
        <f>IFERROR(INDEX($AQ$12:$BF$87,59,$BC$2),"")</f>
        <v/>
      </c>
      <c r="BD69" s="119" t="str">
        <f>IFERROR(INDEX($AQ$12:$BF$87,59,$BD$2),"")</f>
        <v/>
      </c>
      <c r="BE69" s="250" t="str">
        <f t="shared" si="31"/>
        <v/>
      </c>
      <c r="BF69" s="198" t="str">
        <f t="array" ref="BF69">INDEX(BE:BE,SMALL(IF($BE$2:$BE$143&lt;&gt;"",ROW($2:$143),144),ROW(BE68)))&amp;""</f>
        <v/>
      </c>
      <c r="BG69" s="130"/>
      <c r="BH69" s="130"/>
      <c r="BI69" s="130"/>
      <c r="BJ69" s="130"/>
      <c r="BK69" s="130"/>
      <c r="BL69" s="130"/>
      <c r="BM69" s="130"/>
      <c r="BN69" s="130"/>
      <c r="BO69" s="130"/>
      <c r="BP69" s="130"/>
      <c r="BQ69" s="130"/>
      <c r="BR69" s="130"/>
      <c r="BS69" s="130"/>
      <c r="BT69" s="130"/>
      <c r="BU69" s="130"/>
      <c r="BV69" s="130"/>
      <c r="BW69" s="130"/>
      <c r="BX69" s="130"/>
      <c r="BY69" s="130"/>
      <c r="BZ69" s="130"/>
    </row>
    <row r="70" spans="1:78" ht="14.4" customHeight="1" x14ac:dyDescent="0.25">
      <c r="A70" s="156">
        <v>54</v>
      </c>
      <c r="B70" s="320" t="str">
        <f>IF(OR(BH52&lt;1,COUNTIF($BG$2:$BG$46,"风暴之魂-海洋")),"风暴之魂-海洋","")</f>
        <v>风暴之魂-海洋</v>
      </c>
      <c r="C70" s="320" t="s">
        <v>2862</v>
      </c>
      <c r="D70" s="287" t="s">
        <v>2863</v>
      </c>
      <c r="E70" s="287" t="s">
        <v>2864</v>
      </c>
      <c r="F70" s="302" t="str">
        <f>IF(OR(BH55&lt;1,COUNTIF($BG$2:$BG$46,"神圣打击")),"神圣打击","")</f>
        <v>神圣打击</v>
      </c>
      <c r="G70" s="302" t="s">
        <v>2865</v>
      </c>
      <c r="H70" s="283" t="s">
        <v>2038</v>
      </c>
      <c r="I70" s="283" t="s">
        <v>2866</v>
      </c>
      <c r="J70" s="290" t="s">
        <v>2867</v>
      </c>
      <c r="K70" s="290" t="s">
        <v>2868</v>
      </c>
      <c r="L70" s="293" t="s">
        <v>2869</v>
      </c>
      <c r="M70" s="293" t="s">
        <v>2870</v>
      </c>
      <c r="N70" s="297" t="s">
        <v>2871</v>
      </c>
      <c r="O70" s="297" t="s">
        <v>2872</v>
      </c>
      <c r="P70" s="290" t="s">
        <v>2873</v>
      </c>
      <c r="Q70" s="290" t="s">
        <v>2874</v>
      </c>
      <c r="R70" s="287" t="s">
        <v>2875</v>
      </c>
      <c r="S70" s="287" t="s">
        <v>2876</v>
      </c>
      <c r="T70" s="283" t="s">
        <v>2877</v>
      </c>
      <c r="U70" s="283" t="s">
        <v>2878</v>
      </c>
      <c r="V70" s="274" t="str">
        <f>IF(AND(综合数据!B14=TRUE,OR(COUNTIF(法术数据!AK2:AK301,法术数据!B8)&gt;=1,COUNTIF(BG2:BG44,"*凶兆符记"),COUNTIF(AD16:AD18,G12)),OR(BI65&gt;0,COUNTIF($BG$2:$BG$46,"魔能祈唤-残酷巫咒"))),"魔能祈唤-残酷巫咒","")</f>
        <v/>
      </c>
      <c r="W70" s="278" t="s">
        <v>2879</v>
      </c>
      <c r="X70" s="290" t="s">
        <v>2880</v>
      </c>
      <c r="Y70" s="290" t="s">
        <v>2881</v>
      </c>
      <c r="Z70" s="293" t="str">
        <f>IF(COUNTIF($BG$2:$BG$46,"额外攻击-*"),"","额外攻击")</f>
        <v>额外攻击</v>
      </c>
      <c r="AA70" s="322" t="s">
        <v>1823</v>
      </c>
      <c r="AB70" s="119"/>
      <c r="AC70" s="119"/>
      <c r="AD70" s="119"/>
      <c r="AE70" s="119"/>
      <c r="AF70" s="119"/>
      <c r="AG70" s="119"/>
      <c r="AH70" s="119"/>
      <c r="AI70" s="119"/>
      <c r="AJ70" s="119"/>
      <c r="AK70" s="119"/>
      <c r="AL70" s="130"/>
      <c r="AM70" s="115" t="s">
        <v>1615</v>
      </c>
      <c r="AN70" s="106"/>
      <c r="AO70" s="106">
        <v>27</v>
      </c>
      <c r="AP70" s="116">
        <f>IF($AG$8=20,32,IF($AG$8&gt;=15,31,IF($AG$8&gt;=7,30,IF($AG$8&gt;=3,29,0))))</f>
        <v>0</v>
      </c>
      <c r="AQ70" s="115" t="e">
        <f t="shared" si="19"/>
        <v>#N/A</v>
      </c>
      <c r="AR70" s="119" t="e">
        <f t="shared" si="20"/>
        <v>#N/A</v>
      </c>
      <c r="AS70" s="119" t="e">
        <f t="shared" si="21"/>
        <v>#N/A</v>
      </c>
      <c r="AT70" s="116" t="e">
        <f t="shared" si="22"/>
        <v>#N/A</v>
      </c>
      <c r="AU70" s="115" t="e">
        <f t="shared" si="23"/>
        <v>#N/A</v>
      </c>
      <c r="AV70" s="119" t="e">
        <f t="shared" si="24"/>
        <v>#N/A</v>
      </c>
      <c r="AW70" s="119" t="e">
        <f t="shared" si="25"/>
        <v>#N/A</v>
      </c>
      <c r="AX70" s="116" t="e">
        <f t="shared" si="26"/>
        <v>#N/A</v>
      </c>
      <c r="AY70" s="115" t="e">
        <f t="shared" si="27"/>
        <v>#N/A</v>
      </c>
      <c r="AZ70" s="119" t="e">
        <f t="shared" si="28"/>
        <v>#N/A</v>
      </c>
      <c r="BA70" s="119" t="e">
        <f t="shared" si="29"/>
        <v>#N/A</v>
      </c>
      <c r="BB70" s="116" t="e">
        <f t="shared" si="30"/>
        <v>#N/A</v>
      </c>
      <c r="BC70" s="118" t="str">
        <f>IFERROR(INDEX($AQ$12:$BF$87,60,$BC$2),"")</f>
        <v/>
      </c>
      <c r="BD70" s="119" t="str">
        <f>IFERROR(INDEX($AQ$12:$BF$87,60,$BD$2),"")</f>
        <v/>
      </c>
      <c r="BE70" s="250" t="str">
        <f t="shared" si="31"/>
        <v/>
      </c>
      <c r="BF70" s="198" t="str">
        <f t="array" ref="BF70">INDEX(BE:BE,SMALL(IF($BE$2:$BE$143&lt;&gt;"",ROW($2:$143),144),ROW(BE69)))&amp;""</f>
        <v/>
      </c>
      <c r="BG70" s="130"/>
      <c r="BH70" s="130"/>
      <c r="BI70" s="130"/>
      <c r="BJ70" s="130"/>
      <c r="BK70" s="130"/>
      <c r="BL70" s="130"/>
      <c r="BM70" s="130"/>
      <c r="BN70" s="130"/>
      <c r="BO70" s="130"/>
      <c r="BP70" s="130"/>
      <c r="BQ70" s="130"/>
      <c r="BR70" s="130"/>
      <c r="BS70" s="130"/>
      <c r="BT70" s="130"/>
      <c r="BU70" s="130"/>
      <c r="BV70" s="130"/>
      <c r="BW70" s="130"/>
      <c r="BX70" s="130"/>
      <c r="BY70" s="130"/>
      <c r="BZ70" s="130"/>
    </row>
    <row r="71" spans="1:78" ht="14.4" customHeight="1" x14ac:dyDescent="0.25">
      <c r="A71" s="156">
        <v>55</v>
      </c>
      <c r="B71" s="320" t="str">
        <f>IF(OR(BH52&lt;1,COUNTIF($BG$2:$BG$46,"风暴之魂-冻原")),"风暴之魂-冻原","")</f>
        <v>风暴之魂-冻原</v>
      </c>
      <c r="C71" s="320" t="s">
        <v>2882</v>
      </c>
      <c r="D71" s="287" t="s">
        <v>2883</v>
      </c>
      <c r="E71" s="287" t="s">
        <v>2884</v>
      </c>
      <c r="F71" s="302" t="s">
        <v>2885</v>
      </c>
      <c r="G71" s="302" t="s">
        <v>2886</v>
      </c>
      <c r="H71" s="283" t="s">
        <v>2887</v>
      </c>
      <c r="I71" s="283" t="s">
        <v>2888</v>
      </c>
      <c r="J71" s="290" t="s">
        <v>2889</v>
      </c>
      <c r="K71" s="290" t="s">
        <v>2890</v>
      </c>
      <c r="L71" s="293" t="s">
        <v>2891</v>
      </c>
      <c r="M71" s="293" t="s">
        <v>2892</v>
      </c>
      <c r="N71" s="297" t="s">
        <v>2893</v>
      </c>
      <c r="O71" s="297" t="s">
        <v>2894</v>
      </c>
      <c r="P71" s="293" t="s">
        <v>2895</v>
      </c>
      <c r="Q71" s="293" t="s">
        <v>2896</v>
      </c>
      <c r="R71" s="287" t="s">
        <v>2897</v>
      </c>
      <c r="S71" s="287" t="s">
        <v>2898</v>
      </c>
      <c r="T71" s="283" t="s">
        <v>2899</v>
      </c>
      <c r="U71" s="283" t="s">
        <v>2900</v>
      </c>
      <c r="V71" s="274" t="str">
        <f>IF(AND(综合数据!B14=TRUE,OR(BI65&gt;0,COUNTIF($BG$2:$BG$46,"魔能祈唤-诡术师的逃脱术"))),"魔能祈唤-诡术师的逃脱术","")</f>
        <v/>
      </c>
      <c r="W71" s="273" t="s">
        <v>2901</v>
      </c>
      <c r="X71" s="290" t="s">
        <v>1258</v>
      </c>
      <c r="Y71" s="290" t="s">
        <v>2902</v>
      </c>
      <c r="Z71" s="293" t="s">
        <v>2903</v>
      </c>
      <c r="AA71" s="322" t="s">
        <v>2904</v>
      </c>
      <c r="AB71" s="119"/>
      <c r="AC71" s="119"/>
      <c r="AD71" s="119"/>
      <c r="AE71" s="119"/>
      <c r="AF71" s="119"/>
      <c r="AG71" s="119"/>
      <c r="AH71" s="119"/>
      <c r="AI71" s="119"/>
      <c r="AJ71" s="119"/>
      <c r="AK71" s="119"/>
      <c r="AL71" s="130"/>
      <c r="AM71" s="115" t="s">
        <v>1616</v>
      </c>
      <c r="AN71" s="106"/>
      <c r="AO71" s="106">
        <v>33</v>
      </c>
      <c r="AP71" s="116">
        <f>IF($AG$8=20,38,IF($AG$8&gt;=15,37,IF($AG$8&gt;=7,36,IF($AG$8&gt;=3,35,0))))</f>
        <v>0</v>
      </c>
      <c r="AQ71" s="115" t="e">
        <f t="shared" si="19"/>
        <v>#N/A</v>
      </c>
      <c r="AR71" s="119" t="e">
        <f t="shared" si="20"/>
        <v>#N/A</v>
      </c>
      <c r="AS71" s="119" t="e">
        <f t="shared" si="21"/>
        <v>#N/A</v>
      </c>
      <c r="AT71" s="116" t="e">
        <f t="shared" si="22"/>
        <v>#N/A</v>
      </c>
      <c r="AU71" s="115" t="e">
        <f t="shared" si="23"/>
        <v>#N/A</v>
      </c>
      <c r="AV71" s="119" t="e">
        <f t="shared" si="24"/>
        <v>#N/A</v>
      </c>
      <c r="AW71" s="119" t="e">
        <f t="shared" si="25"/>
        <v>#N/A</v>
      </c>
      <c r="AX71" s="116" t="e">
        <f t="shared" si="26"/>
        <v>#N/A</v>
      </c>
      <c r="AY71" s="115" t="e">
        <f t="shared" si="27"/>
        <v>#N/A</v>
      </c>
      <c r="AZ71" s="119" t="e">
        <f t="shared" si="28"/>
        <v>#N/A</v>
      </c>
      <c r="BA71" s="119" t="e">
        <f t="shared" si="29"/>
        <v>#N/A</v>
      </c>
      <c r="BB71" s="116" t="e">
        <f t="shared" si="30"/>
        <v>#N/A</v>
      </c>
      <c r="BC71" s="118" t="str">
        <f>IFERROR(INDEX($AQ$12:$BF$87,61,$BC$2),"")</f>
        <v/>
      </c>
      <c r="BD71" s="119" t="str">
        <f>IFERROR(INDEX($AQ$12:$BF$87,61,$BD$2),"")</f>
        <v/>
      </c>
      <c r="BE71" s="250" t="str">
        <f t="shared" si="31"/>
        <v/>
      </c>
      <c r="BF71" s="198" t="str">
        <f t="array" ref="BF71">INDEX(BE:BE,SMALL(IF($BE$2:$BE$143&lt;&gt;"",ROW($2:$143),144),ROW(BE70)))&amp;""</f>
        <v/>
      </c>
      <c r="BG71" s="130"/>
      <c r="BH71" s="130"/>
      <c r="BI71" s="130"/>
      <c r="BJ71" s="130"/>
      <c r="BK71" s="130"/>
      <c r="BL71" s="130"/>
      <c r="BM71" s="130"/>
      <c r="BN71" s="130"/>
      <c r="BO71" s="130"/>
      <c r="BP71" s="130"/>
      <c r="BQ71" s="130"/>
      <c r="BR71" s="130"/>
      <c r="BS71" s="130"/>
      <c r="BT71" s="130"/>
      <c r="BU71" s="130"/>
      <c r="BV71" s="130"/>
      <c r="BW71" s="130"/>
      <c r="BX71" s="130"/>
      <c r="BY71" s="130"/>
      <c r="BZ71" s="130"/>
    </row>
    <row r="72" spans="1:78" ht="14.4" customHeight="1" x14ac:dyDescent="0.25">
      <c r="A72" s="156">
        <v>56</v>
      </c>
      <c r="B72" s="297" t="s">
        <v>2905</v>
      </c>
      <c r="C72" s="297" t="s">
        <v>2906</v>
      </c>
      <c r="D72" s="130"/>
      <c r="E72" s="130"/>
      <c r="F72" s="283" t="s">
        <v>2907</v>
      </c>
      <c r="G72" s="283" t="s">
        <v>2908</v>
      </c>
      <c r="H72" s="283" t="s">
        <v>2909</v>
      </c>
      <c r="I72" s="283" t="s">
        <v>2910</v>
      </c>
      <c r="J72" s="290" t="s">
        <v>2911</v>
      </c>
      <c r="K72" s="290" t="s">
        <v>1861</v>
      </c>
      <c r="L72" s="293" t="s">
        <v>2912</v>
      </c>
      <c r="M72" s="293" t="s">
        <v>2913</v>
      </c>
      <c r="N72" s="297" t="s">
        <v>2914</v>
      </c>
      <c r="O72" s="297" t="s">
        <v>2915</v>
      </c>
      <c r="P72" s="293" t="s">
        <v>2916</v>
      </c>
      <c r="Q72" s="293" t="s">
        <v>2917</v>
      </c>
      <c r="R72" s="287" t="s">
        <v>2918</v>
      </c>
      <c r="S72" s="287" t="s">
        <v>2919</v>
      </c>
      <c r="T72" s="283" t="s">
        <v>2920</v>
      </c>
      <c r="U72" s="283" t="s">
        <v>2921</v>
      </c>
      <c r="V72" s="274" t="str">
        <f>IF(AND(COUNTIF(BG2:BG44,"*符之魔契"),OR(BI65&gt;0,COUNTIF($BG$2:$BG$46,"魔能祈唤-护符庇佑"))),"魔能祈唤-护符庇佑","")</f>
        <v/>
      </c>
      <c r="W72" s="278" t="s">
        <v>2922</v>
      </c>
      <c r="X72" s="290" t="s">
        <v>2923</v>
      </c>
      <c r="Y72" s="290" t="s">
        <v>2924</v>
      </c>
      <c r="Z72" s="293" t="s">
        <v>2925</v>
      </c>
      <c r="AA72" s="322" t="s">
        <v>2926</v>
      </c>
      <c r="AB72" s="119"/>
      <c r="AC72" s="119"/>
      <c r="AD72" s="119"/>
      <c r="AE72" s="119"/>
      <c r="AF72" s="119"/>
      <c r="AG72" s="119"/>
      <c r="AH72" s="119"/>
      <c r="AI72" s="119"/>
      <c r="AJ72" s="119"/>
      <c r="AK72" s="119"/>
      <c r="AL72" s="130"/>
      <c r="AM72" s="115" t="s">
        <v>1617</v>
      </c>
      <c r="AN72" s="106"/>
      <c r="AO72" s="106">
        <v>39</v>
      </c>
      <c r="AP72" s="116">
        <f>IF($AG$8=20,44,IF($AG$8&gt;=15,43,IF($AG$8&gt;=7,42,IF($AG$8&gt;=3,41,0))))</f>
        <v>0</v>
      </c>
      <c r="AQ72" s="115" t="e">
        <f t="shared" si="19"/>
        <v>#N/A</v>
      </c>
      <c r="AR72" s="119" t="e">
        <f t="shared" si="20"/>
        <v>#N/A</v>
      </c>
      <c r="AS72" s="119" t="e">
        <f t="shared" si="21"/>
        <v>#N/A</v>
      </c>
      <c r="AT72" s="116" t="e">
        <f t="shared" si="22"/>
        <v>#N/A</v>
      </c>
      <c r="AU72" s="115" t="e">
        <f t="shared" si="23"/>
        <v>#N/A</v>
      </c>
      <c r="AV72" s="119" t="e">
        <f t="shared" si="24"/>
        <v>#N/A</v>
      </c>
      <c r="AW72" s="119" t="e">
        <f t="shared" si="25"/>
        <v>#N/A</v>
      </c>
      <c r="AX72" s="116" t="e">
        <f t="shared" si="26"/>
        <v>#N/A</v>
      </c>
      <c r="AY72" s="115" t="e">
        <f t="shared" si="27"/>
        <v>#N/A</v>
      </c>
      <c r="AZ72" s="119" t="e">
        <f t="shared" si="28"/>
        <v>#N/A</v>
      </c>
      <c r="BA72" s="119" t="e">
        <f t="shared" si="29"/>
        <v>#N/A</v>
      </c>
      <c r="BB72" s="116" t="e">
        <f t="shared" si="30"/>
        <v>#N/A</v>
      </c>
      <c r="BC72" s="118" t="str">
        <f>IFERROR(INDEX($AQ$12:$BF$87,62,$BC$2),"")</f>
        <v/>
      </c>
      <c r="BD72" s="119" t="str">
        <f>IFERROR(INDEX($AQ$12:$BF$87,62,$BD$2),"")</f>
        <v/>
      </c>
      <c r="BE72" s="250" t="str">
        <f t="shared" si="31"/>
        <v/>
      </c>
      <c r="BF72" s="198" t="str">
        <f t="array" ref="BF72">INDEX(BE:BE,SMALL(IF($BE$2:$BE$143&lt;&gt;"",ROW($2:$143),144),ROW(BE71)))&amp;""</f>
        <v/>
      </c>
      <c r="BG72" s="130"/>
      <c r="BH72" s="130"/>
      <c r="BI72" s="130"/>
      <c r="BJ72" s="130"/>
      <c r="BK72" s="130"/>
      <c r="BL72" s="130"/>
      <c r="BM72" s="130"/>
      <c r="BN72" s="130"/>
      <c r="BO72" s="130"/>
      <c r="BP72" s="130"/>
      <c r="BQ72" s="130"/>
      <c r="BR72" s="130"/>
      <c r="BS72" s="130"/>
      <c r="BT72" s="130"/>
      <c r="BU72" s="130"/>
      <c r="BV72" s="130"/>
      <c r="BW72" s="130"/>
      <c r="BX72" s="130"/>
      <c r="BY72" s="130"/>
      <c r="BZ72" s="130"/>
    </row>
    <row r="73" spans="1:78" ht="14.4" customHeight="1" x14ac:dyDescent="0.25">
      <c r="A73" s="156">
        <v>57</v>
      </c>
      <c r="B73" s="297" t="s">
        <v>2487</v>
      </c>
      <c r="C73" s="297" t="s">
        <v>2927</v>
      </c>
      <c r="D73" s="130"/>
      <c r="E73" s="130"/>
      <c r="F73" s="283" t="s">
        <v>2928</v>
      </c>
      <c r="G73" s="283" t="s">
        <v>2629</v>
      </c>
      <c r="H73" s="283" t="s">
        <v>2929</v>
      </c>
      <c r="I73" s="283" t="s">
        <v>2930</v>
      </c>
      <c r="J73" s="290" t="s">
        <v>2931</v>
      </c>
      <c r="K73" s="290" t="s">
        <v>2932</v>
      </c>
      <c r="L73" s="297" t="s">
        <v>2933</v>
      </c>
      <c r="M73" s="297" t="s">
        <v>2934</v>
      </c>
      <c r="N73" s="302" t="s">
        <v>2935</v>
      </c>
      <c r="O73" s="302" t="s">
        <v>2936</v>
      </c>
      <c r="P73" s="293" t="s">
        <v>2937</v>
      </c>
      <c r="Q73" s="293" t="s">
        <v>2938</v>
      </c>
      <c r="R73" s="287" t="s">
        <v>2939</v>
      </c>
      <c r="S73" s="287" t="s">
        <v>2940</v>
      </c>
      <c r="T73" s="283" t="s">
        <v>2941</v>
      </c>
      <c r="U73" s="283" t="s">
        <v>2942</v>
      </c>
      <c r="V73" s="273" t="str">
        <f>IF(OR(BI65&gt;0,COUNTIF($BG$2:$BG$46,"魔能祈唤-星移步法")),"魔能祈唤-星移步法","")</f>
        <v/>
      </c>
      <c r="W73" s="273" t="s">
        <v>2943</v>
      </c>
      <c r="X73" s="293" t="s">
        <v>2944</v>
      </c>
      <c r="Y73" s="293" t="s">
        <v>2945</v>
      </c>
      <c r="Z73" s="297" t="s">
        <v>2438</v>
      </c>
      <c r="AA73" s="306" t="s">
        <v>2946</v>
      </c>
      <c r="AB73" s="119"/>
      <c r="AC73" s="119"/>
      <c r="AD73" s="119"/>
      <c r="AE73" s="119"/>
      <c r="AF73" s="119"/>
      <c r="AG73" s="119"/>
      <c r="AH73" s="119"/>
      <c r="AI73" s="119"/>
      <c r="AJ73" s="119"/>
      <c r="AK73" s="119"/>
      <c r="AL73" s="130"/>
      <c r="AM73" s="237" t="s">
        <v>2947</v>
      </c>
      <c r="AN73" s="237"/>
      <c r="AO73" s="237">
        <v>45</v>
      </c>
      <c r="AP73" s="281">
        <f>IF($AG$8=20,50,IF($AG$8&gt;=15,49,IF($AG$8&gt;=7,48,IF($AG$8&gt;=3,47,0))))</f>
        <v>0</v>
      </c>
      <c r="AQ73" s="115" t="e">
        <f t="shared" si="19"/>
        <v>#N/A</v>
      </c>
      <c r="AR73" s="119" t="e">
        <f t="shared" si="20"/>
        <v>#N/A</v>
      </c>
      <c r="AS73" s="119" t="e">
        <f t="shared" si="21"/>
        <v>#N/A</v>
      </c>
      <c r="AT73" s="116" t="e">
        <f t="shared" si="22"/>
        <v>#N/A</v>
      </c>
      <c r="AU73" s="115" t="e">
        <f t="shared" si="23"/>
        <v>#N/A</v>
      </c>
      <c r="AV73" s="119" t="e">
        <f t="shared" si="24"/>
        <v>#N/A</v>
      </c>
      <c r="AW73" s="119" t="e">
        <f t="shared" si="25"/>
        <v>#N/A</v>
      </c>
      <c r="AX73" s="116" t="e">
        <f t="shared" si="26"/>
        <v>#N/A</v>
      </c>
      <c r="AY73" s="115" t="e">
        <f t="shared" si="27"/>
        <v>#N/A</v>
      </c>
      <c r="AZ73" s="119" t="e">
        <f t="shared" si="28"/>
        <v>#N/A</v>
      </c>
      <c r="BA73" s="119" t="e">
        <f t="shared" si="29"/>
        <v>#N/A</v>
      </c>
      <c r="BB73" s="116" t="e">
        <f t="shared" si="30"/>
        <v>#N/A</v>
      </c>
      <c r="BC73" s="118" t="str">
        <f>IFERROR(INDEX($AQ$12:$BF$87,63,$BC$2),"")</f>
        <v/>
      </c>
      <c r="BD73" s="119" t="str">
        <f>IFERROR(INDEX($AQ$12:$BF$87,63,$BD$2),"")</f>
        <v/>
      </c>
      <c r="BE73" s="250" t="str">
        <f t="shared" si="31"/>
        <v/>
      </c>
      <c r="BF73" s="198" t="str">
        <f t="array" ref="BF73">INDEX(BE:BE,SMALL(IF($BE$2:$BE$143&lt;&gt;"",ROW($2:$143),144),ROW(BE72)))&amp;""</f>
        <v/>
      </c>
      <c r="BG73" s="130"/>
      <c r="BH73" s="130"/>
      <c r="BI73" s="130"/>
      <c r="BJ73" s="130"/>
      <c r="BK73" s="130"/>
      <c r="BL73" s="130"/>
      <c r="BM73" s="130"/>
      <c r="BN73" s="130"/>
      <c r="BO73" s="130"/>
      <c r="BP73" s="130"/>
      <c r="BQ73" s="130"/>
      <c r="BR73" s="130"/>
      <c r="BS73" s="130"/>
      <c r="BT73" s="130"/>
      <c r="BU73" s="130"/>
      <c r="BV73" s="130"/>
      <c r="BW73" s="130"/>
      <c r="BX73" s="130"/>
      <c r="BY73" s="130"/>
      <c r="BZ73" s="130"/>
    </row>
    <row r="74" spans="1:78" ht="14.4" customHeight="1" x14ac:dyDescent="0.25">
      <c r="A74" s="156">
        <v>58</v>
      </c>
      <c r="B74" s="320" t="str">
        <f>IF(OR(BH53&lt;1,COUNTIF($BG$2:$BG$46,"风暴之魂-沙漠")),"风暴之魂-沙漠","")</f>
        <v>风暴之魂-沙漠</v>
      </c>
      <c r="C74" s="320" t="s">
        <v>2948</v>
      </c>
      <c r="D74" s="130"/>
      <c r="E74" s="130"/>
      <c r="F74" s="283" t="s">
        <v>2949</v>
      </c>
      <c r="G74" s="283" t="s">
        <v>2950</v>
      </c>
      <c r="H74" s="283" t="s">
        <v>2951</v>
      </c>
      <c r="I74" s="283" t="s">
        <v>2952</v>
      </c>
      <c r="J74" s="290" t="s">
        <v>2953</v>
      </c>
      <c r="K74" s="290" t="s">
        <v>2954</v>
      </c>
      <c r="L74" s="297" t="s">
        <v>2955</v>
      </c>
      <c r="M74" s="297" t="s">
        <v>2956</v>
      </c>
      <c r="N74" s="326" t="s">
        <v>2957</v>
      </c>
      <c r="O74" s="326" t="s">
        <v>2958</v>
      </c>
      <c r="P74" s="293" t="s">
        <v>2959</v>
      </c>
      <c r="Q74" s="293" t="s">
        <v>2960</v>
      </c>
      <c r="R74" s="287" t="s">
        <v>2961</v>
      </c>
      <c r="S74" s="287" t="s">
        <v>2962</v>
      </c>
      <c r="T74" s="283" t="s">
        <v>2963</v>
      </c>
      <c r="U74" s="283" t="s">
        <v>2964</v>
      </c>
      <c r="V74" s="273" t="str">
        <f>IF(OR(BI65&gt;0,COUNTIF($BG$2:$BG$46,"魔能祈唤-混沌手下")),"魔能祈唤-混沌手下","")</f>
        <v/>
      </c>
      <c r="W74" s="273" t="s">
        <v>2965</v>
      </c>
      <c r="X74" s="293" t="s">
        <v>2966</v>
      </c>
      <c r="Y74" s="293" t="s">
        <v>2967</v>
      </c>
      <c r="Z74" s="297" t="s">
        <v>2968</v>
      </c>
      <c r="AA74" s="306" t="s">
        <v>2969</v>
      </c>
      <c r="AB74" s="119"/>
      <c r="AC74" s="119"/>
      <c r="AD74" s="119"/>
      <c r="AE74" s="119"/>
      <c r="AF74" s="119"/>
      <c r="AG74" s="119"/>
      <c r="AH74" s="119"/>
      <c r="AI74" s="119"/>
      <c r="AJ74" s="119"/>
      <c r="AK74" s="119"/>
      <c r="AL74" s="130"/>
      <c r="AM74" s="327" t="s">
        <v>2970</v>
      </c>
      <c r="AN74" s="259"/>
      <c r="AO74" s="259">
        <v>51</v>
      </c>
      <c r="AP74" s="328">
        <f>IF($AG$8=20,56,IF($AG$8&gt;=15,55,IF($AG$8&gt;=7,54,IF($AG$8&gt;=3,53,0))))</f>
        <v>0</v>
      </c>
      <c r="AQ74" s="115" t="e">
        <f t="shared" si="19"/>
        <v>#N/A</v>
      </c>
      <c r="AR74" s="119" t="e">
        <f t="shared" si="20"/>
        <v>#N/A</v>
      </c>
      <c r="AS74" s="119" t="e">
        <f t="shared" si="21"/>
        <v>#N/A</v>
      </c>
      <c r="AT74" s="116" t="e">
        <f t="shared" si="22"/>
        <v>#N/A</v>
      </c>
      <c r="AU74" s="115" t="e">
        <f t="shared" si="23"/>
        <v>#N/A</v>
      </c>
      <c r="AV74" s="119" t="e">
        <f t="shared" si="24"/>
        <v>#N/A</v>
      </c>
      <c r="AW74" s="119" t="e">
        <f t="shared" si="25"/>
        <v>#N/A</v>
      </c>
      <c r="AX74" s="116" t="e">
        <f t="shared" si="26"/>
        <v>#N/A</v>
      </c>
      <c r="AY74" s="115" t="e">
        <f t="shared" si="27"/>
        <v>#N/A</v>
      </c>
      <c r="AZ74" s="119" t="e">
        <f t="shared" si="28"/>
        <v>#N/A</v>
      </c>
      <c r="BA74" s="119" t="e">
        <f t="shared" si="29"/>
        <v>#N/A</v>
      </c>
      <c r="BB74" s="116" t="e">
        <f t="shared" si="30"/>
        <v>#N/A</v>
      </c>
      <c r="BC74" s="118" t="str">
        <f>IFERROR(INDEX($AQ$12:$BF$87,64,$BC$2),"")</f>
        <v/>
      </c>
      <c r="BD74" s="119" t="str">
        <f>IFERROR(INDEX($AQ$12:$BF$87,64,$BD$2),"")</f>
        <v/>
      </c>
      <c r="BE74" s="250" t="str">
        <f t="shared" si="31"/>
        <v/>
      </c>
      <c r="BF74" s="198" t="str">
        <f t="array" ref="BF74">INDEX(BE:BE,SMALL(IF($BE$2:$BE$143&lt;&gt;"",ROW($2:$143),144),ROW(BE73)))&amp;""</f>
        <v/>
      </c>
      <c r="BG74" s="130"/>
      <c r="BH74" s="130"/>
      <c r="BI74" s="130"/>
      <c r="BJ74" s="130"/>
      <c r="BK74" s="130"/>
      <c r="BL74" s="130"/>
      <c r="BM74" s="130"/>
      <c r="BN74" s="130"/>
      <c r="BO74" s="130"/>
      <c r="BP74" s="130"/>
      <c r="BQ74" s="130"/>
      <c r="BR74" s="130"/>
      <c r="BS74" s="130"/>
      <c r="BT74" s="130"/>
      <c r="BU74" s="130"/>
      <c r="BV74" s="130"/>
      <c r="BW74" s="130"/>
      <c r="BX74" s="130"/>
      <c r="BY74" s="130"/>
      <c r="BZ74" s="130"/>
    </row>
    <row r="75" spans="1:78" ht="14.4" customHeight="1" x14ac:dyDescent="0.25">
      <c r="A75" s="156">
        <v>59</v>
      </c>
      <c r="B75" s="320" t="str">
        <f>IF(OR(BH53&lt;1,COUNTIF($BG$2:$BG$46,"风暴之魂-海洋")),"风暴之魂-海洋","")</f>
        <v>风暴之魂-海洋</v>
      </c>
      <c r="C75" s="320" t="s">
        <v>2971</v>
      </c>
      <c r="D75" s="130"/>
      <c r="E75" s="130"/>
      <c r="F75" s="289" t="s">
        <v>2972</v>
      </c>
      <c r="G75" s="289" t="s">
        <v>2973</v>
      </c>
      <c r="H75" s="130"/>
      <c r="I75" s="130"/>
      <c r="J75" s="290" t="s">
        <v>2974</v>
      </c>
      <c r="K75" s="290" t="s">
        <v>2975</v>
      </c>
      <c r="L75" s="297" t="s">
        <v>2976</v>
      </c>
      <c r="M75" s="297" t="s">
        <v>2977</v>
      </c>
      <c r="N75" s="326" t="s">
        <v>2978</v>
      </c>
      <c r="O75" s="326" t="s">
        <v>2979</v>
      </c>
      <c r="P75" s="293" t="s">
        <v>2980</v>
      </c>
      <c r="Q75" s="293" t="s">
        <v>2981</v>
      </c>
      <c r="R75" s="290" t="s">
        <v>2982</v>
      </c>
      <c r="S75" s="290" t="s">
        <v>2983</v>
      </c>
      <c r="T75" s="287" t="s">
        <v>2984</v>
      </c>
      <c r="U75" s="287" t="s">
        <v>2985</v>
      </c>
      <c r="V75" s="273" t="str">
        <f>IF(OR(BI65&gt;0,COUNTIF($BG$2:$BG$46,"魔能祈唤-超凡跳跃")),"魔能祈唤-超凡跳跃","")</f>
        <v/>
      </c>
      <c r="W75" s="273" t="s">
        <v>2986</v>
      </c>
      <c r="X75" s="293" t="s">
        <v>2987</v>
      </c>
      <c r="Y75" s="293" t="s">
        <v>2988</v>
      </c>
      <c r="Z75" s="297" t="s">
        <v>2989</v>
      </c>
      <c r="AA75" s="306" t="s">
        <v>2990</v>
      </c>
      <c r="AB75" s="119"/>
      <c r="AC75" s="119"/>
      <c r="AD75" s="119"/>
      <c r="AE75" s="119"/>
      <c r="AF75" s="119"/>
      <c r="AG75" s="119"/>
      <c r="AH75" s="119"/>
      <c r="AI75" s="119"/>
      <c r="AJ75" s="119"/>
      <c r="AK75" s="119"/>
      <c r="AL75" s="130"/>
      <c r="AM75" s="329" t="s">
        <v>2991</v>
      </c>
      <c r="AN75" s="251"/>
      <c r="AO75" s="251">
        <v>57</v>
      </c>
      <c r="AP75" s="251">
        <f>IF($AG$8=20,62,IF($AG$8&gt;=15,61,IF($AG$8&gt;=7,60,IF($AG$8&gt;=3,59,0))))</f>
        <v>0</v>
      </c>
      <c r="AQ75" s="115" t="e">
        <f t="shared" si="19"/>
        <v>#N/A</v>
      </c>
      <c r="AR75" s="119" t="e">
        <f t="shared" si="20"/>
        <v>#N/A</v>
      </c>
      <c r="AS75" s="119" t="e">
        <f t="shared" si="21"/>
        <v>#N/A</v>
      </c>
      <c r="AT75" s="116" t="e">
        <f t="shared" si="22"/>
        <v>#N/A</v>
      </c>
      <c r="AU75" s="115" t="e">
        <f t="shared" si="23"/>
        <v>#N/A</v>
      </c>
      <c r="AV75" s="119" t="e">
        <f t="shared" si="24"/>
        <v>#N/A</v>
      </c>
      <c r="AW75" s="119" t="e">
        <f t="shared" si="25"/>
        <v>#N/A</v>
      </c>
      <c r="AX75" s="116" t="e">
        <f t="shared" si="26"/>
        <v>#N/A</v>
      </c>
      <c r="AY75" s="115" t="e">
        <f t="shared" si="27"/>
        <v>#N/A</v>
      </c>
      <c r="AZ75" s="119" t="e">
        <f t="shared" si="28"/>
        <v>#N/A</v>
      </c>
      <c r="BA75" s="119" t="e">
        <f t="shared" si="29"/>
        <v>#N/A</v>
      </c>
      <c r="BB75" s="116" t="e">
        <f t="shared" si="30"/>
        <v>#N/A</v>
      </c>
      <c r="BC75" s="118" t="str">
        <f>IFERROR(INDEX($AQ$12:$BF$87,65,$BC$2),"")</f>
        <v/>
      </c>
      <c r="BD75" s="119" t="str">
        <f>IFERROR(INDEX($AQ$12:$BF$87,65,$BD$2),"")</f>
        <v/>
      </c>
      <c r="BE75" s="250" t="str">
        <f t="shared" si="31"/>
        <v/>
      </c>
      <c r="BF75" s="198" t="str">
        <f t="array" ref="BF75">INDEX(BE:BE,SMALL(IF($BE$2:$BE$143&lt;&gt;"",ROW($2:$143),144),ROW(BE74)))&amp;""</f>
        <v/>
      </c>
      <c r="BG75" s="130"/>
      <c r="BH75" s="130"/>
      <c r="BI75" s="130"/>
      <c r="BJ75" s="130"/>
      <c r="BK75" s="130"/>
      <c r="BL75" s="130"/>
      <c r="BM75" s="130"/>
      <c r="BN75" s="130"/>
      <c r="BO75" s="130"/>
      <c r="BP75" s="130"/>
      <c r="BQ75" s="130"/>
      <c r="BR75" s="130"/>
      <c r="BS75" s="130"/>
      <c r="BT75" s="130"/>
      <c r="BU75" s="130"/>
      <c r="BV75" s="130"/>
      <c r="BW75" s="130"/>
      <c r="BX75" s="130"/>
      <c r="BY75" s="130"/>
      <c r="BZ75" s="130"/>
    </row>
    <row r="76" spans="1:78" ht="14.4" customHeight="1" x14ac:dyDescent="0.25">
      <c r="A76" s="156">
        <v>60</v>
      </c>
      <c r="B76" s="320" t="str">
        <f>IF(OR(BH53&lt;1,COUNTIF($BG$2:$BG$46,"风暴之魂-冻原")),"风暴之魂-冻原","")</f>
        <v>风暴之魂-冻原</v>
      </c>
      <c r="C76" s="320" t="s">
        <v>2992</v>
      </c>
      <c r="D76" s="130"/>
      <c r="E76" s="130"/>
      <c r="F76" s="289" t="s">
        <v>2993</v>
      </c>
      <c r="G76" s="289" t="s">
        <v>2994</v>
      </c>
      <c r="H76" s="130"/>
      <c r="I76" s="130"/>
      <c r="J76" s="290" t="s">
        <v>2995</v>
      </c>
      <c r="K76" s="290" t="s">
        <v>2996</v>
      </c>
      <c r="L76" s="297" t="s">
        <v>2997</v>
      </c>
      <c r="M76" s="297" t="s">
        <v>2998</v>
      </c>
      <c r="N76" s="302" t="s">
        <v>2999</v>
      </c>
      <c r="O76" s="302" t="s">
        <v>3000</v>
      </c>
      <c r="P76" s="293" t="s">
        <v>3001</v>
      </c>
      <c r="Q76" s="293" t="s">
        <v>3002</v>
      </c>
      <c r="R76" s="290" t="s">
        <v>3003</v>
      </c>
      <c r="S76" s="290" t="s">
        <v>3004</v>
      </c>
      <c r="T76" s="287" t="s">
        <v>3005</v>
      </c>
      <c r="U76" s="287" t="s">
        <v>3006</v>
      </c>
      <c r="V76" s="273" t="str">
        <f>IF(OR(BI65&gt;0,COUNTIF($BG$2:$BG$46,"魔能祈唤-坟墓低语")),"魔能祈唤-坟墓低语","")</f>
        <v/>
      </c>
      <c r="W76" s="273" t="s">
        <v>3007</v>
      </c>
      <c r="X76" s="293" t="s">
        <v>3008</v>
      </c>
      <c r="Y76" s="293" t="s">
        <v>3009</v>
      </c>
      <c r="Z76" s="297" t="s">
        <v>2837</v>
      </c>
      <c r="AA76" s="306" t="s">
        <v>3010</v>
      </c>
      <c r="AB76" s="119"/>
      <c r="AC76" s="119"/>
      <c r="AD76" s="119"/>
      <c r="AE76" s="119"/>
      <c r="AF76" s="119"/>
      <c r="AG76" s="119"/>
      <c r="AH76" s="119"/>
      <c r="AI76" s="119"/>
      <c r="AJ76" s="119"/>
      <c r="AK76" s="119"/>
      <c r="AL76" s="130"/>
      <c r="AM76" s="329" t="s">
        <v>3011</v>
      </c>
      <c r="AN76" s="251"/>
      <c r="AO76" s="251">
        <v>63</v>
      </c>
      <c r="AP76" s="251">
        <f>IF($AG$8=20,68,IF($AG$8&gt;=15,67,IF($AG$8&gt;=7,66,IF($AG$8&gt;=3,65,0))))</f>
        <v>0</v>
      </c>
      <c r="AQ76" s="115" t="e">
        <f t="shared" ref="AQ76:AQ87" si="32">IF(AQ75+1&gt;$AT$3,IF(AQ75+1&gt;$AT$3,IF($AS$4+AT75&gt;$AT$4,"",$AS$4+AT75)),AQ75+1)</f>
        <v>#N/A</v>
      </c>
      <c r="AR76" s="119" t="e">
        <f t="shared" ref="AR76:AR87" si="33">INDEX($B$17:$AA$154,AQ76,$AR$4)</f>
        <v>#N/A</v>
      </c>
      <c r="AS76" s="119" t="e">
        <f t="shared" ref="AS76:AS87" si="34">INDEX($B$17:$AA$154,AQ76,$AR$3)</f>
        <v>#N/A</v>
      </c>
      <c r="AT76" s="116" t="e">
        <f t="shared" ref="AT76:AT87" si="35">IF(AQ75+1&gt;$AT$3,AT75+1,0)</f>
        <v>#N/A</v>
      </c>
      <c r="AU76" s="115" t="e">
        <f t="shared" ref="AU76:AU87" si="36">IF($AU75+1&gt;$AX$3,IF($AU75+1&gt;$AX$3,IF($AW$4+AX75&gt;$AX$4,"",$AW$4+AX75)),$AU75+1)</f>
        <v>#N/A</v>
      </c>
      <c r="AV76" s="119" t="e">
        <f t="shared" ref="AV76:AV87" si="37">INDEX($B$17:$AA$154,AU76,$AV$4)</f>
        <v>#N/A</v>
      </c>
      <c r="AW76" s="119" t="e">
        <f t="shared" ref="AW76:AW87" si="38">INDEX($B$17:$AA$154,AU76,$AV$3)</f>
        <v>#N/A</v>
      </c>
      <c r="AX76" s="116" t="e">
        <f t="shared" ref="AX76:AX87" si="39">IF($AU75+1&gt;$AX$3,$AX75+1,0)</f>
        <v>#N/A</v>
      </c>
      <c r="AY76" s="115" t="e">
        <f t="shared" ref="AY76:AY87" si="40">IF($AY75+1&gt;$BB$3,IF($AY75+1&gt;$BB$3,IF($BA$4+BB75&gt;$BB$4,"",$BA$4+BB75)),$AY75+1)</f>
        <v>#N/A</v>
      </c>
      <c r="AZ76" s="119" t="e">
        <f t="shared" ref="AZ76:AZ87" si="41">INDEX($B$17:$AA$154,AY76,$AZ$4)</f>
        <v>#N/A</v>
      </c>
      <c r="BA76" s="119" t="e">
        <f t="shared" ref="BA76:BA87" si="42">INDEX($B$17:$AA$154,AY76,$AZ$3)</f>
        <v>#N/A</v>
      </c>
      <c r="BB76" s="116" t="e">
        <f t="shared" ref="BB76:BB87" si="43">IF($AY75+1&gt;$BB$3,$BB75+1,0)</f>
        <v>#N/A</v>
      </c>
      <c r="BC76" s="118" t="str">
        <f>IFERROR(INDEX($AQ$12:$BF$87,66,$BC$2),"")</f>
        <v/>
      </c>
      <c r="BD76" s="119" t="str">
        <f>IFERROR(INDEX($AQ$12:$BF$87,66,$BD$2),"")</f>
        <v/>
      </c>
      <c r="BE76" s="250" t="str">
        <f t="shared" si="31"/>
        <v/>
      </c>
      <c r="BF76" s="198" t="str">
        <f t="array" ref="BF76">INDEX(BE:BE,SMALL(IF($BE$2:$BE$143&lt;&gt;"",ROW($2:$143),144),ROW(BE75)))&amp;""</f>
        <v/>
      </c>
      <c r="BG76" s="130"/>
      <c r="BH76" s="130"/>
      <c r="BI76" s="130"/>
      <c r="BJ76" s="130"/>
      <c r="BK76" s="130"/>
      <c r="BL76" s="130"/>
      <c r="BM76" s="130"/>
      <c r="BN76" s="130"/>
      <c r="BO76" s="130"/>
      <c r="BP76" s="130"/>
      <c r="BQ76" s="130"/>
      <c r="BR76" s="130"/>
      <c r="BS76" s="130"/>
      <c r="BT76" s="130"/>
      <c r="BU76" s="130"/>
      <c r="BV76" s="130"/>
      <c r="BW76" s="130"/>
      <c r="BX76" s="130"/>
      <c r="BY76" s="130"/>
      <c r="BZ76" s="130"/>
    </row>
    <row r="77" spans="1:78" ht="14.4" customHeight="1" x14ac:dyDescent="0.25">
      <c r="A77" s="156">
        <v>61</v>
      </c>
      <c r="B77" s="330" t="s">
        <v>3012</v>
      </c>
      <c r="C77" s="330" t="s">
        <v>3013</v>
      </c>
      <c r="D77" s="130"/>
      <c r="E77" s="130"/>
      <c r="F77" s="283" t="str">
        <f>IF(OR(BH55&lt;1,COUNTIF($BG$2:$BG$46,"神圣打击")),"神圣打击","")</f>
        <v>神圣打击</v>
      </c>
      <c r="G77" s="283" t="s">
        <v>3014</v>
      </c>
      <c r="H77" s="130"/>
      <c r="I77" s="130"/>
      <c r="J77" s="290" t="s">
        <v>3015</v>
      </c>
      <c r="K77" s="290" t="s">
        <v>3016</v>
      </c>
      <c r="L77" s="297" t="s">
        <v>3017</v>
      </c>
      <c r="M77" s="297" t="s">
        <v>3018</v>
      </c>
      <c r="N77" s="302" t="s">
        <v>3019</v>
      </c>
      <c r="O77" s="302" t="s">
        <v>3020</v>
      </c>
      <c r="P77" s="297" t="s">
        <v>3021</v>
      </c>
      <c r="Q77" s="297" t="s">
        <v>3022</v>
      </c>
      <c r="R77" s="290" t="s">
        <v>3023</v>
      </c>
      <c r="S77" s="290" t="s">
        <v>3024</v>
      </c>
      <c r="T77" s="287" t="s">
        <v>3025</v>
      </c>
      <c r="U77" s="287" t="s">
        <v>3026</v>
      </c>
      <c r="V77" s="274" t="str">
        <f>IF(AND(综合数据!B14=TRUE,COUNTIF(BG2:BG44,"*书之魔契"),OR(BI65&gt;0,COUNTIF($BG$2:$BG$46,"魔能祈唤-守护馈赠"))),"魔能祈唤-守护馈赠","")</f>
        <v/>
      </c>
      <c r="W77" s="278" t="s">
        <v>3027</v>
      </c>
      <c r="X77" s="293" t="s">
        <v>3028</v>
      </c>
      <c r="Y77" s="293" t="s">
        <v>3029</v>
      </c>
      <c r="Z77" s="324" t="str">
        <f>IF(OR(BH68&lt;1,COUNTIF($BG$2:$BG$46,"守护者")),"守护者","")</f>
        <v>守护者</v>
      </c>
      <c r="AA77" s="331" t="s">
        <v>3030</v>
      </c>
      <c r="AB77" s="314"/>
      <c r="AC77" s="314"/>
      <c r="AD77" s="314"/>
      <c r="AE77" s="314"/>
      <c r="AF77" s="314"/>
      <c r="AG77" s="314"/>
      <c r="AH77" s="314"/>
      <c r="AI77" s="314"/>
      <c r="AJ77" s="314"/>
      <c r="AK77" s="314"/>
      <c r="AL77" s="130"/>
      <c r="AM77" s="332" t="s">
        <v>3031</v>
      </c>
      <c r="AN77" s="252"/>
      <c r="AO77" s="252">
        <v>69</v>
      </c>
      <c r="AP77" s="252">
        <f>IF($AG$8=20,74,IF($AG$8&gt;=15,73,IF($AG$8&gt;=7,72,IF($AG$8&gt;=3,71,0))))</f>
        <v>0</v>
      </c>
      <c r="AQ77" s="115" t="e">
        <f t="shared" si="32"/>
        <v>#N/A</v>
      </c>
      <c r="AR77" s="119" t="e">
        <f t="shared" si="33"/>
        <v>#N/A</v>
      </c>
      <c r="AS77" s="119" t="e">
        <f t="shared" si="34"/>
        <v>#N/A</v>
      </c>
      <c r="AT77" s="116" t="e">
        <f t="shared" si="35"/>
        <v>#N/A</v>
      </c>
      <c r="AU77" s="115" t="e">
        <f t="shared" si="36"/>
        <v>#N/A</v>
      </c>
      <c r="AV77" s="119" t="e">
        <f t="shared" si="37"/>
        <v>#N/A</v>
      </c>
      <c r="AW77" s="119" t="e">
        <f t="shared" si="38"/>
        <v>#N/A</v>
      </c>
      <c r="AX77" s="116" t="e">
        <f t="shared" si="39"/>
        <v>#N/A</v>
      </c>
      <c r="AY77" s="115" t="e">
        <f t="shared" si="40"/>
        <v>#N/A</v>
      </c>
      <c r="AZ77" s="119" t="e">
        <f t="shared" si="41"/>
        <v>#N/A</v>
      </c>
      <c r="BA77" s="119" t="e">
        <f t="shared" si="42"/>
        <v>#N/A</v>
      </c>
      <c r="BB77" s="116" t="e">
        <f t="shared" si="43"/>
        <v>#N/A</v>
      </c>
      <c r="BC77" s="118" t="str">
        <f>IFERROR(INDEX($AQ$12:$BF$87,67,$BC$2),"")</f>
        <v/>
      </c>
      <c r="BD77" s="119" t="str">
        <f>IFERROR(INDEX($AQ$12:$BF$87,67,$BD$2),"")</f>
        <v/>
      </c>
      <c r="BE77" s="250" t="str">
        <f t="shared" si="31"/>
        <v/>
      </c>
      <c r="BF77" s="198" t="str">
        <f t="array" ref="BF77">INDEX(BE:BE,SMALL(IF($BE$2:$BE$143&lt;&gt;"",ROW($2:$143),144),ROW(BE76)))&amp;""</f>
        <v/>
      </c>
      <c r="BG77" s="130"/>
      <c r="BH77" s="130"/>
      <c r="BI77" s="130"/>
      <c r="BJ77" s="130"/>
      <c r="BK77" s="130"/>
      <c r="BL77" s="130"/>
      <c r="BM77" s="130"/>
      <c r="BN77" s="130"/>
      <c r="BO77" s="130"/>
      <c r="BP77" s="130"/>
      <c r="BQ77" s="130"/>
      <c r="BR77" s="130"/>
      <c r="BS77" s="130"/>
      <c r="BT77" s="130"/>
      <c r="BU77" s="130"/>
      <c r="BV77" s="130"/>
      <c r="BW77" s="130"/>
      <c r="BX77" s="130"/>
      <c r="BY77" s="130"/>
      <c r="BZ77" s="130"/>
    </row>
    <row r="78" spans="1:78" ht="14.4" customHeight="1" x14ac:dyDescent="0.25">
      <c r="A78" s="156">
        <v>62</v>
      </c>
      <c r="B78" s="330" t="s">
        <v>3032</v>
      </c>
      <c r="C78" s="330" t="s">
        <v>3033</v>
      </c>
      <c r="D78" s="130"/>
      <c r="E78" s="130"/>
      <c r="F78" s="283" t="s">
        <v>3034</v>
      </c>
      <c r="G78" s="283" t="s">
        <v>3035</v>
      </c>
      <c r="H78" s="130"/>
      <c r="I78" s="130"/>
      <c r="J78" s="293" t="s">
        <v>3036</v>
      </c>
      <c r="K78" s="293" t="s">
        <v>3037</v>
      </c>
      <c r="L78" s="302" t="s">
        <v>3038</v>
      </c>
      <c r="M78" s="302" t="s">
        <v>3039</v>
      </c>
      <c r="N78" s="302" t="s">
        <v>3040</v>
      </c>
      <c r="O78" s="302" t="s">
        <v>3041</v>
      </c>
      <c r="P78" s="297" t="s">
        <v>3042</v>
      </c>
      <c r="Q78" s="297" t="s">
        <v>3043</v>
      </c>
      <c r="R78" s="290" t="s">
        <v>3044</v>
      </c>
      <c r="S78" s="290" t="s">
        <v>3045</v>
      </c>
      <c r="T78" s="287" t="s">
        <v>3046</v>
      </c>
      <c r="U78" s="287" t="s">
        <v>3047</v>
      </c>
      <c r="V78" s="333" t="s">
        <v>3048</v>
      </c>
      <c r="W78" s="333" t="s">
        <v>3049</v>
      </c>
      <c r="X78" s="297" t="s">
        <v>3050</v>
      </c>
      <c r="Y78" s="297" t="s">
        <v>3051</v>
      </c>
      <c r="Z78" s="324" t="str">
        <f>IF(OR(BH68&lt;1,COUNTIF($BG$2:$BG$46,"渗透者")),"渗透者","")</f>
        <v>渗透者</v>
      </c>
      <c r="AA78" s="331" t="s">
        <v>3052</v>
      </c>
      <c r="AB78" s="314"/>
      <c r="AC78" s="314"/>
      <c r="AD78" s="314"/>
      <c r="AE78" s="314"/>
      <c r="AF78" s="314"/>
      <c r="AG78" s="314"/>
      <c r="AH78" s="314"/>
      <c r="AI78" s="314"/>
      <c r="AJ78" s="314"/>
      <c r="AK78" s="314"/>
      <c r="AL78" s="130"/>
      <c r="AM78" s="334" t="s">
        <v>3053</v>
      </c>
      <c r="AN78" s="253"/>
      <c r="AO78" s="253">
        <v>75</v>
      </c>
      <c r="AP78" s="253">
        <f>IF($AG$8=20,80,IF($AG$8&gt;=15,79,IF($AG$8&gt;=7,78,IF($AG$8&gt;=3,77,0))))</f>
        <v>0</v>
      </c>
      <c r="AQ78" s="115" t="e">
        <f t="shared" si="32"/>
        <v>#N/A</v>
      </c>
      <c r="AR78" s="119" t="e">
        <f t="shared" si="33"/>
        <v>#N/A</v>
      </c>
      <c r="AS78" s="119" t="e">
        <f t="shared" si="34"/>
        <v>#N/A</v>
      </c>
      <c r="AT78" s="116" t="e">
        <f t="shared" si="35"/>
        <v>#N/A</v>
      </c>
      <c r="AU78" s="115" t="e">
        <f t="shared" si="36"/>
        <v>#N/A</v>
      </c>
      <c r="AV78" s="119" t="e">
        <f t="shared" si="37"/>
        <v>#N/A</v>
      </c>
      <c r="AW78" s="119" t="e">
        <f t="shared" si="38"/>
        <v>#N/A</v>
      </c>
      <c r="AX78" s="116" t="e">
        <f t="shared" si="39"/>
        <v>#N/A</v>
      </c>
      <c r="AY78" s="115" t="e">
        <f t="shared" si="40"/>
        <v>#N/A</v>
      </c>
      <c r="AZ78" s="119" t="e">
        <f t="shared" si="41"/>
        <v>#N/A</v>
      </c>
      <c r="BA78" s="119" t="e">
        <f t="shared" si="42"/>
        <v>#N/A</v>
      </c>
      <c r="BB78" s="116" t="e">
        <f t="shared" si="43"/>
        <v>#N/A</v>
      </c>
      <c r="BC78" s="118" t="str">
        <f>IFERROR(INDEX($AQ$12:$BF$87,68,$BC$2),"")</f>
        <v/>
      </c>
      <c r="BD78" s="119" t="str">
        <f>IFERROR(INDEX($AQ$12:$BF$87,68,$BD$2),"")</f>
        <v/>
      </c>
      <c r="BE78" s="250" t="str">
        <f t="shared" si="31"/>
        <v/>
      </c>
      <c r="BF78" s="198" t="str">
        <f t="array" ref="BF78">INDEX(BE:BE,SMALL(IF($BE$2:$BE$143&lt;&gt;"",ROW($2:$143),144),ROW(BE77)))&amp;""</f>
        <v/>
      </c>
      <c r="BG78" s="130"/>
      <c r="BH78" s="130"/>
      <c r="BI78" s="130"/>
      <c r="BJ78" s="130"/>
      <c r="BK78" s="130"/>
      <c r="BL78" s="130"/>
      <c r="BM78" s="130"/>
      <c r="BN78" s="130"/>
      <c r="BO78" s="130"/>
      <c r="BP78" s="130"/>
      <c r="BQ78" s="130"/>
      <c r="BR78" s="130"/>
      <c r="BS78" s="130"/>
      <c r="BT78" s="130"/>
      <c r="BU78" s="130"/>
      <c r="BV78" s="130"/>
      <c r="BW78" s="130"/>
      <c r="BX78" s="130"/>
      <c r="BY78" s="130"/>
      <c r="BZ78" s="130"/>
    </row>
    <row r="79" spans="1:78" ht="14.4" customHeight="1" x14ac:dyDescent="0.25">
      <c r="A79" s="156">
        <v>63</v>
      </c>
      <c r="B79" s="330" t="s">
        <v>3054</v>
      </c>
      <c r="C79" s="330" t="s">
        <v>3055</v>
      </c>
      <c r="D79" s="130"/>
      <c r="E79" s="130"/>
      <c r="F79" s="287" t="s">
        <v>3056</v>
      </c>
      <c r="G79" s="287" t="s">
        <v>3057</v>
      </c>
      <c r="H79" s="130"/>
      <c r="I79" s="130"/>
      <c r="J79" s="293" t="s">
        <v>3058</v>
      </c>
      <c r="K79" s="293" t="s">
        <v>3059</v>
      </c>
      <c r="L79" s="302" t="s">
        <v>3060</v>
      </c>
      <c r="M79" s="302" t="s">
        <v>3061</v>
      </c>
      <c r="N79" s="283" t="s">
        <v>3062</v>
      </c>
      <c r="O79" s="283" t="s">
        <v>3063</v>
      </c>
      <c r="P79" s="297" t="s">
        <v>3064</v>
      </c>
      <c r="Q79" s="297" t="s">
        <v>3065</v>
      </c>
      <c r="R79" s="290" t="s">
        <v>3066</v>
      </c>
      <c r="S79" s="290" t="s">
        <v>3067</v>
      </c>
      <c r="T79" s="287" t="s">
        <v>3068</v>
      </c>
      <c r="U79" s="287" t="s">
        <v>3069</v>
      </c>
      <c r="V79" s="273" t="str">
        <f>IF(AND(COUNTIF(BG2:BG44,"*刃之魔契"),OR(BI65&gt;0,COUNTIF($BG$2:$BG$46,"魔能祈唤-饮命者"))),"魔能祈唤-饮命者","")</f>
        <v/>
      </c>
      <c r="W79" s="278" t="s">
        <v>3070</v>
      </c>
      <c r="X79" s="297" t="s">
        <v>3071</v>
      </c>
      <c r="Y79" s="297" t="s">
        <v>3072</v>
      </c>
      <c r="Z79" s="297" t="str">
        <f>IF(COUNTIF($BG$2:$BG$46,"额外攻击-*"),"","额外攻击")</f>
        <v>额外攻击</v>
      </c>
      <c r="AA79" s="306" t="s">
        <v>1823</v>
      </c>
      <c r="AB79" s="119"/>
      <c r="AC79" s="119"/>
      <c r="AD79" s="119"/>
      <c r="AE79" s="119"/>
      <c r="AF79" s="119"/>
      <c r="AG79" s="119"/>
      <c r="AH79" s="119"/>
      <c r="AI79" s="119"/>
      <c r="AJ79" s="119"/>
      <c r="AK79" s="119"/>
      <c r="AL79" s="130"/>
      <c r="AM79" s="246" t="s">
        <v>1623</v>
      </c>
      <c r="AN79" s="249">
        <v>8</v>
      </c>
      <c r="AO79" s="249">
        <v>1</v>
      </c>
      <c r="AP79" s="276">
        <f>IF($AG$9=20,28,IF($AG$9&gt;=18,27,IF($AG$9&gt;=14,26,IF($AG$9&gt;=10,25,IF($AG$9&gt;=8,23,IF($AG$9&gt;=5,22,IF($AG$9&gt;=4,21,IF($AG$9&gt;=3,20,IF($AG$9&gt;=2,17,IF($AG$9&gt;=1,4,0))))))))))</f>
        <v>0</v>
      </c>
      <c r="AQ79" s="115" t="e">
        <f t="shared" si="32"/>
        <v>#N/A</v>
      </c>
      <c r="AR79" s="119" t="e">
        <f t="shared" si="33"/>
        <v>#N/A</v>
      </c>
      <c r="AS79" s="119" t="e">
        <f t="shared" si="34"/>
        <v>#N/A</v>
      </c>
      <c r="AT79" s="116" t="e">
        <f t="shared" si="35"/>
        <v>#N/A</v>
      </c>
      <c r="AU79" s="115" t="e">
        <f t="shared" si="36"/>
        <v>#N/A</v>
      </c>
      <c r="AV79" s="119" t="e">
        <f t="shared" si="37"/>
        <v>#N/A</v>
      </c>
      <c r="AW79" s="119" t="e">
        <f t="shared" si="38"/>
        <v>#N/A</v>
      </c>
      <c r="AX79" s="116" t="e">
        <f t="shared" si="39"/>
        <v>#N/A</v>
      </c>
      <c r="AY79" s="115" t="e">
        <f t="shared" si="40"/>
        <v>#N/A</v>
      </c>
      <c r="AZ79" s="119" t="e">
        <f t="shared" si="41"/>
        <v>#N/A</v>
      </c>
      <c r="BA79" s="119" t="e">
        <f t="shared" si="42"/>
        <v>#N/A</v>
      </c>
      <c r="BB79" s="116" t="e">
        <f t="shared" si="43"/>
        <v>#N/A</v>
      </c>
      <c r="BC79" s="118" t="str">
        <f>IFERROR(INDEX($AQ$12:$BF$87,69,$BC$2),"")</f>
        <v/>
      </c>
      <c r="BD79" s="119" t="str">
        <f>IFERROR(INDEX($AQ$12:$BF$87,69,$BD$2),"")</f>
        <v/>
      </c>
      <c r="BE79" s="250" t="str">
        <f t="shared" si="31"/>
        <v/>
      </c>
      <c r="BF79" s="198" t="str">
        <f t="array" ref="BF79">INDEX(BE:BE,SMALL(IF($BE$2:$BE$143&lt;&gt;"",ROW($2:$143),144),ROW(BE78)))&amp;""</f>
        <v/>
      </c>
      <c r="BG79" s="130"/>
      <c r="BH79" s="130"/>
      <c r="BI79" s="130"/>
      <c r="BJ79" s="130"/>
      <c r="BK79" s="130"/>
      <c r="BL79" s="130"/>
      <c r="BM79" s="130"/>
      <c r="BN79" s="130"/>
      <c r="BO79" s="130"/>
      <c r="BP79" s="130"/>
      <c r="BQ79" s="130"/>
      <c r="BR79" s="130"/>
      <c r="BS79" s="130"/>
      <c r="BT79" s="130"/>
      <c r="BU79" s="130"/>
      <c r="BV79" s="130"/>
      <c r="BW79" s="130"/>
      <c r="BX79" s="130"/>
      <c r="BY79" s="130"/>
      <c r="BZ79" s="130"/>
    </row>
    <row r="80" spans="1:78" ht="14.4" customHeight="1" x14ac:dyDescent="0.25">
      <c r="A80" s="156">
        <v>64</v>
      </c>
      <c r="B80" s="330" t="s">
        <v>3073</v>
      </c>
      <c r="C80" s="330" t="s">
        <v>3074</v>
      </c>
      <c r="D80" s="130"/>
      <c r="E80" s="130"/>
      <c r="F80" s="287" t="s">
        <v>2161</v>
      </c>
      <c r="G80" s="287" t="s">
        <v>3075</v>
      </c>
      <c r="H80" s="130"/>
      <c r="I80" s="130"/>
      <c r="J80" s="293" t="s">
        <v>3076</v>
      </c>
      <c r="K80" s="293" t="s">
        <v>3077</v>
      </c>
      <c r="L80" s="302" t="s">
        <v>3078</v>
      </c>
      <c r="M80" s="302" t="s">
        <v>3079</v>
      </c>
      <c r="N80" s="335" t="s">
        <v>3080</v>
      </c>
      <c r="O80" s="335" t="s">
        <v>3081</v>
      </c>
      <c r="P80" s="297" t="s">
        <v>3082</v>
      </c>
      <c r="Q80" s="297" t="s">
        <v>3083</v>
      </c>
      <c r="R80" s="290" t="s">
        <v>3084</v>
      </c>
      <c r="S80" s="290" t="s">
        <v>3085</v>
      </c>
      <c r="T80" s="130"/>
      <c r="U80" s="130"/>
      <c r="V80" s="274" t="str">
        <f>IF(AND(COUNTIF(BG2:BG44,"*符之魔契"),OR(BI65&gt;0,COUNTIF($BG$2:$BG$46,"魔能祈唤-护符牵绊"))),"魔能祈唤-护符牵绊","")</f>
        <v/>
      </c>
      <c r="W80" s="278" t="s">
        <v>3086</v>
      </c>
      <c r="X80" s="297" t="s">
        <v>3087</v>
      </c>
      <c r="Y80" s="297" t="s">
        <v>3088</v>
      </c>
      <c r="Z80" s="297" t="s">
        <v>3089</v>
      </c>
      <c r="AA80" s="306" t="s">
        <v>3090</v>
      </c>
      <c r="AB80" s="119"/>
      <c r="AC80" s="119"/>
      <c r="AD80" s="119"/>
      <c r="AE80" s="119"/>
      <c r="AF80" s="119"/>
      <c r="AG80" s="119"/>
      <c r="AH80" s="119"/>
      <c r="AI80" s="119"/>
      <c r="AJ80" s="119"/>
      <c r="AK80" s="119"/>
      <c r="AL80" s="130"/>
      <c r="AM80" s="115" t="s">
        <v>1624</v>
      </c>
      <c r="AN80" s="106"/>
      <c r="AO80" s="106">
        <v>29</v>
      </c>
      <c r="AP80" s="116">
        <f>IF($AG$9&gt;=15,43,IF($AG$9&gt;=11,39,IF($AG$9&gt;=7,36,IF($AG$9&gt;=3,32,0))))</f>
        <v>0</v>
      </c>
      <c r="AQ80" s="115" t="e">
        <f t="shared" si="32"/>
        <v>#N/A</v>
      </c>
      <c r="AR80" s="119" t="e">
        <f t="shared" si="33"/>
        <v>#N/A</v>
      </c>
      <c r="AS80" s="119" t="e">
        <f t="shared" si="34"/>
        <v>#N/A</v>
      </c>
      <c r="AT80" s="116" t="e">
        <f t="shared" si="35"/>
        <v>#N/A</v>
      </c>
      <c r="AU80" s="115" t="e">
        <f t="shared" si="36"/>
        <v>#N/A</v>
      </c>
      <c r="AV80" s="119" t="e">
        <f t="shared" si="37"/>
        <v>#N/A</v>
      </c>
      <c r="AW80" s="119" t="e">
        <f t="shared" si="38"/>
        <v>#N/A</v>
      </c>
      <c r="AX80" s="116" t="e">
        <f t="shared" si="39"/>
        <v>#N/A</v>
      </c>
      <c r="AY80" s="115" t="e">
        <f t="shared" si="40"/>
        <v>#N/A</v>
      </c>
      <c r="AZ80" s="119" t="e">
        <f t="shared" si="41"/>
        <v>#N/A</v>
      </c>
      <c r="BA80" s="119" t="e">
        <f t="shared" si="42"/>
        <v>#N/A</v>
      </c>
      <c r="BB80" s="116" t="e">
        <f t="shared" si="43"/>
        <v>#N/A</v>
      </c>
      <c r="BC80" s="118" t="str">
        <f>IFERROR(INDEX($AQ$12:$BF$87,70,$BC$2),"")</f>
        <v/>
      </c>
      <c r="BD80" s="119" t="str">
        <f>IFERROR(INDEX($AQ$12:$BF$87,70,$BD$2),"")</f>
        <v/>
      </c>
      <c r="BE80" s="250" t="str">
        <f t="shared" si="31"/>
        <v/>
      </c>
      <c r="BF80" s="198" t="str">
        <f t="array" ref="BF80">INDEX(BE:BE,SMALL(IF($BE$2:$BE$143&lt;&gt;"",ROW($2:$143),144),ROW(BE79)))&amp;""</f>
        <v/>
      </c>
      <c r="BG80" s="130"/>
      <c r="BH80" s="130"/>
      <c r="BI80" s="130"/>
      <c r="BJ80" s="130"/>
      <c r="BK80" s="130"/>
      <c r="BL80" s="130"/>
      <c r="BM80" s="130"/>
      <c r="BN80" s="130"/>
      <c r="BO80" s="130"/>
      <c r="BP80" s="130"/>
      <c r="BQ80" s="130"/>
      <c r="BR80" s="130"/>
      <c r="BS80" s="130"/>
      <c r="BT80" s="130"/>
      <c r="BU80" s="130"/>
      <c r="BV80" s="130"/>
      <c r="BW80" s="130"/>
      <c r="BX80" s="130"/>
      <c r="BY80" s="130"/>
      <c r="BZ80" s="130"/>
    </row>
    <row r="81" spans="1:78" ht="14.4" customHeight="1" x14ac:dyDescent="0.25">
      <c r="A81" s="156">
        <v>65</v>
      </c>
      <c r="B81" s="330" t="s">
        <v>3091</v>
      </c>
      <c r="C81" s="330" t="s">
        <v>3092</v>
      </c>
      <c r="D81" s="130"/>
      <c r="E81" s="130"/>
      <c r="F81" s="287" t="s">
        <v>3093</v>
      </c>
      <c r="G81" s="287" t="s">
        <v>3094</v>
      </c>
      <c r="H81" s="130"/>
      <c r="I81" s="130"/>
      <c r="J81" s="293" t="s">
        <v>3095</v>
      </c>
      <c r="K81" s="293" t="s">
        <v>3096</v>
      </c>
      <c r="L81" s="302" t="s">
        <v>3097</v>
      </c>
      <c r="M81" s="302" t="s">
        <v>3098</v>
      </c>
      <c r="N81" s="335" t="s">
        <v>3099</v>
      </c>
      <c r="O81" s="335" t="s">
        <v>3100</v>
      </c>
      <c r="P81" s="297" t="s">
        <v>3101</v>
      </c>
      <c r="Q81" s="297" t="s">
        <v>3102</v>
      </c>
      <c r="R81" s="290" t="s">
        <v>3103</v>
      </c>
      <c r="S81" s="290" t="s">
        <v>3104</v>
      </c>
      <c r="T81" s="130"/>
      <c r="U81" s="130"/>
      <c r="V81" s="273" t="str">
        <f>IF(AND(COUNTIF(BG2:BG44,"*链之魔契"),OR(BI65&gt;0,COUNTIF($BG$2:$BG$46,"魔能祈唤-卡瑟利之链"))),"魔能祈唤-卡瑟利之链","")</f>
        <v/>
      </c>
      <c r="W81" s="278" t="s">
        <v>3105</v>
      </c>
      <c r="X81" s="297" t="s">
        <v>3106</v>
      </c>
      <c r="Y81" s="297" t="s">
        <v>3107</v>
      </c>
      <c r="Z81" s="297" t="s">
        <v>3108</v>
      </c>
      <c r="AA81" s="306" t="s">
        <v>3109</v>
      </c>
      <c r="AB81" s="119"/>
      <c r="AC81" s="119"/>
      <c r="AD81" s="119"/>
      <c r="AE81" s="119"/>
      <c r="AF81" s="119"/>
      <c r="AG81" s="119"/>
      <c r="AH81" s="119"/>
      <c r="AI81" s="119"/>
      <c r="AJ81" s="119"/>
      <c r="AK81" s="119"/>
      <c r="AL81" s="130"/>
      <c r="AM81" s="115" t="s">
        <v>1625</v>
      </c>
      <c r="AN81" s="106"/>
      <c r="AO81" s="106">
        <v>44</v>
      </c>
      <c r="AP81" s="116">
        <f>IF($AG$9&gt;=15,48,IF($AG$9&gt;=11,47,IF($AG$9&gt;=7,46,IF($AG$9&gt;=3,45,0))))</f>
        <v>0</v>
      </c>
      <c r="AQ81" s="115" t="e">
        <f t="shared" si="32"/>
        <v>#N/A</v>
      </c>
      <c r="AR81" s="119" t="e">
        <f t="shared" si="33"/>
        <v>#N/A</v>
      </c>
      <c r="AS81" s="119" t="e">
        <f t="shared" si="34"/>
        <v>#N/A</v>
      </c>
      <c r="AT81" s="116" t="e">
        <f t="shared" si="35"/>
        <v>#N/A</v>
      </c>
      <c r="AU81" s="115" t="e">
        <f t="shared" si="36"/>
        <v>#N/A</v>
      </c>
      <c r="AV81" s="119" t="e">
        <f t="shared" si="37"/>
        <v>#N/A</v>
      </c>
      <c r="AW81" s="119" t="e">
        <f t="shared" si="38"/>
        <v>#N/A</v>
      </c>
      <c r="AX81" s="116" t="e">
        <f t="shared" si="39"/>
        <v>#N/A</v>
      </c>
      <c r="AY81" s="115" t="e">
        <f t="shared" si="40"/>
        <v>#N/A</v>
      </c>
      <c r="AZ81" s="119" t="e">
        <f t="shared" si="41"/>
        <v>#N/A</v>
      </c>
      <c r="BA81" s="119" t="e">
        <f t="shared" si="42"/>
        <v>#N/A</v>
      </c>
      <c r="BB81" s="116" t="e">
        <f t="shared" si="43"/>
        <v>#N/A</v>
      </c>
      <c r="BC81" s="118" t="str">
        <f>IFERROR(INDEX($AQ$12:$BF$87,71,$BC$2),"")</f>
        <v/>
      </c>
      <c r="BD81" s="119" t="str">
        <f>IFERROR(INDEX($AQ$12:$BF$87,71,$BD$2),"")</f>
        <v/>
      </c>
      <c r="BE81" s="250" t="str">
        <f t="shared" si="31"/>
        <v/>
      </c>
      <c r="BF81" s="198" t="str">
        <f t="array" ref="BF81">INDEX(BE:BE,SMALL(IF($BE$2:$BE$143&lt;&gt;"",ROW($2:$143),144),ROW(BE80)))&amp;""</f>
        <v/>
      </c>
      <c r="BG81" s="130"/>
      <c r="BH81" s="130"/>
      <c r="BI81" s="130"/>
      <c r="BJ81" s="130"/>
      <c r="BK81" s="130"/>
      <c r="BL81" s="130"/>
      <c r="BM81" s="130"/>
      <c r="BN81" s="130"/>
      <c r="BO81" s="130"/>
      <c r="BP81" s="130"/>
      <c r="BQ81" s="130"/>
      <c r="BR81" s="130"/>
      <c r="BS81" s="130"/>
      <c r="BT81" s="130"/>
      <c r="BU81" s="130"/>
      <c r="BV81" s="130"/>
      <c r="BW81" s="130"/>
      <c r="BX81" s="130"/>
      <c r="BY81" s="130"/>
      <c r="BZ81" s="130"/>
    </row>
    <row r="82" spans="1:78" ht="14.4" customHeight="1" x14ac:dyDescent="0.25">
      <c r="A82" s="156">
        <v>66</v>
      </c>
      <c r="B82" s="283" t="s">
        <v>3110</v>
      </c>
      <c r="C82" s="283" t="s">
        <v>3111</v>
      </c>
      <c r="D82" s="130"/>
      <c r="E82" s="130"/>
      <c r="F82" s="336" t="s">
        <v>3112</v>
      </c>
      <c r="G82" s="336" t="s">
        <v>3113</v>
      </c>
      <c r="H82" s="130"/>
      <c r="I82" s="130"/>
      <c r="J82" s="297" t="s">
        <v>3114</v>
      </c>
      <c r="K82" s="297" t="s">
        <v>3115</v>
      </c>
      <c r="L82" s="302" t="s">
        <v>3116</v>
      </c>
      <c r="M82" s="302" t="s">
        <v>3117</v>
      </c>
      <c r="N82" s="283" t="s">
        <v>3118</v>
      </c>
      <c r="O82" s="283" t="s">
        <v>3119</v>
      </c>
      <c r="P82" s="297" t="s">
        <v>3120</v>
      </c>
      <c r="Q82" s="297" t="s">
        <v>3121</v>
      </c>
      <c r="R82" s="290" t="s">
        <v>3122</v>
      </c>
      <c r="S82" s="290" t="s">
        <v>3123</v>
      </c>
      <c r="T82" s="130"/>
      <c r="U82" s="130"/>
      <c r="V82" s="273" t="str">
        <f>IF(OR(BI65&gt;0,COUNTIF($BG$2:$BG$46,"魔能祈唤-万形之主")),"魔能祈唤-万形之主","")</f>
        <v/>
      </c>
      <c r="W82" s="273" t="s">
        <v>3124</v>
      </c>
      <c r="X82" s="297" t="s">
        <v>3125</v>
      </c>
      <c r="Y82" s="297" t="s">
        <v>3126</v>
      </c>
      <c r="Z82" s="130"/>
      <c r="AA82" s="155"/>
      <c r="AB82" s="130"/>
      <c r="AC82" s="130"/>
      <c r="AD82" s="130"/>
      <c r="AE82" s="130"/>
      <c r="AF82" s="130"/>
      <c r="AG82" s="130"/>
      <c r="AH82" s="130"/>
      <c r="AI82" s="130"/>
      <c r="AJ82" s="130"/>
      <c r="AK82" s="130"/>
      <c r="AL82" s="130"/>
      <c r="AM82" s="329" t="s">
        <v>3127</v>
      </c>
      <c r="AN82" s="251"/>
      <c r="AO82" s="251">
        <v>49</v>
      </c>
      <c r="AP82" s="267">
        <f>IF($AG$9&gt;=15,54,IF($AG$9&gt;=11,53,IF($AG$9&gt;=7,52,IF($AG$9&gt;=3,51,0))))</f>
        <v>0</v>
      </c>
      <c r="AQ82" s="115" t="e">
        <f t="shared" si="32"/>
        <v>#N/A</v>
      </c>
      <c r="AR82" s="119" t="e">
        <f t="shared" si="33"/>
        <v>#N/A</v>
      </c>
      <c r="AS82" s="119" t="e">
        <f t="shared" si="34"/>
        <v>#N/A</v>
      </c>
      <c r="AT82" s="116" t="e">
        <f t="shared" si="35"/>
        <v>#N/A</v>
      </c>
      <c r="AU82" s="115" t="e">
        <f t="shared" si="36"/>
        <v>#N/A</v>
      </c>
      <c r="AV82" s="119" t="e">
        <f t="shared" si="37"/>
        <v>#N/A</v>
      </c>
      <c r="AW82" s="119" t="e">
        <f t="shared" si="38"/>
        <v>#N/A</v>
      </c>
      <c r="AX82" s="116" t="e">
        <f t="shared" si="39"/>
        <v>#N/A</v>
      </c>
      <c r="AY82" s="115" t="e">
        <f t="shared" si="40"/>
        <v>#N/A</v>
      </c>
      <c r="AZ82" s="119" t="e">
        <f t="shared" si="41"/>
        <v>#N/A</v>
      </c>
      <c r="BA82" s="119" t="e">
        <f t="shared" si="42"/>
        <v>#N/A</v>
      </c>
      <c r="BB82" s="116" t="e">
        <f t="shared" si="43"/>
        <v>#N/A</v>
      </c>
      <c r="BC82" s="118" t="str">
        <f>IFERROR(INDEX($AQ$12:$BF$87,72,$BC$2),"")</f>
        <v/>
      </c>
      <c r="BD82" s="119" t="str">
        <f>IFERROR(INDEX($AQ$12:$BF$87,72,$BD$2),"")</f>
        <v/>
      </c>
      <c r="BE82" s="250" t="str">
        <f t="shared" si="31"/>
        <v/>
      </c>
      <c r="BF82" s="198" t="str">
        <f t="array" ref="BF82">INDEX(BE:BE,SMALL(IF($BE$2:$BE$143&lt;&gt;"",ROW($2:$143),144),ROW(BE81)))&amp;""</f>
        <v/>
      </c>
      <c r="BG82" s="130"/>
      <c r="BH82" s="130"/>
      <c r="BI82" s="130"/>
      <c r="BJ82" s="130"/>
      <c r="BK82" s="130"/>
      <c r="BL82" s="130"/>
      <c r="BM82" s="130"/>
      <c r="BN82" s="130"/>
      <c r="BO82" s="130"/>
      <c r="BP82" s="130"/>
      <c r="BQ82" s="130"/>
      <c r="BR82" s="130"/>
      <c r="BS82" s="130"/>
      <c r="BT82" s="130"/>
      <c r="BU82" s="130"/>
      <c r="BV82" s="130"/>
      <c r="BW82" s="130"/>
      <c r="BX82" s="130"/>
      <c r="BY82" s="130"/>
      <c r="BZ82" s="130"/>
    </row>
    <row r="83" spans="1:78" ht="14.4" customHeight="1" x14ac:dyDescent="0.25">
      <c r="A83" s="156">
        <v>67</v>
      </c>
      <c r="B83" s="283" t="s">
        <v>3128</v>
      </c>
      <c r="C83" s="283" t="s">
        <v>3129</v>
      </c>
      <c r="D83" s="130"/>
      <c r="E83" s="130"/>
      <c r="F83" s="287" t="s">
        <v>3130</v>
      </c>
      <c r="G83" s="287" t="s">
        <v>3131</v>
      </c>
      <c r="H83" s="130"/>
      <c r="I83" s="130"/>
      <c r="J83" s="297" t="s">
        <v>2556</v>
      </c>
      <c r="K83" s="297" t="s">
        <v>3132</v>
      </c>
      <c r="L83" s="302" t="s">
        <v>3133</v>
      </c>
      <c r="M83" s="302" t="s">
        <v>3134</v>
      </c>
      <c r="N83" s="283" t="s">
        <v>3135</v>
      </c>
      <c r="O83" s="283" t="s">
        <v>3136</v>
      </c>
      <c r="P83" s="302" t="s">
        <v>3137</v>
      </c>
      <c r="Q83" s="302" t="s">
        <v>3138</v>
      </c>
      <c r="R83" s="290" t="s">
        <v>3139</v>
      </c>
      <c r="S83" s="290" t="s">
        <v>3140</v>
      </c>
      <c r="T83" s="130"/>
      <c r="U83" s="130"/>
      <c r="V83" s="273" t="str">
        <f>IF(OR(BI65&gt;0,COUNTIF($BG$2:$BG$46,"魔能祈唤-穹宇尽视")),"魔能祈唤-穹宇尽视","")</f>
        <v/>
      </c>
      <c r="W83" s="273" t="s">
        <v>3141</v>
      </c>
      <c r="X83" s="302" t="s">
        <v>3142</v>
      </c>
      <c r="Y83" s="302" t="s">
        <v>3143</v>
      </c>
      <c r="Z83" s="130"/>
      <c r="AA83" s="155"/>
      <c r="AB83" s="130"/>
      <c r="AC83" s="130"/>
      <c r="AD83" s="130"/>
      <c r="AE83" s="130"/>
      <c r="AF83" s="130"/>
      <c r="AG83" s="130"/>
      <c r="AH83" s="130"/>
      <c r="AI83" s="130"/>
      <c r="AJ83" s="130"/>
      <c r="AK83" s="130"/>
      <c r="AL83" s="130"/>
      <c r="AM83" s="329" t="s">
        <v>3144</v>
      </c>
      <c r="AN83" s="251"/>
      <c r="AO83" s="251">
        <v>55</v>
      </c>
      <c r="AP83" s="267">
        <f>IF($AG$9&gt;=15,60,IF($AG$9&gt;=11,59,IF($AG$9&gt;=7,58,IF($AG$9&gt;=3,57,0))))</f>
        <v>0</v>
      </c>
      <c r="AQ83" s="115" t="e">
        <f t="shared" si="32"/>
        <v>#N/A</v>
      </c>
      <c r="AR83" s="119" t="e">
        <f t="shared" si="33"/>
        <v>#N/A</v>
      </c>
      <c r="AS83" s="119" t="e">
        <f t="shared" si="34"/>
        <v>#N/A</v>
      </c>
      <c r="AT83" s="116" t="e">
        <f t="shared" si="35"/>
        <v>#N/A</v>
      </c>
      <c r="AU83" s="115" t="e">
        <f t="shared" si="36"/>
        <v>#N/A</v>
      </c>
      <c r="AV83" s="119" t="e">
        <f t="shared" si="37"/>
        <v>#N/A</v>
      </c>
      <c r="AW83" s="119" t="e">
        <f t="shared" si="38"/>
        <v>#N/A</v>
      </c>
      <c r="AX83" s="116" t="e">
        <f t="shared" si="39"/>
        <v>#N/A</v>
      </c>
      <c r="AY83" s="115" t="e">
        <f t="shared" si="40"/>
        <v>#N/A</v>
      </c>
      <c r="AZ83" s="119" t="e">
        <f t="shared" si="41"/>
        <v>#N/A</v>
      </c>
      <c r="BA83" s="119" t="e">
        <f t="shared" si="42"/>
        <v>#N/A</v>
      </c>
      <c r="BB83" s="116" t="e">
        <f t="shared" si="43"/>
        <v>#N/A</v>
      </c>
      <c r="BC83" s="118" t="str">
        <f>IFERROR(INDEX($AQ$12:$BF$87,73,$BC$2),"")</f>
        <v/>
      </c>
      <c r="BD83" s="119" t="str">
        <f>IFERROR(INDEX($AQ$12:$BF$87,73,$BD$2),"")</f>
        <v/>
      </c>
      <c r="BE83" s="250" t="str">
        <f t="shared" si="31"/>
        <v/>
      </c>
      <c r="BF83" s="198" t="str">
        <f t="array" ref="BF83">INDEX(BE:BE,SMALL(IF($BE$2:$BE$143&lt;&gt;"",ROW($2:$143),144),ROW(BE82)))&amp;""</f>
        <v/>
      </c>
      <c r="BG83" s="130"/>
      <c r="BH83" s="130"/>
      <c r="BI83" s="130"/>
      <c r="BJ83" s="130"/>
      <c r="BK83" s="130"/>
      <c r="BL83" s="130"/>
      <c r="BM83" s="130"/>
      <c r="BN83" s="130"/>
      <c r="BO83" s="130"/>
      <c r="BP83" s="130"/>
      <c r="BQ83" s="130"/>
      <c r="BR83" s="130"/>
      <c r="BS83" s="130"/>
      <c r="BT83" s="130"/>
      <c r="BU83" s="130"/>
      <c r="BV83" s="130"/>
      <c r="BW83" s="130"/>
      <c r="BX83" s="130"/>
      <c r="BY83" s="130"/>
      <c r="BZ83" s="130"/>
    </row>
    <row r="84" spans="1:78" ht="14.4" customHeight="1" x14ac:dyDescent="0.25">
      <c r="A84" s="156">
        <v>68</v>
      </c>
      <c r="B84" s="283" t="s">
        <v>3145</v>
      </c>
      <c r="C84" s="283" t="s">
        <v>3146</v>
      </c>
      <c r="D84" s="130"/>
      <c r="E84" s="130"/>
      <c r="F84" s="287" t="str">
        <f>IF(OR(BH55&lt;1,COUNTIF($BG$2:$BG$46,"神圣打击")),"神圣打击","")</f>
        <v>神圣打击</v>
      </c>
      <c r="G84" s="287" t="s">
        <v>3147</v>
      </c>
      <c r="H84" s="130"/>
      <c r="I84" s="130"/>
      <c r="J84" s="315" t="str">
        <f>IF(OR(BI57&gt;0,COUNTIF($BG$2:$BG$46,"奥术射击-放逐箭")),"奥术射击-放逐箭","")</f>
        <v/>
      </c>
      <c r="K84" s="315" t="s">
        <v>3148</v>
      </c>
      <c r="L84" s="302" t="s">
        <v>3149</v>
      </c>
      <c r="M84" s="302" t="s">
        <v>3150</v>
      </c>
      <c r="N84" s="283" t="s">
        <v>3151</v>
      </c>
      <c r="O84" s="283" t="s">
        <v>3152</v>
      </c>
      <c r="P84" s="302" t="s">
        <v>3153</v>
      </c>
      <c r="Q84" s="302" t="s">
        <v>3154</v>
      </c>
      <c r="R84" s="130"/>
      <c r="S84" s="130"/>
      <c r="T84" s="130"/>
      <c r="U84" s="130"/>
      <c r="V84" s="273" t="str">
        <f>IF(OR(BI65&gt;0,COUNTIF($BG$2:$BG$46,"魔能祈唤-巫术视界")),"魔能祈唤-巫术视界","")</f>
        <v/>
      </c>
      <c r="W84" s="273" t="s">
        <v>3155</v>
      </c>
      <c r="X84" s="302" t="s">
        <v>3156</v>
      </c>
      <c r="Y84" s="302" t="s">
        <v>3072</v>
      </c>
      <c r="Z84" s="130"/>
      <c r="AA84" s="155"/>
      <c r="AB84" s="130"/>
      <c r="AC84" s="130"/>
      <c r="AD84" s="130"/>
      <c r="AE84" s="130"/>
      <c r="AF84" s="130"/>
      <c r="AG84" s="130"/>
      <c r="AH84" s="130"/>
      <c r="AI84" s="130"/>
      <c r="AJ84" s="130"/>
      <c r="AK84" s="130"/>
      <c r="AL84" s="130"/>
      <c r="AM84" s="329" t="s">
        <v>3157</v>
      </c>
      <c r="AN84" s="251"/>
      <c r="AO84" s="251">
        <v>61</v>
      </c>
      <c r="AP84" s="267">
        <f>IF($AG$9&gt;=15,66,IF($AG$9&gt;=11,65,IF($AG$9&gt;=7,64,IF($AG$9&gt;=3,63,0))))</f>
        <v>0</v>
      </c>
      <c r="AQ84" s="115" t="e">
        <f t="shared" si="32"/>
        <v>#N/A</v>
      </c>
      <c r="AR84" s="119" t="e">
        <f t="shared" si="33"/>
        <v>#N/A</v>
      </c>
      <c r="AS84" s="119" t="e">
        <f t="shared" si="34"/>
        <v>#N/A</v>
      </c>
      <c r="AT84" s="116" t="e">
        <f t="shared" si="35"/>
        <v>#N/A</v>
      </c>
      <c r="AU84" s="115" t="e">
        <f t="shared" si="36"/>
        <v>#N/A</v>
      </c>
      <c r="AV84" s="119" t="e">
        <f t="shared" si="37"/>
        <v>#N/A</v>
      </c>
      <c r="AW84" s="119" t="e">
        <f t="shared" si="38"/>
        <v>#N/A</v>
      </c>
      <c r="AX84" s="116" t="e">
        <f t="shared" si="39"/>
        <v>#N/A</v>
      </c>
      <c r="AY84" s="115" t="e">
        <f t="shared" si="40"/>
        <v>#N/A</v>
      </c>
      <c r="AZ84" s="119" t="e">
        <f t="shared" si="41"/>
        <v>#N/A</v>
      </c>
      <c r="BA84" s="119" t="e">
        <f t="shared" si="42"/>
        <v>#N/A</v>
      </c>
      <c r="BB84" s="116" t="e">
        <f t="shared" si="43"/>
        <v>#N/A</v>
      </c>
      <c r="BC84" s="118" t="str">
        <f>IFERROR(INDEX($AQ$12:$BF$87,74,$BC$2),"")</f>
        <v/>
      </c>
      <c r="BD84" s="119" t="str">
        <f>IFERROR(INDEX($AQ$12:$BF$87,74,$BD$2),"")</f>
        <v/>
      </c>
      <c r="BE84" s="250" t="str">
        <f t="shared" si="31"/>
        <v/>
      </c>
      <c r="BF84" s="198" t="str">
        <f t="array" ref="BF84">INDEX(BE:BE,SMALL(IF($BE$2:$BE$143&lt;&gt;"",ROW($2:$143),144),ROW(BE83)))&amp;""</f>
        <v/>
      </c>
      <c r="BG84" s="130"/>
      <c r="BH84" s="130"/>
      <c r="BI84" s="130"/>
      <c r="BJ84" s="130"/>
      <c r="BK84" s="130"/>
      <c r="BL84" s="130"/>
      <c r="BM84" s="130"/>
      <c r="BN84" s="130"/>
      <c r="BO84" s="130"/>
      <c r="BP84" s="130"/>
      <c r="BQ84" s="130"/>
      <c r="BR84" s="130"/>
      <c r="BS84" s="130"/>
      <c r="BT84" s="130"/>
      <c r="BU84" s="130"/>
      <c r="BV84" s="130"/>
      <c r="BW84" s="130"/>
      <c r="BX84" s="130"/>
      <c r="BY84" s="130"/>
      <c r="BZ84" s="130"/>
    </row>
    <row r="85" spans="1:78" ht="14.4" customHeight="1" x14ac:dyDescent="0.25">
      <c r="A85" s="156">
        <v>69</v>
      </c>
      <c r="B85" s="283" t="s">
        <v>3158</v>
      </c>
      <c r="C85" s="283" t="s">
        <v>3159</v>
      </c>
      <c r="D85" s="130"/>
      <c r="E85" s="130"/>
      <c r="F85" s="287" t="s">
        <v>3160</v>
      </c>
      <c r="G85" s="287" t="s">
        <v>3161</v>
      </c>
      <c r="H85" s="130"/>
      <c r="I85" s="130"/>
      <c r="J85" s="315" t="str">
        <f>IF(OR(BI57&gt;0,COUNTIF($BG$2:$BG$46,"奥术射击-欺诈箭")),"奥术射击-欺诈箭","")</f>
        <v/>
      </c>
      <c r="K85" s="315" t="s">
        <v>3162</v>
      </c>
      <c r="L85" s="302" t="s">
        <v>3163</v>
      </c>
      <c r="M85" s="302" t="s">
        <v>3164</v>
      </c>
      <c r="N85" s="287" t="s">
        <v>3165</v>
      </c>
      <c r="O85" s="287" t="s">
        <v>3166</v>
      </c>
      <c r="P85" s="302" t="s">
        <v>3167</v>
      </c>
      <c r="Q85" s="302" t="s">
        <v>3168</v>
      </c>
      <c r="R85" s="130"/>
      <c r="S85" s="130"/>
      <c r="T85" s="130"/>
      <c r="U85" s="130"/>
      <c r="V85" s="274" t="str">
        <f>IF(AND(综合数据!B14=TRUE,OR(BI65&gt;0,COUNTIF($BG$2:$BG$46,"魔能祈唤-暗影寿衣"))),"魔能祈唤-暗影寿衣","")</f>
        <v/>
      </c>
      <c r="W85" s="273" t="s">
        <v>3169</v>
      </c>
      <c r="X85" s="302" t="s">
        <v>3170</v>
      </c>
      <c r="Y85" s="302" t="s">
        <v>3171</v>
      </c>
      <c r="Z85" s="130"/>
      <c r="AA85" s="155"/>
      <c r="AB85" s="130"/>
      <c r="AC85" s="130"/>
      <c r="AD85" s="130"/>
      <c r="AE85" s="130"/>
      <c r="AF85" s="130"/>
      <c r="AG85" s="130"/>
      <c r="AH85" s="130"/>
      <c r="AI85" s="130"/>
      <c r="AJ85" s="130"/>
      <c r="AK85" s="130"/>
      <c r="AL85" s="130"/>
      <c r="AM85" s="334" t="s">
        <v>3172</v>
      </c>
      <c r="AN85" s="253"/>
      <c r="AO85" s="253">
        <v>67</v>
      </c>
      <c r="AP85" s="275">
        <f>IF($AG$9&gt;=15,71,IF($AG$9&gt;=11,70,IF($AG$9&gt;=7,69,IF($AG$9&gt;=3,68,0))))</f>
        <v>0</v>
      </c>
      <c r="AQ85" s="115" t="e">
        <f t="shared" si="32"/>
        <v>#N/A</v>
      </c>
      <c r="AR85" s="119" t="e">
        <f t="shared" si="33"/>
        <v>#N/A</v>
      </c>
      <c r="AS85" s="119" t="e">
        <f t="shared" si="34"/>
        <v>#N/A</v>
      </c>
      <c r="AT85" s="116" t="e">
        <f t="shared" si="35"/>
        <v>#N/A</v>
      </c>
      <c r="AU85" s="115" t="e">
        <f t="shared" si="36"/>
        <v>#N/A</v>
      </c>
      <c r="AV85" s="119" t="e">
        <f t="shared" si="37"/>
        <v>#N/A</v>
      </c>
      <c r="AW85" s="119" t="e">
        <f t="shared" si="38"/>
        <v>#N/A</v>
      </c>
      <c r="AX85" s="116" t="e">
        <f t="shared" si="39"/>
        <v>#N/A</v>
      </c>
      <c r="AY85" s="115" t="e">
        <f t="shared" si="40"/>
        <v>#N/A</v>
      </c>
      <c r="AZ85" s="119" t="e">
        <f t="shared" si="41"/>
        <v>#N/A</v>
      </c>
      <c r="BA85" s="119" t="e">
        <f t="shared" si="42"/>
        <v>#N/A</v>
      </c>
      <c r="BB85" s="116" t="e">
        <f t="shared" si="43"/>
        <v>#N/A</v>
      </c>
      <c r="BC85" s="118" t="str">
        <f>IFERROR(INDEX($AQ$12:$BF$87,75,$BC$2),"")</f>
        <v/>
      </c>
      <c r="BD85" s="119" t="str">
        <f>IFERROR(INDEX($AQ$12:$BF$87,75,$BD$2),"")</f>
        <v/>
      </c>
      <c r="BE85" s="250"/>
      <c r="BF85" s="198" t="str">
        <f t="array" ref="BF85">INDEX(BE:BE,SMALL(IF($BE$2:$BE$143&lt;&gt;"",ROW($2:$143),144),ROW(BE84)))&amp;""</f>
        <v/>
      </c>
      <c r="BG85" s="130"/>
      <c r="BH85" s="130"/>
      <c r="BI85" s="130"/>
      <c r="BJ85" s="130"/>
      <c r="BK85" s="130"/>
      <c r="BL85" s="130"/>
      <c r="BM85" s="130"/>
      <c r="BN85" s="130"/>
      <c r="BO85" s="130"/>
      <c r="BP85" s="130"/>
      <c r="BQ85" s="130"/>
      <c r="BR85" s="130"/>
      <c r="BS85" s="130"/>
      <c r="BT85" s="130"/>
      <c r="BU85" s="130"/>
      <c r="BV85" s="130"/>
      <c r="BW85" s="130"/>
      <c r="BX85" s="130"/>
      <c r="BY85" s="130"/>
      <c r="BZ85" s="130"/>
    </row>
    <row r="86" spans="1:78" ht="14.4" customHeight="1" x14ac:dyDescent="0.25">
      <c r="A86" s="156">
        <v>70</v>
      </c>
      <c r="B86" s="283" t="s">
        <v>3173</v>
      </c>
      <c r="C86" s="283" t="s">
        <v>3174</v>
      </c>
      <c r="D86" s="130"/>
      <c r="E86" s="130"/>
      <c r="F86" s="290" t="s">
        <v>3175</v>
      </c>
      <c r="G86" s="290" t="s">
        <v>3176</v>
      </c>
      <c r="H86" s="130"/>
      <c r="I86" s="130"/>
      <c r="J86" s="315" t="str">
        <f>IF(OR(BI57&gt;0,COUNTIF($BG$2:$BG$46,"奥术射击-爆裂箭")),"奥术射击-爆裂箭","")</f>
        <v/>
      </c>
      <c r="K86" s="315" t="s">
        <v>3177</v>
      </c>
      <c r="L86" s="302" t="s">
        <v>3178</v>
      </c>
      <c r="M86" s="302" t="s">
        <v>3179</v>
      </c>
      <c r="N86" s="336" t="s">
        <v>3180</v>
      </c>
      <c r="O86" s="336" t="s">
        <v>3181</v>
      </c>
      <c r="P86" s="302" t="s">
        <v>3182</v>
      </c>
      <c r="Q86" s="302" t="s">
        <v>3183</v>
      </c>
      <c r="R86" s="130"/>
      <c r="S86" s="130"/>
      <c r="T86" s="130"/>
      <c r="U86" s="130"/>
      <c r="V86" s="333" t="s">
        <v>3184</v>
      </c>
      <c r="W86" s="333" t="s">
        <v>3185</v>
      </c>
      <c r="X86" s="302" t="s">
        <v>3186</v>
      </c>
      <c r="Y86" s="302" t="s">
        <v>3187</v>
      </c>
      <c r="Z86" s="130"/>
      <c r="AA86" s="155"/>
      <c r="AB86" s="130"/>
      <c r="AC86" s="130"/>
      <c r="AD86" s="130"/>
      <c r="AE86" s="130"/>
      <c r="AF86" s="130"/>
      <c r="AG86" s="130"/>
      <c r="AH86" s="130"/>
      <c r="AI86" s="130"/>
      <c r="AJ86" s="130"/>
      <c r="AK86" s="130"/>
      <c r="AL86" s="130"/>
      <c r="AM86" s="334" t="s">
        <v>3188</v>
      </c>
      <c r="AN86" s="253"/>
      <c r="AO86" s="253">
        <v>72</v>
      </c>
      <c r="AP86" s="275">
        <f>IF($AG$9&gt;=15,77,IF($AG$9&gt;=11,76,IF($AG$9&gt;=7,75,IF($AG$9&gt;=3,74,0))))</f>
        <v>0</v>
      </c>
      <c r="AQ86" s="115" t="e">
        <f t="shared" si="32"/>
        <v>#N/A</v>
      </c>
      <c r="AR86" s="119" t="e">
        <f t="shared" si="33"/>
        <v>#N/A</v>
      </c>
      <c r="AS86" s="119" t="e">
        <f t="shared" si="34"/>
        <v>#N/A</v>
      </c>
      <c r="AT86" s="116" t="e">
        <f t="shared" si="35"/>
        <v>#N/A</v>
      </c>
      <c r="AU86" s="115" t="e">
        <f t="shared" si="36"/>
        <v>#N/A</v>
      </c>
      <c r="AV86" s="119" t="e">
        <f t="shared" si="37"/>
        <v>#N/A</v>
      </c>
      <c r="AW86" s="119" t="e">
        <f t="shared" si="38"/>
        <v>#N/A</v>
      </c>
      <c r="AX86" s="116" t="e">
        <f t="shared" si="39"/>
        <v>#N/A</v>
      </c>
      <c r="AY86" s="115" t="e">
        <f t="shared" si="40"/>
        <v>#N/A</v>
      </c>
      <c r="AZ86" s="119" t="e">
        <f t="shared" si="41"/>
        <v>#N/A</v>
      </c>
      <c r="BA86" s="119" t="e">
        <f t="shared" si="42"/>
        <v>#N/A</v>
      </c>
      <c r="BB86" s="116" t="e">
        <f t="shared" si="43"/>
        <v>#N/A</v>
      </c>
      <c r="BC86" s="118" t="str">
        <f>IFERROR(INDEX($AQ$12:$BF$87,76,$BC$2),"")</f>
        <v/>
      </c>
      <c r="BD86" s="119" t="str">
        <f>IFERROR(INDEX($AQ$12:$BF$87,76,$BD$2),"")</f>
        <v/>
      </c>
      <c r="BE86" s="250" t="str">
        <f t="shared" ref="BE86:BE117" si="44">IFERROR(IF(OR(BC88="",COUNTIF($BG$2:$BG$46,BC88)),"",BC88),"")</f>
        <v/>
      </c>
      <c r="BF86" s="198" t="str">
        <f t="array" ref="BF86">INDEX(BE:BE,SMALL(IF($BE$2:$BE$143&lt;&gt;"",ROW($2:$143),144),ROW(BE85)))&amp;""</f>
        <v/>
      </c>
      <c r="BG86" s="130"/>
      <c r="BH86" s="130"/>
      <c r="BI86" s="130"/>
      <c r="BJ86" s="130"/>
      <c r="BK86" s="130"/>
      <c r="BL86" s="130"/>
      <c r="BM86" s="130"/>
      <c r="BN86" s="130"/>
      <c r="BO86" s="130"/>
      <c r="BP86" s="130"/>
      <c r="BQ86" s="130"/>
      <c r="BR86" s="130"/>
      <c r="BS86" s="130"/>
      <c r="BT86" s="130"/>
      <c r="BU86" s="130"/>
      <c r="BV86" s="130"/>
      <c r="BW86" s="130"/>
      <c r="BX86" s="130"/>
      <c r="BY86" s="130"/>
      <c r="BZ86" s="130"/>
    </row>
    <row r="87" spans="1:78" ht="14.4" customHeight="1" x14ac:dyDescent="0.25">
      <c r="A87" s="156">
        <v>71</v>
      </c>
      <c r="B87" s="287" t="s">
        <v>3189</v>
      </c>
      <c r="C87" s="287" t="s">
        <v>3190</v>
      </c>
      <c r="D87" s="130"/>
      <c r="E87" s="130"/>
      <c r="F87" s="290" t="s">
        <v>3191</v>
      </c>
      <c r="G87" s="290" t="s">
        <v>3192</v>
      </c>
      <c r="H87" s="130"/>
      <c r="I87" s="130"/>
      <c r="J87" s="315" t="str">
        <f>IF(OR(BI57&gt;0,COUNTIF($BG$2:$BG$46,"奥术射击-凋零箭")),"奥术射击-凋零箭","")</f>
        <v/>
      </c>
      <c r="K87" s="315" t="s">
        <v>3193</v>
      </c>
      <c r="L87" s="302" t="s">
        <v>3194</v>
      </c>
      <c r="M87" s="302" t="s">
        <v>3195</v>
      </c>
      <c r="N87" s="336" t="s">
        <v>3196</v>
      </c>
      <c r="O87" s="336" t="s">
        <v>3197</v>
      </c>
      <c r="P87" s="302" t="s">
        <v>3198</v>
      </c>
      <c r="Q87" s="302" t="s">
        <v>3199</v>
      </c>
      <c r="R87" s="130"/>
      <c r="S87" s="130"/>
      <c r="T87" s="130"/>
      <c r="U87" s="130"/>
      <c r="V87" s="287" t="s">
        <v>3200</v>
      </c>
      <c r="W87" s="287" t="s">
        <v>3201</v>
      </c>
      <c r="X87" s="302" t="s">
        <v>3202</v>
      </c>
      <c r="Y87" s="302" t="s">
        <v>3203</v>
      </c>
      <c r="Z87" s="130"/>
      <c r="AA87" s="155"/>
      <c r="AB87" s="130"/>
      <c r="AC87" s="130"/>
      <c r="AD87" s="130"/>
      <c r="AE87" s="130"/>
      <c r="AF87" s="130"/>
      <c r="AG87" s="130"/>
      <c r="AH87" s="130"/>
      <c r="AI87" s="130"/>
      <c r="AJ87" s="130"/>
      <c r="AK87" s="130"/>
      <c r="AL87" s="130"/>
      <c r="AM87" s="173" t="s">
        <v>3204</v>
      </c>
      <c r="AN87" s="260"/>
      <c r="AO87" s="260">
        <v>78</v>
      </c>
      <c r="AP87" s="260">
        <f>IF($AG$9&gt;=15,82,IF($AG$9&gt;=11,81,IF($AG$9&gt;=7,80,IF($AG$9&gt;=3,79,0))))</f>
        <v>0</v>
      </c>
      <c r="AQ87" s="129" t="e">
        <f t="shared" si="32"/>
        <v>#N/A</v>
      </c>
      <c r="AR87" s="129" t="e">
        <f t="shared" si="33"/>
        <v>#N/A</v>
      </c>
      <c r="AS87" s="129" t="e">
        <f t="shared" si="34"/>
        <v>#N/A</v>
      </c>
      <c r="AT87" s="124" t="e">
        <f t="shared" si="35"/>
        <v>#N/A</v>
      </c>
      <c r="AU87" s="129" t="e">
        <f t="shared" si="36"/>
        <v>#N/A</v>
      </c>
      <c r="AV87" s="129" t="e">
        <f t="shared" si="37"/>
        <v>#N/A</v>
      </c>
      <c r="AW87" s="129" t="e">
        <f t="shared" si="38"/>
        <v>#N/A</v>
      </c>
      <c r="AX87" s="124" t="e">
        <f t="shared" si="39"/>
        <v>#N/A</v>
      </c>
      <c r="AY87" s="129" t="e">
        <f t="shared" si="40"/>
        <v>#N/A</v>
      </c>
      <c r="AZ87" s="129" t="e">
        <f t="shared" si="41"/>
        <v>#N/A</v>
      </c>
      <c r="BA87" s="129" t="e">
        <f t="shared" si="42"/>
        <v>#N/A</v>
      </c>
      <c r="BB87" s="124" t="e">
        <f t="shared" si="43"/>
        <v>#N/A</v>
      </c>
      <c r="BC87" s="128"/>
      <c r="BD87" s="129"/>
      <c r="BE87" s="250" t="str">
        <f t="shared" si="44"/>
        <v/>
      </c>
      <c r="BF87" s="198" t="str">
        <f t="array" ref="BF87">INDEX(BE:BE,SMALL(IF($BE$2:$BE$143&lt;&gt;"",ROW($2:$143),144),ROW(BE86)))&amp;""</f>
        <v/>
      </c>
      <c r="BG87" s="130"/>
      <c r="BH87" s="130"/>
      <c r="BI87" s="130"/>
      <c r="BJ87" s="130"/>
      <c r="BK87" s="130"/>
      <c r="BL87" s="130"/>
      <c r="BM87" s="130"/>
      <c r="BN87" s="130"/>
      <c r="BO87" s="130"/>
      <c r="BP87" s="130"/>
      <c r="BQ87" s="130"/>
      <c r="BR87" s="130"/>
      <c r="BS87" s="130"/>
      <c r="BT87" s="130"/>
      <c r="BU87" s="130"/>
      <c r="BV87" s="130"/>
      <c r="BW87" s="130"/>
      <c r="BX87" s="130"/>
      <c r="BY87" s="130"/>
      <c r="BZ87" s="130"/>
    </row>
    <row r="88" spans="1:78" ht="14.4" customHeight="1" x14ac:dyDescent="0.25">
      <c r="A88" s="156">
        <v>72</v>
      </c>
      <c r="B88" s="287" t="s">
        <v>2508</v>
      </c>
      <c r="C88" s="287" t="s">
        <v>3205</v>
      </c>
      <c r="D88" s="130"/>
      <c r="E88" s="130"/>
      <c r="F88" s="312" t="s">
        <v>3206</v>
      </c>
      <c r="G88" s="312" t="s">
        <v>3207</v>
      </c>
      <c r="H88" s="130"/>
      <c r="I88" s="130"/>
      <c r="J88" s="315" t="str">
        <f>IF(OR(BI57&gt;0,COUNTIF($BG$2:$BG$46,"奥术射击-缠绕箭")),"奥术射击-缠绕箭","")</f>
        <v/>
      </c>
      <c r="K88" s="315" t="s">
        <v>3208</v>
      </c>
      <c r="L88" s="283" t="s">
        <v>3209</v>
      </c>
      <c r="M88" s="283" t="s">
        <v>3210</v>
      </c>
      <c r="N88" s="287" t="s">
        <v>3211</v>
      </c>
      <c r="O88" s="287" t="s">
        <v>3212</v>
      </c>
      <c r="P88" s="283" t="s">
        <v>3213</v>
      </c>
      <c r="Q88" s="283" t="s">
        <v>3214</v>
      </c>
      <c r="R88" s="130"/>
      <c r="S88" s="130"/>
      <c r="T88" s="130"/>
      <c r="U88" s="130"/>
      <c r="V88" s="287" t="s">
        <v>3215</v>
      </c>
      <c r="W88" s="287" t="s">
        <v>3216</v>
      </c>
      <c r="X88" s="283" t="s">
        <v>3217</v>
      </c>
      <c r="Y88" s="283" t="s">
        <v>3218</v>
      </c>
      <c r="Z88" s="130"/>
      <c r="AA88" s="155"/>
      <c r="AB88" s="130"/>
      <c r="AC88" s="130"/>
      <c r="AD88" s="130"/>
      <c r="AE88" s="130"/>
      <c r="AF88" s="130"/>
      <c r="AG88" s="130"/>
      <c r="AH88" s="130"/>
      <c r="AI88" s="130"/>
      <c r="AJ88" s="130"/>
      <c r="AK88" s="130"/>
      <c r="AL88" s="130"/>
      <c r="AM88" s="246" t="s">
        <v>1632</v>
      </c>
      <c r="AN88" s="249">
        <v>9</v>
      </c>
      <c r="AO88" s="249">
        <v>1</v>
      </c>
      <c r="AP88" s="276">
        <f>IF($AG$10=20,13,IF($AG$10&gt;=18,12,IF($AG$10&gt;=15,11,IF($AG$10&gt;=14,10,IF($AG$10&gt;=11,9,IF($AG$10&gt;=7,8,IF($AG$10&gt;=5,7,IF($AG$10&gt;=3,6,IF($AG$10&gt;=2,4,IF($AG$10&gt;=1,6,0))))))))))</f>
        <v>0</v>
      </c>
      <c r="AQ88" s="130"/>
      <c r="AR88" s="130"/>
      <c r="AS88" s="130"/>
      <c r="AT88" s="130"/>
      <c r="AU88" s="106"/>
      <c r="AV88" s="119"/>
      <c r="AW88" s="119"/>
      <c r="AX88" s="106"/>
      <c r="AY88" s="106"/>
      <c r="AZ88" s="119"/>
      <c r="BA88" s="119"/>
      <c r="BB88" s="106" t="s">
        <v>3219</v>
      </c>
      <c r="BC88" s="337" t="str">
        <f t="shared" ref="BC88:BC110" si="45">IF($BB$89=1,J41,"")</f>
        <v/>
      </c>
      <c r="BD88" s="338" t="str">
        <f t="shared" ref="BD88:BD110" si="46">IF($BB$89=1,K41,"")</f>
        <v/>
      </c>
      <c r="BE88" s="250" t="str">
        <f t="shared" si="44"/>
        <v/>
      </c>
      <c r="BF88" s="198" t="str">
        <f t="array" ref="BF88">INDEX(BE:BE,SMALL(IF($BE$2:$BE$143&lt;&gt;"",ROW($2:$143),144),ROW(BE87)))&amp;""</f>
        <v/>
      </c>
      <c r="BG88" s="130"/>
      <c r="BH88" s="130"/>
      <c r="BI88" s="130"/>
      <c r="BJ88" s="130"/>
      <c r="BK88" s="130"/>
      <c r="BL88" s="130"/>
      <c r="BM88" s="130"/>
      <c r="BN88" s="130"/>
      <c r="BO88" s="130"/>
      <c r="BP88" s="130"/>
      <c r="BQ88" s="130"/>
      <c r="BR88" s="130"/>
      <c r="BS88" s="130"/>
      <c r="BT88" s="130"/>
      <c r="BU88" s="130"/>
      <c r="BV88" s="130"/>
      <c r="BW88" s="130"/>
      <c r="BX88" s="130"/>
      <c r="BY88" s="130"/>
      <c r="BZ88" s="130"/>
    </row>
    <row r="89" spans="1:78" ht="14.4" customHeight="1" x14ac:dyDescent="0.25">
      <c r="A89" s="156">
        <v>73</v>
      </c>
      <c r="B89" s="207" t="str">
        <f>IF(OR(BH54&lt;1,COUNTIF($BG$2:$BG$46,"兽性之魂-游泳")),"兽性之魂-游泳","")</f>
        <v>兽性之魂-游泳</v>
      </c>
      <c r="C89" s="207" t="s">
        <v>3220</v>
      </c>
      <c r="D89" s="130"/>
      <c r="E89" s="130"/>
      <c r="F89" s="290" t="s">
        <v>3221</v>
      </c>
      <c r="G89" s="290" t="s">
        <v>3222</v>
      </c>
      <c r="H89" s="130"/>
      <c r="I89" s="130"/>
      <c r="J89" s="315" t="str">
        <f>IF(OR(BI57&gt;0,COUNTIF($BG$2:$BG$46,"奥术射击-穿透箭")),"奥术射击-穿透箭","")</f>
        <v/>
      </c>
      <c r="K89" s="315" t="s">
        <v>3223</v>
      </c>
      <c r="L89" s="283" t="s">
        <v>3224</v>
      </c>
      <c r="M89" s="283" t="s">
        <v>3225</v>
      </c>
      <c r="N89" s="287" t="s">
        <v>3226</v>
      </c>
      <c r="O89" s="287" t="s">
        <v>3227</v>
      </c>
      <c r="P89" s="283" t="s">
        <v>3228</v>
      </c>
      <c r="Q89" s="283" t="s">
        <v>3229</v>
      </c>
      <c r="R89" s="130"/>
      <c r="S89" s="130"/>
      <c r="T89" s="130"/>
      <c r="U89" s="130"/>
      <c r="V89" s="287" t="s">
        <v>3230</v>
      </c>
      <c r="W89" s="287" t="s">
        <v>3231</v>
      </c>
      <c r="X89" s="283" t="s">
        <v>3232</v>
      </c>
      <c r="Y89" s="283" t="s">
        <v>3233</v>
      </c>
      <c r="Z89" s="130"/>
      <c r="AA89" s="155"/>
      <c r="AB89" s="130"/>
      <c r="AC89" s="130"/>
      <c r="AD89" s="130"/>
      <c r="AE89" s="130"/>
      <c r="AF89" s="130"/>
      <c r="AG89" s="130"/>
      <c r="AH89" s="130"/>
      <c r="AI89" s="130"/>
      <c r="AJ89" s="130"/>
      <c r="AK89" s="130"/>
      <c r="AL89" s="130"/>
      <c r="AM89" s="115" t="s">
        <v>1633</v>
      </c>
      <c r="AN89" s="106"/>
      <c r="AO89" s="106">
        <v>14</v>
      </c>
      <c r="AP89" s="116">
        <f>IF($AG$10&gt;=17,18,IF($AG$10&gt;=13,17,IF($AG$10&gt;=9,16,IF($AG$10&gt;=3,15,0))))</f>
        <v>0</v>
      </c>
      <c r="AQ89" s="130"/>
      <c r="AR89" s="130"/>
      <c r="AS89" s="130"/>
      <c r="AT89" s="130"/>
      <c r="AU89" s="130"/>
      <c r="AV89" s="130"/>
      <c r="AW89" s="130"/>
      <c r="AX89" s="130"/>
      <c r="AY89" s="130"/>
      <c r="AZ89" s="130"/>
      <c r="BA89" s="130"/>
      <c r="BB89" s="130">
        <f>IF(AND(COUNTIF(专长数据!E2:E7,专长数据!A19),NOT(AND(AG6&gt;=3,COUNTIF(AD16:AD18,C6)))),1,0)</f>
        <v>0</v>
      </c>
      <c r="BC89" s="250" t="str">
        <f t="shared" si="45"/>
        <v/>
      </c>
      <c r="BD89" s="180" t="str">
        <f t="shared" si="46"/>
        <v/>
      </c>
      <c r="BE89" s="250" t="str">
        <f t="shared" si="44"/>
        <v/>
      </c>
      <c r="BF89" s="198" t="str">
        <f t="array" ref="BF89">INDEX(BE:BE,SMALL(IF($BE$2:$BE$143&lt;&gt;"",ROW($2:$143),144),ROW(BE88)))&amp;""</f>
        <v/>
      </c>
      <c r="BG89" s="130"/>
      <c r="BH89" s="130"/>
      <c r="BI89" s="130"/>
      <c r="BJ89" s="130"/>
      <c r="BK89" s="130"/>
      <c r="BL89" s="130"/>
      <c r="BM89" s="130"/>
      <c r="BN89" s="130"/>
      <c r="BO89" s="130"/>
      <c r="BP89" s="130"/>
      <c r="BQ89" s="130"/>
      <c r="BR89" s="130"/>
      <c r="BS89" s="130"/>
      <c r="BT89" s="130"/>
      <c r="BU89" s="130"/>
      <c r="BV89" s="130"/>
      <c r="BW89" s="130"/>
      <c r="BX89" s="130"/>
      <c r="BY89" s="130"/>
      <c r="BZ89" s="130"/>
    </row>
    <row r="90" spans="1:78" ht="14.4" customHeight="1" x14ac:dyDescent="0.25">
      <c r="A90" s="156">
        <v>74</v>
      </c>
      <c r="B90" s="207" t="str">
        <f>IF(OR(BH54&lt;1,COUNTIF($BG$2:$BG$46,"兽性之魂-攀爬")),"兽性之魂-攀爬","")</f>
        <v>兽性之魂-攀爬</v>
      </c>
      <c r="C90" s="207" t="s">
        <v>3234</v>
      </c>
      <c r="D90" s="130"/>
      <c r="E90" s="130"/>
      <c r="F90" s="290" t="str">
        <f>IF(OR(BH55&lt;1,COUNTIF($BG$2:$BG$46,"强力施法")),"强力施法","")</f>
        <v>强力施法</v>
      </c>
      <c r="G90" s="290" t="s">
        <v>3235</v>
      </c>
      <c r="H90" s="130"/>
      <c r="I90" s="130"/>
      <c r="J90" s="315" t="str">
        <f>IF(OR(BI57&gt;0,COUNTIF($BG$2:$BG$46,"奥术射击-追踪箭")),"奥术射击-追踪箭","")</f>
        <v/>
      </c>
      <c r="K90" s="315" t="s">
        <v>3236</v>
      </c>
      <c r="L90" s="283" t="s">
        <v>3237</v>
      </c>
      <c r="M90" s="283" t="s">
        <v>3238</v>
      </c>
      <c r="N90" s="287" t="s">
        <v>3239</v>
      </c>
      <c r="O90" s="287" t="s">
        <v>3240</v>
      </c>
      <c r="P90" s="283" t="s">
        <v>3241</v>
      </c>
      <c r="Q90" s="283" t="s">
        <v>3242</v>
      </c>
      <c r="R90" s="130"/>
      <c r="S90" s="130"/>
      <c r="T90" s="130"/>
      <c r="U90" s="130"/>
      <c r="V90" s="287" t="s">
        <v>3243</v>
      </c>
      <c r="W90" s="287" t="s">
        <v>3244</v>
      </c>
      <c r="X90" s="283" t="s">
        <v>3245</v>
      </c>
      <c r="Y90" s="283" t="s">
        <v>3246</v>
      </c>
      <c r="Z90" s="130"/>
      <c r="AA90" s="155"/>
      <c r="AB90" s="130"/>
      <c r="AC90" s="130"/>
      <c r="AD90" s="130"/>
      <c r="AE90" s="130"/>
      <c r="AF90" s="130"/>
      <c r="AG90" s="130"/>
      <c r="AH90" s="130"/>
      <c r="AI90" s="130"/>
      <c r="AJ90" s="130"/>
      <c r="AK90" s="130"/>
      <c r="AL90" s="130"/>
      <c r="AM90" s="115" t="s">
        <v>1634</v>
      </c>
      <c r="AN90" s="106"/>
      <c r="AO90" s="106">
        <v>19</v>
      </c>
      <c r="AP90" s="116">
        <f>IF($AG$10&gt;=17,23,IF($AG$10&gt;=13,22,IF($AG$10&gt;=9,21,IF($AG$10&gt;=3,20,0))))</f>
        <v>0</v>
      </c>
      <c r="AQ90" s="130"/>
      <c r="AR90" s="130"/>
      <c r="AS90" s="130"/>
      <c r="AT90" s="106"/>
      <c r="AU90" s="130"/>
      <c r="AV90" s="130"/>
      <c r="AW90" s="130"/>
      <c r="AX90" s="130"/>
      <c r="AY90" s="130"/>
      <c r="AZ90" s="130"/>
      <c r="BA90" s="130"/>
      <c r="BB90" s="130"/>
      <c r="BC90" s="250" t="str">
        <f t="shared" si="45"/>
        <v/>
      </c>
      <c r="BD90" s="180" t="str">
        <f t="shared" si="46"/>
        <v/>
      </c>
      <c r="BE90" s="250" t="str">
        <f t="shared" si="44"/>
        <v/>
      </c>
      <c r="BF90" s="198" t="str">
        <f t="array" ref="BF90">INDEX(BE:BE,SMALL(IF($BE$2:$BE$143&lt;&gt;"",ROW($2:$143),144),ROW(BE89)))&amp;""</f>
        <v/>
      </c>
      <c r="BG90" s="130"/>
      <c r="BH90" s="130"/>
      <c r="BI90" s="130"/>
      <c r="BJ90" s="130"/>
      <c r="BK90" s="130"/>
      <c r="BL90" s="130"/>
      <c r="BM90" s="130"/>
      <c r="BN90" s="130"/>
      <c r="BO90" s="130"/>
      <c r="BP90" s="130"/>
      <c r="BQ90" s="130"/>
      <c r="BR90" s="130"/>
      <c r="BS90" s="130"/>
      <c r="BT90" s="130"/>
      <c r="BU90" s="130"/>
      <c r="BV90" s="130"/>
      <c r="BW90" s="130"/>
      <c r="BX90" s="130"/>
      <c r="BY90" s="130"/>
      <c r="BZ90" s="130"/>
    </row>
    <row r="91" spans="1:78" ht="14.4" customHeight="1" x14ac:dyDescent="0.25">
      <c r="A91" s="156">
        <v>75</v>
      </c>
      <c r="B91" s="207" t="str">
        <f>IF(OR(BH54&lt;1,COUNTIF($BG$2:$BG$46,"兽性之魂-跳跃")),"兽性之魂-跳跃","")</f>
        <v>兽性之魂-跳跃</v>
      </c>
      <c r="C91" s="207" t="s">
        <v>3247</v>
      </c>
      <c r="D91" s="130"/>
      <c r="E91" s="130"/>
      <c r="F91" s="290" t="s">
        <v>3248</v>
      </c>
      <c r="G91" s="290" t="s">
        <v>3249</v>
      </c>
      <c r="H91" s="130"/>
      <c r="I91" s="130"/>
      <c r="J91" s="315" t="str">
        <f>IF(OR(BI57&gt;0,COUNTIF($BG$2:$BG$46,"奥术射击-暗影箭")),"奥术射击-暗影箭","")</f>
        <v/>
      </c>
      <c r="K91" s="315" t="s">
        <v>3250</v>
      </c>
      <c r="L91" s="283" t="s">
        <v>3251</v>
      </c>
      <c r="M91" s="283" t="s">
        <v>3252</v>
      </c>
      <c r="N91" s="290" t="s">
        <v>3253</v>
      </c>
      <c r="O91" s="290" t="s">
        <v>3254</v>
      </c>
      <c r="P91" s="283" t="s">
        <v>3255</v>
      </c>
      <c r="Q91" s="283" t="s">
        <v>3256</v>
      </c>
      <c r="R91" s="130"/>
      <c r="S91" s="130"/>
      <c r="T91" s="130"/>
      <c r="U91" s="130"/>
      <c r="V91" s="287" t="s">
        <v>3257</v>
      </c>
      <c r="W91" s="287" t="s">
        <v>3258</v>
      </c>
      <c r="X91" s="283" t="s">
        <v>3259</v>
      </c>
      <c r="Y91" s="283" t="s">
        <v>3260</v>
      </c>
      <c r="Z91" s="130"/>
      <c r="AA91" s="155"/>
      <c r="AB91" s="130"/>
      <c r="AC91" s="130"/>
      <c r="AD91" s="130"/>
      <c r="AE91" s="130"/>
      <c r="AF91" s="130"/>
      <c r="AG91" s="130"/>
      <c r="AH91" s="130"/>
      <c r="AI91" s="130"/>
      <c r="AJ91" s="130"/>
      <c r="AK91" s="130"/>
      <c r="AL91" s="130"/>
      <c r="AM91" s="115" t="s">
        <v>1635</v>
      </c>
      <c r="AN91" s="106"/>
      <c r="AO91" s="106">
        <v>24</v>
      </c>
      <c r="AP91" s="116">
        <f>IF($AG$10&gt;=17,32,IF($AG$10&gt;=13,31,IF($AG$10&gt;=9,30,IF($AG$10&gt;=3,29,0))))</f>
        <v>0</v>
      </c>
      <c r="AQ91" s="130"/>
      <c r="AR91" s="130"/>
      <c r="AS91" s="130"/>
      <c r="AT91" s="106"/>
      <c r="AU91" s="130"/>
      <c r="AV91" s="130"/>
      <c r="AW91" s="130"/>
      <c r="AX91" s="130"/>
      <c r="AY91" s="130"/>
      <c r="AZ91" s="130"/>
      <c r="BA91" s="130"/>
      <c r="BB91" s="130"/>
      <c r="BC91" s="250" t="str">
        <f t="shared" si="45"/>
        <v/>
      </c>
      <c r="BD91" s="180" t="str">
        <f t="shared" si="46"/>
        <v/>
      </c>
      <c r="BE91" s="250" t="str">
        <f t="shared" si="44"/>
        <v/>
      </c>
      <c r="BF91" s="198" t="str">
        <f t="array" ref="BF91">INDEX(BE:BE,SMALL(IF($BE$2:$BE$143&lt;&gt;"",ROW($2:$143),144),ROW(BE90)))&amp;""</f>
        <v/>
      </c>
      <c r="BG91" s="130"/>
      <c r="BH91" s="130"/>
      <c r="BI91" s="130"/>
      <c r="BJ91" s="130"/>
      <c r="BK91" s="130"/>
      <c r="BL91" s="130"/>
      <c r="BM91" s="130"/>
      <c r="BN91" s="130"/>
      <c r="BO91" s="130"/>
      <c r="BP91" s="130"/>
      <c r="BQ91" s="130"/>
      <c r="BR91" s="130"/>
      <c r="BS91" s="130"/>
      <c r="BT91" s="130"/>
      <c r="BU91" s="130"/>
      <c r="BV91" s="130"/>
      <c r="BW91" s="130"/>
      <c r="BX91" s="130"/>
      <c r="BY91" s="130"/>
      <c r="BZ91" s="130"/>
    </row>
    <row r="92" spans="1:78" ht="14.4" customHeight="1" x14ac:dyDescent="0.25">
      <c r="A92" s="156">
        <v>76</v>
      </c>
      <c r="B92" s="287" t="s">
        <v>3261</v>
      </c>
      <c r="C92" s="287" t="s">
        <v>3262</v>
      </c>
      <c r="D92" s="130"/>
      <c r="E92" s="130"/>
      <c r="F92" s="293" t="s">
        <v>3263</v>
      </c>
      <c r="G92" s="293" t="s">
        <v>3264</v>
      </c>
      <c r="H92" s="130"/>
      <c r="I92" s="130"/>
      <c r="J92" s="297" t="s">
        <v>3265</v>
      </c>
      <c r="K92" s="297" t="s">
        <v>3266</v>
      </c>
      <c r="L92" s="287" t="s">
        <v>3267</v>
      </c>
      <c r="M92" s="287" t="s">
        <v>3268</v>
      </c>
      <c r="N92" s="312" t="s">
        <v>3269</v>
      </c>
      <c r="O92" s="312" t="s">
        <v>3270</v>
      </c>
      <c r="P92" s="283" t="s">
        <v>3271</v>
      </c>
      <c r="Q92" s="283" t="s">
        <v>3272</v>
      </c>
      <c r="R92" s="130"/>
      <c r="S92" s="130"/>
      <c r="T92" s="130"/>
      <c r="U92" s="130"/>
      <c r="V92" s="290" t="s">
        <v>3273</v>
      </c>
      <c r="W92" s="290" t="s">
        <v>3274</v>
      </c>
      <c r="X92" s="287" t="s">
        <v>3275</v>
      </c>
      <c r="Y92" s="287" t="s">
        <v>3276</v>
      </c>
      <c r="Z92" s="130"/>
      <c r="AA92" s="155"/>
      <c r="AB92" s="130"/>
      <c r="AC92" s="130"/>
      <c r="AD92" s="130"/>
      <c r="AE92" s="130"/>
      <c r="AF92" s="130"/>
      <c r="AG92" s="130"/>
      <c r="AH92" s="130"/>
      <c r="AI92" s="130"/>
      <c r="AJ92" s="130"/>
      <c r="AK92" s="130"/>
      <c r="AL92" s="130"/>
      <c r="AM92" s="329" t="s">
        <v>3277</v>
      </c>
      <c r="AN92" s="251"/>
      <c r="AO92" s="251">
        <v>33</v>
      </c>
      <c r="AP92" s="267">
        <f>IF($AG$10&gt;=17,38,IF($AG$10&gt;=13,37,IF($AG$10&gt;=9,36,IF($AG$10&gt;=3,35,0))))</f>
        <v>0</v>
      </c>
      <c r="AQ92" s="130"/>
      <c r="AR92" s="130"/>
      <c r="AS92" s="130"/>
      <c r="AT92" s="106"/>
      <c r="AU92" s="130"/>
      <c r="AV92" s="130"/>
      <c r="AW92" s="130"/>
      <c r="AX92" s="130"/>
      <c r="AY92" s="130"/>
      <c r="AZ92" s="130"/>
      <c r="BA92" s="130"/>
      <c r="BB92" s="130"/>
      <c r="BC92" s="250" t="str">
        <f t="shared" si="45"/>
        <v/>
      </c>
      <c r="BD92" s="180" t="str">
        <f t="shared" si="46"/>
        <v/>
      </c>
      <c r="BE92" s="250" t="str">
        <f t="shared" si="44"/>
        <v/>
      </c>
      <c r="BF92" s="198" t="str">
        <f t="array" ref="BF92">INDEX(BE:BE,SMALL(IF($BE$2:$BE$143&lt;&gt;"",ROW($2:$143),144),ROW(BE91)))&amp;""</f>
        <v/>
      </c>
      <c r="BG92" s="130"/>
      <c r="BH92" s="130"/>
      <c r="BI92" s="130"/>
      <c r="BJ92" s="130"/>
      <c r="BK92" s="130"/>
      <c r="BL92" s="130"/>
      <c r="BM92" s="130"/>
      <c r="BN92" s="130"/>
      <c r="BO92" s="130"/>
      <c r="BP92" s="130"/>
      <c r="BQ92" s="130"/>
      <c r="BR92" s="130"/>
      <c r="BS92" s="130"/>
      <c r="BT92" s="130"/>
      <c r="BU92" s="130"/>
      <c r="BV92" s="130"/>
      <c r="BW92" s="130"/>
      <c r="BX92" s="130"/>
      <c r="BY92" s="130"/>
      <c r="BZ92" s="130"/>
    </row>
    <row r="93" spans="1:78" ht="14.4" customHeight="1" x14ac:dyDescent="0.25">
      <c r="A93" s="156">
        <v>77</v>
      </c>
      <c r="B93" s="287" t="s">
        <v>3278</v>
      </c>
      <c r="C93" s="287" t="s">
        <v>3279</v>
      </c>
      <c r="D93" s="130"/>
      <c r="E93" s="130"/>
      <c r="F93" s="293" t="s">
        <v>3280</v>
      </c>
      <c r="G93" s="293" t="s">
        <v>3281</v>
      </c>
      <c r="H93" s="130"/>
      <c r="I93" s="130"/>
      <c r="J93" s="297" t="s">
        <v>3282</v>
      </c>
      <c r="K93" s="297" t="s">
        <v>3283</v>
      </c>
      <c r="L93" s="287" t="s">
        <v>3284</v>
      </c>
      <c r="M93" s="287" t="s">
        <v>3285</v>
      </c>
      <c r="N93" s="312" t="s">
        <v>3286</v>
      </c>
      <c r="O93" s="312" t="s">
        <v>3287</v>
      </c>
      <c r="P93" s="283" t="s">
        <v>3288</v>
      </c>
      <c r="Q93" s="283" t="s">
        <v>3289</v>
      </c>
      <c r="R93" s="130"/>
      <c r="S93" s="130"/>
      <c r="T93" s="130"/>
      <c r="U93" s="130"/>
      <c r="V93" s="290" t="s">
        <v>3290</v>
      </c>
      <c r="W93" s="290" t="s">
        <v>3291</v>
      </c>
      <c r="X93" s="287" t="s">
        <v>3292</v>
      </c>
      <c r="Y93" s="287" t="s">
        <v>3293</v>
      </c>
      <c r="Z93" s="130"/>
      <c r="AA93" s="155"/>
      <c r="AB93" s="130"/>
      <c r="AC93" s="130"/>
      <c r="AD93" s="130"/>
      <c r="AE93" s="130"/>
      <c r="AF93" s="130"/>
      <c r="AG93" s="130"/>
      <c r="AH93" s="130"/>
      <c r="AI93" s="130"/>
      <c r="AJ93" s="130"/>
      <c r="AK93" s="130"/>
      <c r="AL93" s="130"/>
      <c r="AM93" s="329" t="s">
        <v>3294</v>
      </c>
      <c r="AN93" s="251"/>
      <c r="AO93" s="251">
        <v>39</v>
      </c>
      <c r="AP93" s="267">
        <f>IF($AG$10&gt;=17,43,IF($AG$10&gt;=13,42,IF($AG$10&gt;=9,41,IF($AG$10&gt;=3,40,0))))</f>
        <v>0</v>
      </c>
      <c r="AQ93" s="130"/>
      <c r="AR93" s="130"/>
      <c r="AS93" s="130"/>
      <c r="AT93" s="106"/>
      <c r="AU93" s="130"/>
      <c r="AV93" s="130"/>
      <c r="AW93" s="130"/>
      <c r="AX93" s="130"/>
      <c r="AY93" s="130"/>
      <c r="AZ93" s="130"/>
      <c r="BA93" s="130"/>
      <c r="BB93" s="130"/>
      <c r="BC93" s="250" t="str">
        <f t="shared" si="45"/>
        <v/>
      </c>
      <c r="BD93" s="180" t="str">
        <f t="shared" si="46"/>
        <v/>
      </c>
      <c r="BE93" s="250" t="str">
        <f t="shared" si="44"/>
        <v/>
      </c>
      <c r="BF93" s="198" t="str">
        <f t="array" ref="BF93">INDEX(BE:BE,SMALL(IF($BE$2:$BE$143&lt;&gt;"",ROW($2:$143),144),ROW(BE92)))&amp;""</f>
        <v/>
      </c>
      <c r="BG93" s="130"/>
      <c r="BH93" s="130"/>
      <c r="BI93" s="130"/>
      <c r="BJ93" s="130"/>
      <c r="BK93" s="130"/>
      <c r="BL93" s="130"/>
      <c r="BM93" s="130"/>
      <c r="BN93" s="130"/>
      <c r="BO93" s="130"/>
      <c r="BP93" s="130"/>
      <c r="BQ93" s="130"/>
      <c r="BR93" s="130"/>
      <c r="BS93" s="130"/>
      <c r="BT93" s="130"/>
      <c r="BU93" s="130"/>
      <c r="BV93" s="130"/>
      <c r="BW93" s="130"/>
      <c r="BX93" s="130"/>
      <c r="BY93" s="130"/>
      <c r="BZ93" s="130"/>
    </row>
    <row r="94" spans="1:78" ht="14.4" customHeight="1" x14ac:dyDescent="0.25">
      <c r="A94" s="156">
        <v>78</v>
      </c>
      <c r="B94" s="130"/>
      <c r="C94" s="130"/>
      <c r="D94" s="130"/>
      <c r="E94" s="130"/>
      <c r="F94" s="293" t="s">
        <v>3295</v>
      </c>
      <c r="G94" s="293" t="s">
        <v>3296</v>
      </c>
      <c r="H94" s="130"/>
      <c r="I94" s="130"/>
      <c r="J94" s="297" t="s">
        <v>3297</v>
      </c>
      <c r="K94" s="297" t="s">
        <v>3298</v>
      </c>
      <c r="L94" s="287" t="s">
        <v>3299</v>
      </c>
      <c r="M94" s="287" t="s">
        <v>3300</v>
      </c>
      <c r="N94" s="290" t="s">
        <v>3301</v>
      </c>
      <c r="O94" s="290" t="s">
        <v>3302</v>
      </c>
      <c r="P94" s="287" t="s">
        <v>3303</v>
      </c>
      <c r="Q94" s="287" t="s">
        <v>3304</v>
      </c>
      <c r="R94" s="130"/>
      <c r="S94" s="130"/>
      <c r="T94" s="130"/>
      <c r="U94" s="130"/>
      <c r="V94" s="290" t="s">
        <v>3305</v>
      </c>
      <c r="W94" s="290" t="s">
        <v>3306</v>
      </c>
      <c r="X94" s="287" t="s">
        <v>3307</v>
      </c>
      <c r="Y94" s="287" t="s">
        <v>3308</v>
      </c>
      <c r="Z94" s="130"/>
      <c r="AA94" s="155"/>
      <c r="AB94" s="130"/>
      <c r="AC94" s="130"/>
      <c r="AD94" s="130"/>
      <c r="AE94" s="130"/>
      <c r="AF94" s="130"/>
      <c r="AG94" s="130"/>
      <c r="AH94" s="130"/>
      <c r="AI94" s="130"/>
      <c r="AJ94" s="130"/>
      <c r="AK94" s="130"/>
      <c r="AL94" s="130"/>
      <c r="AM94" s="329" t="s">
        <v>3309</v>
      </c>
      <c r="AN94" s="251"/>
      <c r="AO94" s="251">
        <v>44</v>
      </c>
      <c r="AP94" s="267">
        <f>IF($AG$10&gt;=17,48,IF($AG$10&gt;=13,47,IF($AG$10&gt;=9,46,IF($AG$10&gt;=3,45,0))))</f>
        <v>0</v>
      </c>
      <c r="AQ94" s="130"/>
      <c r="AR94" s="130"/>
      <c r="AS94" s="130"/>
      <c r="AT94" s="106"/>
      <c r="AU94" s="130"/>
      <c r="AV94" s="130"/>
      <c r="AW94" s="130"/>
      <c r="AX94" s="130"/>
      <c r="AY94" s="130"/>
      <c r="AZ94" s="130"/>
      <c r="BA94" s="130"/>
      <c r="BB94" s="130"/>
      <c r="BC94" s="250" t="str">
        <f t="shared" si="45"/>
        <v/>
      </c>
      <c r="BD94" s="180" t="str">
        <f t="shared" si="46"/>
        <v/>
      </c>
      <c r="BE94" s="250" t="str">
        <f t="shared" si="44"/>
        <v/>
      </c>
      <c r="BF94" s="198" t="str">
        <f t="array" ref="BF94">INDEX(BE:BE,SMALL(IF($BE$2:$BE$143&lt;&gt;"",ROW($2:$143),144),ROW(BE93)))&amp;""</f>
        <v/>
      </c>
      <c r="BG94" s="130"/>
      <c r="BH94" s="130"/>
      <c r="BI94" s="130"/>
      <c r="BJ94" s="130"/>
      <c r="BK94" s="130"/>
      <c r="BL94" s="130"/>
      <c r="BM94" s="130"/>
      <c r="BN94" s="130"/>
      <c r="BO94" s="130"/>
      <c r="BP94" s="130"/>
      <c r="BQ94" s="130"/>
      <c r="BR94" s="130"/>
      <c r="BS94" s="130"/>
      <c r="BT94" s="130"/>
      <c r="BU94" s="130"/>
      <c r="BV94" s="130"/>
      <c r="BW94" s="130"/>
      <c r="BX94" s="130"/>
      <c r="BY94" s="130"/>
      <c r="BZ94" s="130"/>
    </row>
    <row r="95" spans="1:78" ht="14.4" customHeight="1" x14ac:dyDescent="0.25">
      <c r="A95" s="156">
        <v>79</v>
      </c>
      <c r="B95" s="130"/>
      <c r="C95" s="130"/>
      <c r="D95" s="130"/>
      <c r="E95" s="130"/>
      <c r="F95" s="316" t="s">
        <v>3310</v>
      </c>
      <c r="G95" s="316" t="s">
        <v>3311</v>
      </c>
      <c r="H95" s="130"/>
      <c r="I95" s="130"/>
      <c r="J95" s="302" t="s">
        <v>3312</v>
      </c>
      <c r="K95" s="302" t="s">
        <v>3313</v>
      </c>
      <c r="L95" s="287" t="s">
        <v>3314</v>
      </c>
      <c r="M95" s="287" t="s">
        <v>3315</v>
      </c>
      <c r="N95" s="290" t="s">
        <v>3316</v>
      </c>
      <c r="O95" s="290" t="s">
        <v>3317</v>
      </c>
      <c r="P95" s="287" t="s">
        <v>3318</v>
      </c>
      <c r="Q95" s="287" t="s">
        <v>3319</v>
      </c>
      <c r="R95" s="130"/>
      <c r="S95" s="130"/>
      <c r="T95" s="130"/>
      <c r="U95" s="130"/>
      <c r="V95" s="290" t="s">
        <v>3320</v>
      </c>
      <c r="W95" s="290" t="s">
        <v>3321</v>
      </c>
      <c r="X95" s="287" t="s">
        <v>3322</v>
      </c>
      <c r="Y95" s="287" t="s">
        <v>3323</v>
      </c>
      <c r="Z95" s="130"/>
      <c r="AA95" s="155"/>
      <c r="AB95" s="130"/>
      <c r="AC95" s="130"/>
      <c r="AD95" s="130"/>
      <c r="AE95" s="130"/>
      <c r="AF95" s="130"/>
      <c r="AG95" s="130"/>
      <c r="AH95" s="130"/>
      <c r="AI95" s="130"/>
      <c r="AJ95" s="130"/>
      <c r="AK95" s="130"/>
      <c r="AL95" s="130"/>
      <c r="AM95" s="329" t="s">
        <v>3324</v>
      </c>
      <c r="AN95" s="251"/>
      <c r="AO95" s="251">
        <v>49</v>
      </c>
      <c r="AP95" s="267">
        <f>IF($AG$10&gt;=17,53,IF($AG$10&gt;=13,52,IF($AG$10&gt;=9,51,IF($AG$10&gt;=3,50,0))))</f>
        <v>0</v>
      </c>
      <c r="AQ95" s="130"/>
      <c r="AR95" s="130"/>
      <c r="AS95" s="130"/>
      <c r="AT95" s="106"/>
      <c r="AU95" s="130"/>
      <c r="AV95" s="130"/>
      <c r="AW95" s="130"/>
      <c r="AX95" s="130"/>
      <c r="AY95" s="130"/>
      <c r="AZ95" s="130"/>
      <c r="BA95" s="130"/>
      <c r="BB95" s="130"/>
      <c r="BC95" s="250" t="str">
        <f t="shared" si="45"/>
        <v/>
      </c>
      <c r="BD95" s="180" t="str">
        <f t="shared" si="46"/>
        <v/>
      </c>
      <c r="BE95" s="250" t="str">
        <f t="shared" si="44"/>
        <v/>
      </c>
      <c r="BF95" s="198" t="str">
        <f t="array" ref="BF95">INDEX(BE:BE,SMALL(IF($BE$2:$BE$143&lt;&gt;"",ROW($2:$143),144),ROW(BE94)))&amp;""</f>
        <v/>
      </c>
      <c r="BG95" s="130"/>
      <c r="BH95" s="130"/>
      <c r="BI95" s="130"/>
      <c r="BJ95" s="130"/>
      <c r="BK95" s="130"/>
      <c r="BL95" s="130"/>
      <c r="BM95" s="130"/>
      <c r="BN95" s="130"/>
      <c r="BO95" s="130"/>
      <c r="BP95" s="130"/>
      <c r="BQ95" s="130"/>
      <c r="BR95" s="130"/>
      <c r="BS95" s="130"/>
      <c r="BT95" s="130"/>
      <c r="BU95" s="130"/>
      <c r="BV95" s="130"/>
      <c r="BW95" s="130"/>
      <c r="BX95" s="130"/>
      <c r="BY95" s="130"/>
      <c r="BZ95" s="130"/>
    </row>
    <row r="96" spans="1:78" ht="14.4" customHeight="1" x14ac:dyDescent="0.25">
      <c r="A96" s="156">
        <v>80</v>
      </c>
      <c r="B96" s="130"/>
      <c r="C96" s="130"/>
      <c r="D96" s="130"/>
      <c r="E96" s="130"/>
      <c r="F96" s="293" t="s">
        <v>3325</v>
      </c>
      <c r="G96" s="293" t="s">
        <v>3326</v>
      </c>
      <c r="H96" s="130"/>
      <c r="I96" s="130"/>
      <c r="J96" s="302" t="s">
        <v>3327</v>
      </c>
      <c r="K96" s="302" t="s">
        <v>3328</v>
      </c>
      <c r="L96" s="287" t="s">
        <v>3329</v>
      </c>
      <c r="M96" s="287" t="s">
        <v>3330</v>
      </c>
      <c r="N96" s="290" t="s">
        <v>3331</v>
      </c>
      <c r="O96" s="290" t="s">
        <v>3332</v>
      </c>
      <c r="P96" s="287" t="s">
        <v>3333</v>
      </c>
      <c r="Q96" s="287" t="s">
        <v>3334</v>
      </c>
      <c r="R96" s="130"/>
      <c r="S96" s="130"/>
      <c r="T96" s="130"/>
      <c r="U96" s="130"/>
      <c r="V96" s="290" t="s">
        <v>3335</v>
      </c>
      <c r="W96" s="290" t="s">
        <v>3336</v>
      </c>
      <c r="X96" s="287" t="s">
        <v>3337</v>
      </c>
      <c r="Y96" s="287" t="s">
        <v>3338</v>
      </c>
      <c r="Z96" s="130"/>
      <c r="AA96" s="155"/>
      <c r="AB96" s="130"/>
      <c r="AC96" s="130"/>
      <c r="AD96" s="130"/>
      <c r="AE96" s="130"/>
      <c r="AF96" s="130"/>
      <c r="AG96" s="130"/>
      <c r="AH96" s="130"/>
      <c r="AI96" s="130"/>
      <c r="AJ96" s="130"/>
      <c r="AK96" s="130"/>
      <c r="AL96" s="130"/>
      <c r="AM96" s="334" t="s">
        <v>3339</v>
      </c>
      <c r="AN96" s="253"/>
      <c r="AO96" s="253">
        <v>54</v>
      </c>
      <c r="AP96" s="275">
        <f>IF($AG$10&gt;=17,58,IF($AG$10&gt;=13,57,IF($AG$10&gt;=9,56,IF($AG$10&gt;=3,55,0))))</f>
        <v>0</v>
      </c>
      <c r="AQ96" s="130"/>
      <c r="AR96" s="130"/>
      <c r="AS96" s="130"/>
      <c r="AT96" s="106"/>
      <c r="AU96" s="130"/>
      <c r="AV96" s="130"/>
      <c r="AW96" s="130"/>
      <c r="AX96" s="130"/>
      <c r="AY96" s="130"/>
      <c r="AZ96" s="130"/>
      <c r="BA96" s="130"/>
      <c r="BB96" s="130"/>
      <c r="BC96" s="250" t="str">
        <f t="shared" si="45"/>
        <v/>
      </c>
      <c r="BD96" s="180" t="str">
        <f t="shared" si="46"/>
        <v/>
      </c>
      <c r="BE96" s="250" t="str">
        <f t="shared" si="44"/>
        <v/>
      </c>
      <c r="BF96" s="198" t="str">
        <f t="array" ref="BF96">INDEX(BE:BE,SMALL(IF($BE$2:$BE$143&lt;&gt;"",ROW($2:$143),144),ROW(BE95)))&amp;""</f>
        <v/>
      </c>
      <c r="BG96" s="130"/>
      <c r="BH96" s="130"/>
      <c r="BI96" s="130"/>
      <c r="BJ96" s="130"/>
      <c r="BK96" s="130"/>
      <c r="BL96" s="130"/>
      <c r="BM96" s="130"/>
      <c r="BN96" s="130"/>
      <c r="BO96" s="130"/>
      <c r="BP96" s="130"/>
      <c r="BQ96" s="130"/>
      <c r="BR96" s="130"/>
      <c r="BS96" s="130"/>
      <c r="BT96" s="130"/>
      <c r="BU96" s="130"/>
      <c r="BV96" s="130"/>
      <c r="BW96" s="130"/>
      <c r="BX96" s="130"/>
      <c r="BY96" s="130"/>
      <c r="BZ96" s="130"/>
    </row>
    <row r="97" spans="1:78" ht="14.4" customHeight="1" x14ac:dyDescent="0.25">
      <c r="A97" s="156">
        <v>81</v>
      </c>
      <c r="B97" s="130"/>
      <c r="C97" s="130"/>
      <c r="D97" s="130"/>
      <c r="E97" s="130"/>
      <c r="F97" s="293" t="str">
        <f>IF(OR(BH55&lt;1,COUNTIF($BG$2:$BG$46,"神圣打击")),"神圣打击","")</f>
        <v>神圣打击</v>
      </c>
      <c r="G97" s="293" t="s">
        <v>3340</v>
      </c>
      <c r="H97" s="130"/>
      <c r="I97" s="130"/>
      <c r="J97" s="302" t="s">
        <v>3341</v>
      </c>
      <c r="K97" s="302" t="s">
        <v>3342</v>
      </c>
      <c r="L97" s="287" t="s">
        <v>3343</v>
      </c>
      <c r="M97" s="287" t="s">
        <v>3344</v>
      </c>
      <c r="N97" s="130"/>
      <c r="O97" s="130"/>
      <c r="P97" s="287" t="s">
        <v>3345</v>
      </c>
      <c r="Q97" s="287" t="s">
        <v>3346</v>
      </c>
      <c r="R97" s="130"/>
      <c r="S97" s="130"/>
      <c r="T97" s="130"/>
      <c r="U97" s="130"/>
      <c r="V97" s="293" t="s">
        <v>3347</v>
      </c>
      <c r="W97" s="293" t="s">
        <v>3348</v>
      </c>
      <c r="X97" s="130"/>
      <c r="Y97" s="130"/>
      <c r="Z97" s="130"/>
      <c r="AA97" s="155"/>
      <c r="AB97" s="130"/>
      <c r="AC97" s="130"/>
      <c r="AD97" s="130"/>
      <c r="AE97" s="130"/>
      <c r="AF97" s="130"/>
      <c r="AG97" s="130"/>
      <c r="AH97" s="130"/>
      <c r="AI97" s="130"/>
      <c r="AJ97" s="130"/>
      <c r="AK97" s="130"/>
      <c r="AL97" s="130"/>
      <c r="AM97" s="334" t="s">
        <v>3349</v>
      </c>
      <c r="AN97" s="253"/>
      <c r="AO97" s="253">
        <v>59</v>
      </c>
      <c r="AP97" s="275">
        <f>IF($AG$10&gt;=17,67,IF($AG$10&gt;=13,66,IF($AG$10&gt;=9,65,IF($AG$10&gt;=3,62,0))))</f>
        <v>0</v>
      </c>
      <c r="AQ97" s="130"/>
      <c r="AR97" s="130"/>
      <c r="AS97" s="130"/>
      <c r="AT97" s="106"/>
      <c r="AU97" s="130"/>
      <c r="AV97" s="130"/>
      <c r="AW97" s="130"/>
      <c r="AX97" s="130"/>
      <c r="AY97" s="130"/>
      <c r="AZ97" s="130"/>
      <c r="BA97" s="130"/>
      <c r="BB97" s="130"/>
      <c r="BC97" s="250" t="str">
        <f t="shared" si="45"/>
        <v/>
      </c>
      <c r="BD97" s="180" t="str">
        <f t="shared" si="46"/>
        <v/>
      </c>
      <c r="BE97" s="250" t="str">
        <f t="shared" si="44"/>
        <v/>
      </c>
      <c r="BF97" s="198" t="str">
        <f t="array" ref="BF97">INDEX(BE:BE,SMALL(IF($BE$2:$BE$143&lt;&gt;"",ROW($2:$143),144),ROW(BE96)))&amp;""</f>
        <v/>
      </c>
      <c r="BG97" s="130"/>
      <c r="BH97" s="130"/>
      <c r="BI97" s="130"/>
      <c r="BJ97" s="130"/>
      <c r="BK97" s="130"/>
      <c r="BL97" s="130"/>
      <c r="BM97" s="130"/>
      <c r="BN97" s="130"/>
      <c r="BO97" s="130"/>
      <c r="BP97" s="130"/>
      <c r="BQ97" s="130"/>
      <c r="BR97" s="130"/>
      <c r="BS97" s="130"/>
      <c r="BT97" s="130"/>
      <c r="BU97" s="130"/>
      <c r="BV97" s="130"/>
      <c r="BW97" s="130"/>
      <c r="BX97" s="130"/>
      <c r="BY97" s="130"/>
      <c r="BZ97" s="130"/>
    </row>
    <row r="98" spans="1:78" ht="14.4" customHeight="1" x14ac:dyDescent="0.25">
      <c r="A98" s="156">
        <v>82</v>
      </c>
      <c r="B98" s="130"/>
      <c r="C98" s="130"/>
      <c r="D98" s="130"/>
      <c r="E98" s="130"/>
      <c r="F98" s="293" t="s">
        <v>3350</v>
      </c>
      <c r="G98" s="293" t="s">
        <v>3351</v>
      </c>
      <c r="H98" s="130"/>
      <c r="I98" s="130"/>
      <c r="J98" s="302" t="s">
        <v>3352</v>
      </c>
      <c r="K98" s="302" t="s">
        <v>3353</v>
      </c>
      <c r="L98" s="290" t="s">
        <v>3354</v>
      </c>
      <c r="M98" s="290" t="s">
        <v>3355</v>
      </c>
      <c r="N98" s="130"/>
      <c r="O98" s="130"/>
      <c r="P98" s="287" t="s">
        <v>3356</v>
      </c>
      <c r="Q98" s="287" t="s">
        <v>3357</v>
      </c>
      <c r="R98" s="130"/>
      <c r="S98" s="130"/>
      <c r="T98" s="130"/>
      <c r="U98" s="130"/>
      <c r="V98" s="293" t="s">
        <v>3358</v>
      </c>
      <c r="W98" s="293" t="s">
        <v>3359</v>
      </c>
      <c r="X98" s="130"/>
      <c r="Y98" s="130"/>
      <c r="Z98" s="130"/>
      <c r="AA98" s="155"/>
      <c r="AB98" s="130"/>
      <c r="AC98" s="130"/>
      <c r="AD98" s="130"/>
      <c r="AE98" s="130"/>
      <c r="AF98" s="130"/>
      <c r="AG98" s="130"/>
      <c r="AH98" s="130"/>
      <c r="AI98" s="130"/>
      <c r="AJ98" s="130"/>
      <c r="AK98" s="130"/>
      <c r="AL98" s="130"/>
      <c r="AM98" s="246" t="s">
        <v>1642</v>
      </c>
      <c r="AN98" s="249">
        <v>10</v>
      </c>
      <c r="AO98" s="249">
        <v>1</v>
      </c>
      <c r="AP98" s="276">
        <f>IF($AG$11=20,26,IF($AG$11&gt;=3,25,IF($AG$11&gt;=2,12,IF($AG$11&gt;=1,7,0))))</f>
        <v>0</v>
      </c>
      <c r="AQ98" s="130"/>
      <c r="AR98" s="130"/>
      <c r="AS98" s="130"/>
      <c r="AT98" s="106"/>
      <c r="AU98" s="130"/>
      <c r="AV98" s="130"/>
      <c r="AW98" s="130"/>
      <c r="AX98" s="130"/>
      <c r="AY98" s="130"/>
      <c r="AZ98" s="130"/>
      <c r="BA98" s="130"/>
      <c r="BB98" s="130"/>
      <c r="BC98" s="250" t="str">
        <f t="shared" si="45"/>
        <v/>
      </c>
      <c r="BD98" s="180" t="str">
        <f t="shared" si="46"/>
        <v/>
      </c>
      <c r="BE98" s="250" t="str">
        <f t="shared" si="44"/>
        <v/>
      </c>
      <c r="BF98" s="198" t="str">
        <f t="array" ref="BF98">INDEX(BE:BE,SMALL(IF($BE$2:$BE$143&lt;&gt;"",ROW($2:$143),144),ROW(BE97)))&amp;""</f>
        <v/>
      </c>
      <c r="BG98" s="130"/>
      <c r="BH98" s="130"/>
      <c r="BI98" s="130"/>
      <c r="BJ98" s="130"/>
      <c r="BK98" s="130"/>
      <c r="BL98" s="130"/>
      <c r="BM98" s="130"/>
      <c r="BN98" s="130"/>
      <c r="BO98" s="130"/>
      <c r="BP98" s="130"/>
      <c r="BQ98" s="130"/>
      <c r="BR98" s="130"/>
      <c r="BS98" s="130"/>
      <c r="BT98" s="130"/>
      <c r="BU98" s="130"/>
      <c r="BV98" s="130"/>
      <c r="BW98" s="130"/>
      <c r="BX98" s="130"/>
      <c r="BY98" s="130"/>
      <c r="BZ98" s="130"/>
    </row>
    <row r="99" spans="1:78" ht="14.4" customHeight="1" x14ac:dyDescent="0.25">
      <c r="A99" s="156">
        <v>83</v>
      </c>
      <c r="B99" s="130"/>
      <c r="C99" s="130"/>
      <c r="D99" s="130"/>
      <c r="E99" s="130"/>
      <c r="F99" s="297" t="s">
        <v>3360</v>
      </c>
      <c r="G99" s="297" t="s">
        <v>3361</v>
      </c>
      <c r="H99" s="130"/>
      <c r="I99" s="130"/>
      <c r="J99" s="302" t="s">
        <v>3362</v>
      </c>
      <c r="K99" s="302" t="s">
        <v>3363</v>
      </c>
      <c r="L99" s="290" t="s">
        <v>3364</v>
      </c>
      <c r="M99" s="290" t="s">
        <v>3365</v>
      </c>
      <c r="N99" s="130"/>
      <c r="O99" s="130"/>
      <c r="P99" s="130"/>
      <c r="Q99" s="130"/>
      <c r="R99" s="130"/>
      <c r="S99" s="130"/>
      <c r="T99" s="130"/>
      <c r="U99" s="130"/>
      <c r="V99" s="293" t="s">
        <v>3366</v>
      </c>
      <c r="W99" s="293" t="s">
        <v>3367</v>
      </c>
      <c r="X99" s="130"/>
      <c r="Y99" s="130"/>
      <c r="Z99" s="130"/>
      <c r="AA99" s="155"/>
      <c r="AB99" s="130"/>
      <c r="AC99" s="130"/>
      <c r="AD99" s="130"/>
      <c r="AE99" s="130"/>
      <c r="AF99" s="130"/>
      <c r="AG99" s="130"/>
      <c r="AH99" s="130"/>
      <c r="AI99" s="130"/>
      <c r="AJ99" s="130"/>
      <c r="AK99" s="130"/>
      <c r="AL99" s="130"/>
      <c r="AM99" s="115" t="s">
        <v>1643</v>
      </c>
      <c r="AN99" s="106"/>
      <c r="AO99" s="106">
        <v>27</v>
      </c>
      <c r="AP99" s="116">
        <f>IF($AG$11&gt;=18,31,IF($AG$11&gt;=14,30,IF($AG$11&gt;=6,29,IF($AG$11&gt;=1,28,0))))</f>
        <v>0</v>
      </c>
      <c r="AQ99" s="130"/>
      <c r="AR99" s="130"/>
      <c r="AS99" s="130"/>
      <c r="AT99" s="106"/>
      <c r="AU99" s="130"/>
      <c r="AV99" s="130"/>
      <c r="AW99" s="130"/>
      <c r="AX99" s="130"/>
      <c r="AY99" s="130"/>
      <c r="AZ99" s="130"/>
      <c r="BA99" s="130"/>
      <c r="BB99" s="130"/>
      <c r="BC99" s="250" t="str">
        <f t="shared" si="45"/>
        <v/>
      </c>
      <c r="BD99" s="180" t="str">
        <f t="shared" si="46"/>
        <v/>
      </c>
      <c r="BE99" s="250" t="str">
        <f t="shared" si="44"/>
        <v/>
      </c>
      <c r="BF99" s="198" t="str">
        <f t="array" ref="BF99">INDEX(BE:BE,SMALL(IF($BE$2:$BE$143&lt;&gt;"",ROW($2:$143),144),ROW(BE98)))&amp;""</f>
        <v/>
      </c>
      <c r="BG99" s="130"/>
      <c r="BH99" s="130"/>
      <c r="BI99" s="130"/>
      <c r="BJ99" s="130"/>
      <c r="BK99" s="130"/>
      <c r="BL99" s="130"/>
      <c r="BM99" s="130"/>
      <c r="BN99" s="130"/>
      <c r="BO99" s="130"/>
      <c r="BP99" s="130"/>
      <c r="BQ99" s="130"/>
      <c r="BR99" s="130"/>
      <c r="BS99" s="130"/>
      <c r="BT99" s="130"/>
      <c r="BU99" s="130"/>
      <c r="BV99" s="130"/>
      <c r="BW99" s="130"/>
      <c r="BX99" s="130"/>
      <c r="BY99" s="130"/>
      <c r="BZ99" s="130"/>
    </row>
    <row r="100" spans="1:78" ht="14.4" customHeight="1" x14ac:dyDescent="0.25">
      <c r="A100" s="156">
        <v>84</v>
      </c>
      <c r="B100" s="130"/>
      <c r="C100" s="130"/>
      <c r="D100" s="130"/>
      <c r="E100" s="130"/>
      <c r="F100" s="297" t="s">
        <v>3368</v>
      </c>
      <c r="G100" s="297" t="s">
        <v>3369</v>
      </c>
      <c r="H100" s="130"/>
      <c r="I100" s="130"/>
      <c r="J100" s="302" t="s">
        <v>3370</v>
      </c>
      <c r="K100" s="302" t="s">
        <v>3371</v>
      </c>
      <c r="L100" s="290" t="s">
        <v>3372</v>
      </c>
      <c r="M100" s="290" t="s">
        <v>3373</v>
      </c>
      <c r="N100" s="130"/>
      <c r="O100" s="130"/>
      <c r="P100" s="130"/>
      <c r="Q100" s="130"/>
      <c r="R100" s="130"/>
      <c r="S100" s="130"/>
      <c r="T100" s="130"/>
      <c r="U100" s="130"/>
      <c r="V100" s="293" t="s">
        <v>3374</v>
      </c>
      <c r="W100" s="293" t="s">
        <v>3375</v>
      </c>
      <c r="X100" s="130"/>
      <c r="Y100" s="130"/>
      <c r="Z100" s="130"/>
      <c r="AA100" s="155"/>
      <c r="AB100" s="130"/>
      <c r="AC100" s="130"/>
      <c r="AD100" s="130"/>
      <c r="AE100" s="130"/>
      <c r="AF100" s="130"/>
      <c r="AG100" s="130"/>
      <c r="AH100" s="130"/>
      <c r="AI100" s="130"/>
      <c r="AJ100" s="130"/>
      <c r="AK100" s="130"/>
      <c r="AL100" s="130"/>
      <c r="AM100" s="115" t="s">
        <v>1644</v>
      </c>
      <c r="AN100" s="106"/>
      <c r="AO100" s="106">
        <v>32</v>
      </c>
      <c r="AP100" s="116">
        <f>IF($AG$11&gt;=18,36,IF($AG$11&gt;=14,35,IF($AG$11&gt;=6,34,IF($AG$11&gt;=1,33,0))))</f>
        <v>0</v>
      </c>
      <c r="AQ100" s="130"/>
      <c r="AR100" s="130"/>
      <c r="AS100" s="130"/>
      <c r="AT100" s="106"/>
      <c r="AU100" s="130"/>
      <c r="AV100" s="130"/>
      <c r="AW100" s="130"/>
      <c r="AX100" s="130"/>
      <c r="AY100" s="130"/>
      <c r="AZ100" s="130"/>
      <c r="BA100" s="130"/>
      <c r="BB100" s="130"/>
      <c r="BC100" s="250" t="str">
        <f t="shared" si="45"/>
        <v/>
      </c>
      <c r="BD100" s="180" t="str">
        <f t="shared" si="46"/>
        <v/>
      </c>
      <c r="BE100" s="250" t="str">
        <f t="shared" si="44"/>
        <v/>
      </c>
      <c r="BF100" s="198" t="str">
        <f t="array" ref="BF100">INDEX(BE:BE,SMALL(IF($BE$2:$BE$143&lt;&gt;"",ROW($2:$143),144),ROW(BE99)))&amp;""</f>
        <v/>
      </c>
      <c r="BG100" s="130"/>
      <c r="BH100" s="130"/>
      <c r="BI100" s="130"/>
      <c r="BJ100" s="130"/>
      <c r="BK100" s="130"/>
      <c r="BL100" s="130"/>
      <c r="BM100" s="130"/>
      <c r="BN100" s="130"/>
      <c r="BO100" s="130"/>
      <c r="BP100" s="130"/>
      <c r="BQ100" s="130"/>
      <c r="BR100" s="130"/>
      <c r="BS100" s="130"/>
      <c r="BT100" s="130"/>
      <c r="BU100" s="130"/>
      <c r="BV100" s="130"/>
      <c r="BW100" s="130"/>
      <c r="BX100" s="130"/>
      <c r="BY100" s="130"/>
      <c r="BZ100" s="130"/>
    </row>
    <row r="101" spans="1:78" ht="14.4" customHeight="1" x14ac:dyDescent="0.25">
      <c r="A101" s="156">
        <v>85</v>
      </c>
      <c r="B101" s="130"/>
      <c r="C101" s="130"/>
      <c r="D101" s="130"/>
      <c r="E101" s="130"/>
      <c r="F101" s="297" t="s">
        <v>3376</v>
      </c>
      <c r="G101" s="297" t="s">
        <v>3377</v>
      </c>
      <c r="H101" s="130"/>
      <c r="I101" s="130"/>
      <c r="J101" s="302" t="s">
        <v>3378</v>
      </c>
      <c r="K101" s="302" t="s">
        <v>3379</v>
      </c>
      <c r="L101" s="290" t="s">
        <v>3380</v>
      </c>
      <c r="M101" s="290" t="s">
        <v>3381</v>
      </c>
      <c r="N101" s="130"/>
      <c r="O101" s="130"/>
      <c r="P101" s="130"/>
      <c r="Q101" s="130"/>
      <c r="R101" s="130"/>
      <c r="S101" s="130"/>
      <c r="T101" s="130"/>
      <c r="U101" s="130"/>
      <c r="V101" s="293" t="s">
        <v>3382</v>
      </c>
      <c r="W101" s="293" t="s">
        <v>3383</v>
      </c>
      <c r="X101" s="130"/>
      <c r="Y101" s="130"/>
      <c r="Z101" s="130"/>
      <c r="AA101" s="155"/>
      <c r="AB101" s="130"/>
      <c r="AC101" s="130"/>
      <c r="AD101" s="130"/>
      <c r="AE101" s="130"/>
      <c r="AF101" s="130"/>
      <c r="AG101" s="130"/>
      <c r="AH101" s="130"/>
      <c r="AI101" s="130"/>
      <c r="AJ101" s="130"/>
      <c r="AK101" s="130"/>
      <c r="AL101" s="130"/>
      <c r="AM101" s="329" t="s">
        <v>3384</v>
      </c>
      <c r="AN101" s="251"/>
      <c r="AO101" s="251">
        <v>37</v>
      </c>
      <c r="AP101" s="267">
        <f>IF($AG$11&gt;=18,41,IF($AG$11&gt;=14,40,IF($AG$11&gt;=6,39,IF($AG$11&gt;=1,38,0))))</f>
        <v>0</v>
      </c>
      <c r="AQ101" s="130"/>
      <c r="AR101" s="130"/>
      <c r="AS101" s="130"/>
      <c r="AT101" s="106"/>
      <c r="AU101" s="130"/>
      <c r="AV101" s="130"/>
      <c r="AW101" s="130"/>
      <c r="AX101" s="130"/>
      <c r="AY101" s="130"/>
      <c r="AZ101" s="130"/>
      <c r="BA101" s="130"/>
      <c r="BB101" s="130"/>
      <c r="BC101" s="250" t="str">
        <f t="shared" si="45"/>
        <v/>
      </c>
      <c r="BD101" s="180" t="str">
        <f t="shared" si="46"/>
        <v/>
      </c>
      <c r="BE101" s="250" t="str">
        <f t="shared" si="44"/>
        <v/>
      </c>
      <c r="BF101" s="198" t="str">
        <f t="array" ref="BF101">INDEX(BE:BE,SMALL(IF($BE$2:$BE$143&lt;&gt;"",ROW($2:$143),144),ROW(BE100)))&amp;""</f>
        <v/>
      </c>
      <c r="BG101" s="130"/>
      <c r="BH101" s="130"/>
      <c r="BI101" s="130"/>
      <c r="BJ101" s="130"/>
      <c r="BK101" s="130"/>
      <c r="BL101" s="130"/>
      <c r="BM101" s="130"/>
      <c r="BN101" s="130"/>
      <c r="BO101" s="130"/>
      <c r="BP101" s="130"/>
      <c r="BQ101" s="130"/>
      <c r="BR101" s="130"/>
      <c r="BS101" s="130"/>
      <c r="BT101" s="130"/>
      <c r="BU101" s="130"/>
      <c r="BV101" s="130"/>
      <c r="BW101" s="130"/>
      <c r="BX101" s="130"/>
      <c r="BY101" s="130"/>
      <c r="BZ101" s="130"/>
    </row>
    <row r="102" spans="1:78" ht="14.4" customHeight="1" x14ac:dyDescent="0.25">
      <c r="A102" s="156">
        <v>86</v>
      </c>
      <c r="B102" s="130"/>
      <c r="C102" s="130"/>
      <c r="D102" s="130"/>
      <c r="E102" s="130"/>
      <c r="F102" s="324" t="s">
        <v>3385</v>
      </c>
      <c r="G102" s="324" t="s">
        <v>3386</v>
      </c>
      <c r="H102" s="130"/>
      <c r="I102" s="130"/>
      <c r="J102" s="283" t="s">
        <v>3312</v>
      </c>
      <c r="K102" s="283" t="s">
        <v>3387</v>
      </c>
      <c r="L102" s="293" t="s">
        <v>3388</v>
      </c>
      <c r="M102" s="293" t="s">
        <v>3389</v>
      </c>
      <c r="N102" s="130"/>
      <c r="O102" s="130"/>
      <c r="P102" s="130"/>
      <c r="Q102" s="130"/>
      <c r="R102" s="130"/>
      <c r="S102" s="130"/>
      <c r="T102" s="130"/>
      <c r="U102" s="130"/>
      <c r="V102" s="297" t="s">
        <v>3390</v>
      </c>
      <c r="W102" s="297" t="s">
        <v>3391</v>
      </c>
      <c r="X102" s="130"/>
      <c r="Y102" s="130"/>
      <c r="Z102" s="130"/>
      <c r="AA102" s="155"/>
      <c r="AB102" s="130"/>
      <c r="AC102" s="130"/>
      <c r="AD102" s="130"/>
      <c r="AE102" s="130"/>
      <c r="AF102" s="130"/>
      <c r="AG102" s="130"/>
      <c r="AH102" s="130"/>
      <c r="AI102" s="130"/>
      <c r="AJ102" s="130"/>
      <c r="AK102" s="130"/>
      <c r="AL102" s="130"/>
      <c r="AM102" s="329" t="s">
        <v>3392</v>
      </c>
      <c r="AN102" s="251"/>
      <c r="AO102" s="251">
        <v>42</v>
      </c>
      <c r="AP102" s="267">
        <f>IF($AG$11&gt;=18,46,IF($AG$11&gt;=14,45,IF($AG$11&gt;=6,44,IF($AG$11&gt;=1,43,0))))</f>
        <v>0</v>
      </c>
      <c r="AQ102" s="130"/>
      <c r="AR102" s="130"/>
      <c r="AS102" s="130"/>
      <c r="AT102" s="106"/>
      <c r="AU102" s="130"/>
      <c r="AV102" s="130"/>
      <c r="AW102" s="130"/>
      <c r="AX102" s="130"/>
      <c r="AY102" s="130"/>
      <c r="AZ102" s="130"/>
      <c r="BA102" s="130"/>
      <c r="BB102" s="130"/>
      <c r="BC102" s="250" t="str">
        <f t="shared" si="45"/>
        <v/>
      </c>
      <c r="BD102" s="180" t="str">
        <f t="shared" si="46"/>
        <v/>
      </c>
      <c r="BE102" s="250" t="str">
        <f t="shared" si="44"/>
        <v/>
      </c>
      <c r="BF102" s="198" t="str">
        <f t="array" ref="BF102">INDEX(BE:BE,SMALL(IF($BE$2:$BE$143&lt;&gt;"",ROW($2:$143),144),ROW(BE101)))&amp;""</f>
        <v/>
      </c>
      <c r="BG102" s="130"/>
      <c r="BH102" s="130"/>
      <c r="BI102" s="130"/>
      <c r="BJ102" s="130"/>
      <c r="BK102" s="130"/>
      <c r="BL102" s="130"/>
      <c r="BM102" s="130"/>
      <c r="BN102" s="130"/>
      <c r="BO102" s="130"/>
      <c r="BP102" s="130"/>
      <c r="BQ102" s="130"/>
      <c r="BR102" s="130"/>
      <c r="BS102" s="130"/>
      <c r="BT102" s="130"/>
      <c r="BU102" s="130"/>
      <c r="BV102" s="130"/>
      <c r="BW102" s="130"/>
      <c r="BX102" s="130"/>
      <c r="BY102" s="130"/>
      <c r="BZ102" s="130"/>
    </row>
    <row r="103" spans="1:78" ht="14.4" customHeight="1" x14ac:dyDescent="0.25">
      <c r="A103" s="156">
        <v>87</v>
      </c>
      <c r="B103" s="130"/>
      <c r="C103" s="130"/>
      <c r="D103" s="130"/>
      <c r="E103" s="130"/>
      <c r="F103" s="297" t="s">
        <v>3393</v>
      </c>
      <c r="G103" s="297" t="s">
        <v>3394</v>
      </c>
      <c r="H103" s="130"/>
      <c r="I103" s="130"/>
      <c r="J103" s="283" t="s">
        <v>3395</v>
      </c>
      <c r="K103" s="283" t="s">
        <v>3396</v>
      </c>
      <c r="L103" s="293" t="s">
        <v>3397</v>
      </c>
      <c r="M103" s="293" t="s">
        <v>3398</v>
      </c>
      <c r="N103" s="130"/>
      <c r="O103" s="130"/>
      <c r="P103" s="130"/>
      <c r="Q103" s="130"/>
      <c r="R103" s="130"/>
      <c r="S103" s="130"/>
      <c r="T103" s="130"/>
      <c r="U103" s="130"/>
      <c r="V103" s="297" t="s">
        <v>3399</v>
      </c>
      <c r="W103" s="297" t="s">
        <v>3400</v>
      </c>
      <c r="X103" s="130"/>
      <c r="Y103" s="130"/>
      <c r="Z103" s="130"/>
      <c r="AA103" s="155"/>
      <c r="AB103" s="130"/>
      <c r="AC103" s="130"/>
      <c r="AD103" s="130"/>
      <c r="AE103" s="130"/>
      <c r="AF103" s="130"/>
      <c r="AG103" s="130"/>
      <c r="AH103" s="130"/>
      <c r="AI103" s="130"/>
      <c r="AJ103" s="130"/>
      <c r="AK103" s="130"/>
      <c r="AL103" s="130"/>
      <c r="AM103" s="329" t="s">
        <v>3401</v>
      </c>
      <c r="AN103" s="251"/>
      <c r="AO103" s="251">
        <v>47</v>
      </c>
      <c r="AP103" s="267">
        <f>IF($AG$11&gt;=18,52,IF($AG$11&gt;=14,51,IF($AG$11&gt;=6,50,IF($AG$11&gt;=1,48,0))))</f>
        <v>0</v>
      </c>
      <c r="AQ103" s="130"/>
      <c r="AR103" s="130"/>
      <c r="AS103" s="130"/>
      <c r="AT103" s="130"/>
      <c r="AU103" s="130"/>
      <c r="AV103" s="130"/>
      <c r="AW103" s="130"/>
      <c r="AX103" s="130"/>
      <c r="AY103" s="130"/>
      <c r="AZ103" s="130"/>
      <c r="BA103" s="130"/>
      <c r="BB103" s="130"/>
      <c r="BC103" s="250" t="str">
        <f t="shared" si="45"/>
        <v/>
      </c>
      <c r="BD103" s="180" t="str">
        <f t="shared" si="46"/>
        <v/>
      </c>
      <c r="BE103" s="250" t="str">
        <f t="shared" si="44"/>
        <v/>
      </c>
      <c r="BF103" s="198" t="str">
        <f t="array" ref="BF103">INDEX(BE:BE,SMALL(IF($BE$2:$BE$143&lt;&gt;"",ROW($2:$143),144),ROW(BE102)))&amp;""</f>
        <v/>
      </c>
      <c r="BG103" s="130"/>
      <c r="BH103" s="130"/>
      <c r="BI103" s="130"/>
      <c r="BJ103" s="130"/>
      <c r="BK103" s="130"/>
      <c r="BL103" s="130"/>
      <c r="BM103" s="130"/>
      <c r="BN103" s="130"/>
      <c r="BO103" s="130"/>
      <c r="BP103" s="130"/>
      <c r="BQ103" s="130"/>
      <c r="BR103" s="130"/>
      <c r="BS103" s="130"/>
      <c r="BT103" s="130"/>
      <c r="BU103" s="130"/>
      <c r="BV103" s="130"/>
      <c r="BW103" s="130"/>
      <c r="BX103" s="130"/>
      <c r="BY103" s="130"/>
      <c r="BZ103" s="130"/>
    </row>
    <row r="104" spans="1:78" ht="14.4" customHeight="1" x14ac:dyDescent="0.25">
      <c r="A104" s="156">
        <v>88</v>
      </c>
      <c r="B104" s="130"/>
      <c r="C104" s="130"/>
      <c r="D104" s="130"/>
      <c r="E104" s="130"/>
      <c r="F104" s="297" t="str">
        <f>IF(OR(BH55&lt;1,COUNTIF($BG$2:$BG$46,"强力施法")),"强力施法","")</f>
        <v>强力施法</v>
      </c>
      <c r="G104" s="297" t="s">
        <v>3402</v>
      </c>
      <c r="H104" s="130"/>
      <c r="I104" s="130"/>
      <c r="J104" s="283" t="s">
        <v>3403</v>
      </c>
      <c r="K104" s="283" t="s">
        <v>3404</v>
      </c>
      <c r="L104" s="293" t="s">
        <v>3405</v>
      </c>
      <c r="M104" s="293" t="s">
        <v>3406</v>
      </c>
      <c r="N104" s="130"/>
      <c r="O104" s="130"/>
      <c r="P104" s="130"/>
      <c r="Q104" s="130"/>
      <c r="R104" s="130"/>
      <c r="S104" s="130"/>
      <c r="T104" s="130"/>
      <c r="U104" s="130"/>
      <c r="V104" s="297" t="s">
        <v>3407</v>
      </c>
      <c r="W104" s="297" t="s">
        <v>3408</v>
      </c>
      <c r="X104" s="130"/>
      <c r="Y104" s="130"/>
      <c r="Z104" s="130"/>
      <c r="AA104" s="155"/>
      <c r="AB104" s="130"/>
      <c r="AC104" s="130"/>
      <c r="AD104" s="130"/>
      <c r="AE104" s="130"/>
      <c r="AF104" s="130"/>
      <c r="AG104" s="130"/>
      <c r="AH104" s="130"/>
      <c r="AI104" s="130"/>
      <c r="AJ104" s="130"/>
      <c r="AK104" s="130"/>
      <c r="AL104" s="130"/>
      <c r="AM104" s="334" t="s">
        <v>3409</v>
      </c>
      <c r="AN104" s="253"/>
      <c r="AO104" s="253">
        <v>53</v>
      </c>
      <c r="AP104" s="275">
        <f>IF($AG$11&gt;=18,58,IF($AG$11&gt;=14,57,IF($AG$11&gt;=6,56,IF($AG$11&gt;=1,54,0))))</f>
        <v>0</v>
      </c>
      <c r="AQ104" s="130"/>
      <c r="AR104" s="130"/>
      <c r="AS104" s="130"/>
      <c r="AT104" s="130"/>
      <c r="AU104" s="130"/>
      <c r="AV104" s="130"/>
      <c r="AW104" s="130"/>
      <c r="AX104" s="130"/>
      <c r="AY104" s="130"/>
      <c r="AZ104" s="130"/>
      <c r="BA104" s="130"/>
      <c r="BB104" s="130"/>
      <c r="BC104" s="250" t="str">
        <f t="shared" si="45"/>
        <v/>
      </c>
      <c r="BD104" s="180" t="str">
        <f t="shared" si="46"/>
        <v/>
      </c>
      <c r="BE104" s="250" t="str">
        <f t="shared" si="44"/>
        <v/>
      </c>
      <c r="BF104" s="198" t="str">
        <f t="array" ref="BF104">INDEX(BE:BE,SMALL(IF($BE$2:$BE$143&lt;&gt;"",ROW($2:$143),144),ROW(BE103)))&amp;""</f>
        <v/>
      </c>
      <c r="BG104" s="130"/>
      <c r="BH104" s="130"/>
      <c r="BI104" s="130"/>
      <c r="BJ104" s="130"/>
      <c r="BK104" s="130"/>
      <c r="BL104" s="130"/>
      <c r="BM104" s="130"/>
      <c r="BN104" s="130"/>
      <c r="BO104" s="130"/>
      <c r="BP104" s="130"/>
      <c r="BQ104" s="130"/>
      <c r="BR104" s="130"/>
      <c r="BS104" s="130"/>
      <c r="BT104" s="130"/>
      <c r="BU104" s="130"/>
      <c r="BV104" s="130"/>
      <c r="BW104" s="130"/>
      <c r="BX104" s="130"/>
      <c r="BY104" s="130"/>
      <c r="BZ104" s="130"/>
    </row>
    <row r="105" spans="1:78" ht="14.4" customHeight="1" x14ac:dyDescent="0.25">
      <c r="A105" s="156">
        <v>89</v>
      </c>
      <c r="B105" s="130"/>
      <c r="C105" s="130"/>
      <c r="D105" s="130"/>
      <c r="E105" s="130"/>
      <c r="F105" s="297" t="s">
        <v>3410</v>
      </c>
      <c r="G105" s="297" t="s">
        <v>3411</v>
      </c>
      <c r="H105" s="130"/>
      <c r="I105" s="130"/>
      <c r="J105" s="283" t="s">
        <v>3412</v>
      </c>
      <c r="K105" s="283" t="s">
        <v>3413</v>
      </c>
      <c r="L105" s="293" t="s">
        <v>3414</v>
      </c>
      <c r="M105" s="293" t="s">
        <v>3415</v>
      </c>
      <c r="N105" s="130"/>
      <c r="O105" s="130"/>
      <c r="P105" s="130"/>
      <c r="Q105" s="130"/>
      <c r="R105" s="130"/>
      <c r="S105" s="130"/>
      <c r="T105" s="130"/>
      <c r="U105" s="130"/>
      <c r="V105" s="297" t="s">
        <v>3416</v>
      </c>
      <c r="W105" s="297" t="s">
        <v>3417</v>
      </c>
      <c r="X105" s="130"/>
      <c r="Y105" s="130"/>
      <c r="Z105" s="130"/>
      <c r="AA105" s="155"/>
      <c r="AB105" s="130"/>
      <c r="AC105" s="130"/>
      <c r="AD105" s="130"/>
      <c r="AE105" s="130"/>
      <c r="AF105" s="130"/>
      <c r="AG105" s="130"/>
      <c r="AH105" s="130"/>
      <c r="AI105" s="130"/>
      <c r="AJ105" s="130"/>
      <c r="AK105" s="130"/>
      <c r="AL105" s="130"/>
      <c r="AM105" s="334" t="s">
        <v>3418</v>
      </c>
      <c r="AN105" s="253"/>
      <c r="AO105" s="253">
        <v>59</v>
      </c>
      <c r="AP105" s="275">
        <f>IF($AG$11&gt;=18,63,IF($AG$11&gt;=14,62,IF($AG$11&gt;=6,61,IF($AG$11&gt;=1,60,0))))</f>
        <v>0</v>
      </c>
      <c r="AQ105" s="130"/>
      <c r="AR105" s="130"/>
      <c r="AS105" s="130"/>
      <c r="AT105" s="130"/>
      <c r="AU105" s="130"/>
      <c r="AV105" s="130"/>
      <c r="AW105" s="130"/>
      <c r="AX105" s="130"/>
      <c r="AY105" s="130"/>
      <c r="AZ105" s="130"/>
      <c r="BA105" s="130"/>
      <c r="BB105" s="130"/>
      <c r="BC105" s="250" t="str">
        <f t="shared" si="45"/>
        <v/>
      </c>
      <c r="BD105" s="180" t="str">
        <f t="shared" si="46"/>
        <v/>
      </c>
      <c r="BE105" s="250" t="str">
        <f t="shared" si="44"/>
        <v/>
      </c>
      <c r="BF105" s="198" t="str">
        <f t="array" ref="BF105">INDEX(BE:BE,SMALL(IF($BE$2:$BE$143&lt;&gt;"",ROW($2:$143),144),ROW(BE104)))&amp;""</f>
        <v/>
      </c>
      <c r="BG105" s="130"/>
      <c r="BH105" s="130"/>
      <c r="BI105" s="130"/>
      <c r="BJ105" s="130"/>
      <c r="BK105" s="130"/>
      <c r="BL105" s="130"/>
      <c r="BM105" s="130"/>
      <c r="BN105" s="130"/>
      <c r="BO105" s="130"/>
      <c r="BP105" s="130"/>
      <c r="BQ105" s="130"/>
      <c r="BR105" s="130"/>
      <c r="BS105" s="130"/>
      <c r="BT105" s="130"/>
      <c r="BU105" s="130"/>
      <c r="BV105" s="130"/>
      <c r="BW105" s="130"/>
      <c r="BX105" s="130"/>
      <c r="BY105" s="130"/>
      <c r="BZ105" s="130"/>
    </row>
    <row r="106" spans="1:78" ht="14.4" customHeight="1" x14ac:dyDescent="0.25">
      <c r="A106" s="156">
        <v>90</v>
      </c>
      <c r="B106" s="130"/>
      <c r="C106" s="130"/>
      <c r="D106" s="130"/>
      <c r="E106" s="130"/>
      <c r="F106" s="302" t="s">
        <v>3419</v>
      </c>
      <c r="G106" s="302" t="s">
        <v>3420</v>
      </c>
      <c r="H106" s="130"/>
      <c r="I106" s="130"/>
      <c r="J106" s="283" t="s">
        <v>3421</v>
      </c>
      <c r="K106" s="283" t="s">
        <v>3422</v>
      </c>
      <c r="L106" s="293" t="s">
        <v>3423</v>
      </c>
      <c r="M106" s="293" t="s">
        <v>3424</v>
      </c>
      <c r="N106" s="130"/>
      <c r="O106" s="130"/>
      <c r="P106" s="130"/>
      <c r="Q106" s="130"/>
      <c r="R106" s="130"/>
      <c r="S106" s="130"/>
      <c r="T106" s="130"/>
      <c r="U106" s="130"/>
      <c r="V106" s="297" t="s">
        <v>3425</v>
      </c>
      <c r="W106" s="297" t="s">
        <v>3426</v>
      </c>
      <c r="X106" s="130"/>
      <c r="Y106" s="130"/>
      <c r="Z106" s="130"/>
      <c r="AA106" s="155"/>
      <c r="AB106" s="130"/>
      <c r="AC106" s="130"/>
      <c r="AD106" s="130"/>
      <c r="AE106" s="130"/>
      <c r="AF106" s="130"/>
      <c r="AG106" s="130"/>
      <c r="AH106" s="130"/>
      <c r="AI106" s="130"/>
      <c r="AJ106" s="130"/>
      <c r="AK106" s="130"/>
      <c r="AL106" s="130"/>
      <c r="AM106" s="246" t="s">
        <v>1650</v>
      </c>
      <c r="AN106" s="249">
        <v>11</v>
      </c>
      <c r="AO106" s="249">
        <v>1</v>
      </c>
      <c r="AP106" s="276">
        <f>IF($AG$12=20,70,IF($AG$12&gt;=15,69,IF($AG$12&gt;=12,64,IF($AG$12&gt;=11,62,IF($AG$12&gt;=9,61,IF($AG$12&gt;=7,56,IF($AG$12&gt;=5,49,IF($AG$12&gt;=4,38,IF($AG$12&gt;=3,37,IF($AG$12&gt;=2,25,IF($AG$12&gt;=1,7,0)))))))))))</f>
        <v>0</v>
      </c>
      <c r="AQ106" s="130"/>
      <c r="AR106" s="130"/>
      <c r="AS106" s="130"/>
      <c r="AT106" s="130"/>
      <c r="AU106" s="130"/>
      <c r="AV106" s="130"/>
      <c r="AW106" s="130"/>
      <c r="AX106" s="130"/>
      <c r="AY106" s="130"/>
      <c r="AZ106" s="130"/>
      <c r="BA106" s="130"/>
      <c r="BB106" s="130"/>
      <c r="BC106" s="250" t="str">
        <f t="shared" si="45"/>
        <v/>
      </c>
      <c r="BD106" s="180" t="str">
        <f t="shared" si="46"/>
        <v/>
      </c>
      <c r="BE106" s="250" t="str">
        <f t="shared" si="44"/>
        <v/>
      </c>
      <c r="BF106" s="198" t="str">
        <f t="array" ref="BF106">INDEX(BE:BE,SMALL(IF($BE$2:$BE$143&lt;&gt;"",ROW($2:$143),144),ROW(BE105)))&amp;""</f>
        <v/>
      </c>
      <c r="BG106" s="130"/>
      <c r="BH106" s="130"/>
      <c r="BI106" s="130"/>
      <c r="BJ106" s="130"/>
      <c r="BK106" s="130"/>
      <c r="BL106" s="130"/>
      <c r="BM106" s="130"/>
      <c r="BN106" s="130"/>
      <c r="BO106" s="130"/>
      <c r="BP106" s="130"/>
      <c r="BQ106" s="130"/>
      <c r="BR106" s="130"/>
      <c r="BS106" s="130"/>
      <c r="BT106" s="130"/>
      <c r="BU106" s="130"/>
      <c r="BV106" s="130"/>
      <c r="BW106" s="130"/>
      <c r="BX106" s="130"/>
      <c r="BY106" s="130"/>
      <c r="BZ106" s="130"/>
    </row>
    <row r="107" spans="1:78" ht="14.4" customHeight="1" x14ac:dyDescent="0.25">
      <c r="A107" s="156">
        <v>91</v>
      </c>
      <c r="B107" s="130"/>
      <c r="C107" s="130"/>
      <c r="D107" s="130"/>
      <c r="E107" s="130"/>
      <c r="F107" s="302" t="s">
        <v>2161</v>
      </c>
      <c r="G107" s="302" t="s">
        <v>3427</v>
      </c>
      <c r="H107" s="130"/>
      <c r="I107" s="130"/>
      <c r="J107" s="283" t="s">
        <v>3428</v>
      </c>
      <c r="K107" s="283" t="s">
        <v>3429</v>
      </c>
      <c r="L107" s="293" t="s">
        <v>3430</v>
      </c>
      <c r="M107" s="293" t="s">
        <v>3431</v>
      </c>
      <c r="N107" s="130"/>
      <c r="O107" s="130"/>
      <c r="P107" s="130"/>
      <c r="Q107" s="130"/>
      <c r="R107" s="130"/>
      <c r="S107" s="130"/>
      <c r="T107" s="130"/>
      <c r="U107" s="130"/>
      <c r="V107" s="302" t="s">
        <v>3432</v>
      </c>
      <c r="W107" s="302" t="s">
        <v>3433</v>
      </c>
      <c r="X107" s="130"/>
      <c r="Y107" s="130"/>
      <c r="Z107" s="130"/>
      <c r="AA107" s="155"/>
      <c r="AB107" s="130"/>
      <c r="AC107" s="130"/>
      <c r="AD107" s="130"/>
      <c r="AE107" s="130"/>
      <c r="AF107" s="130"/>
      <c r="AG107" s="130"/>
      <c r="AH107" s="130"/>
      <c r="AI107" s="130"/>
      <c r="AJ107" s="130"/>
      <c r="AK107" s="130"/>
      <c r="AL107" s="130"/>
      <c r="AM107" s="115" t="s">
        <v>1651</v>
      </c>
      <c r="AN107" s="106"/>
      <c r="AO107" s="106">
        <v>71</v>
      </c>
      <c r="AP107" s="116">
        <f>IF($AG$12&gt;=14,75,IF($AG$12&gt;=10,74,IF($AG$12&gt;=6,73,IF($AG$12&gt;=1,72,0))))</f>
        <v>0</v>
      </c>
      <c r="AQ107" s="130"/>
      <c r="AR107" s="130"/>
      <c r="AS107" s="130"/>
      <c r="AT107" s="130"/>
      <c r="AU107" s="130"/>
      <c r="AV107" s="130"/>
      <c r="AW107" s="130"/>
      <c r="AX107" s="130"/>
      <c r="AY107" s="130"/>
      <c r="AZ107" s="130"/>
      <c r="BA107" s="130"/>
      <c r="BB107" s="130"/>
      <c r="BC107" s="250" t="str">
        <f t="shared" si="45"/>
        <v/>
      </c>
      <c r="BD107" s="180" t="str">
        <f t="shared" si="46"/>
        <v/>
      </c>
      <c r="BE107" s="250" t="str">
        <f t="shared" si="44"/>
        <v/>
      </c>
      <c r="BF107" s="198" t="str">
        <f t="array" ref="BF107">INDEX(BE:BE,SMALL(IF($BE$2:$BE$143&lt;&gt;"",ROW($2:$143),144),ROW(BE106)))&amp;""</f>
        <v/>
      </c>
      <c r="BG107" s="130"/>
      <c r="BH107" s="130"/>
      <c r="BI107" s="130"/>
      <c r="BJ107" s="130"/>
      <c r="BK107" s="130"/>
      <c r="BL107" s="130"/>
      <c r="BM107" s="130"/>
      <c r="BN107" s="130"/>
      <c r="BO107" s="130"/>
      <c r="BP107" s="130"/>
      <c r="BQ107" s="130"/>
      <c r="BR107" s="130"/>
      <c r="BS107" s="130"/>
      <c r="BT107" s="130"/>
      <c r="BU107" s="130"/>
      <c r="BV107" s="130"/>
      <c r="BW107" s="130"/>
      <c r="BX107" s="130"/>
      <c r="BY107" s="130"/>
      <c r="BZ107" s="130"/>
    </row>
    <row r="108" spans="1:78" ht="14.4" customHeight="1" x14ac:dyDescent="0.25">
      <c r="A108" s="156">
        <v>92</v>
      </c>
      <c r="B108" s="130"/>
      <c r="C108" s="130"/>
      <c r="D108" s="130"/>
      <c r="E108" s="130"/>
      <c r="F108" s="302" t="s">
        <v>3434</v>
      </c>
      <c r="G108" s="302" t="s">
        <v>3435</v>
      </c>
      <c r="H108" s="130"/>
      <c r="I108" s="130"/>
      <c r="J108" s="287" t="s">
        <v>3436</v>
      </c>
      <c r="K108" s="287" t="s">
        <v>3437</v>
      </c>
      <c r="L108" s="293" t="s">
        <v>3438</v>
      </c>
      <c r="M108" s="293" t="s">
        <v>3439</v>
      </c>
      <c r="N108" s="130"/>
      <c r="O108" s="130"/>
      <c r="P108" s="130"/>
      <c r="Q108" s="130"/>
      <c r="R108" s="130"/>
      <c r="S108" s="130"/>
      <c r="T108" s="130"/>
      <c r="U108" s="130"/>
      <c r="V108" s="302" t="s">
        <v>3440</v>
      </c>
      <c r="W108" s="302" t="s">
        <v>3441</v>
      </c>
      <c r="X108" s="130"/>
      <c r="Y108" s="130"/>
      <c r="Z108" s="130"/>
      <c r="AA108" s="155"/>
      <c r="AB108" s="130"/>
      <c r="AC108" s="130"/>
      <c r="AD108" s="130"/>
      <c r="AE108" s="130"/>
      <c r="AF108" s="130"/>
      <c r="AG108" s="130"/>
      <c r="AH108" s="130"/>
      <c r="AI108" s="130"/>
      <c r="AJ108" s="130"/>
      <c r="AK108" s="130"/>
      <c r="AL108" s="130"/>
      <c r="AM108" s="115" t="s">
        <v>338</v>
      </c>
      <c r="AN108" s="106"/>
      <c r="AO108" s="106">
        <v>76</v>
      </c>
      <c r="AP108" s="116">
        <f>IF($AG$12&gt;=14,80,IF($AG$12&gt;=10,79,IF($AG$12&gt;=6,78,IF($AG$12&gt;=1,77,0))))</f>
        <v>0</v>
      </c>
      <c r="AQ108" s="130"/>
      <c r="AR108" s="130"/>
      <c r="AS108" s="130"/>
      <c r="AT108" s="130"/>
      <c r="AU108" s="130"/>
      <c r="AV108" s="130"/>
      <c r="AW108" s="130"/>
      <c r="AX108" s="130"/>
      <c r="AY108" s="130"/>
      <c r="AZ108" s="130"/>
      <c r="BA108" s="130"/>
      <c r="BB108" s="130"/>
      <c r="BC108" s="250" t="str">
        <f t="shared" si="45"/>
        <v/>
      </c>
      <c r="BD108" s="180" t="str">
        <f t="shared" si="46"/>
        <v/>
      </c>
      <c r="BE108" s="250" t="str">
        <f t="shared" si="44"/>
        <v/>
      </c>
      <c r="BF108" s="198" t="str">
        <f t="array" ref="BF108">INDEX(BE:BE,SMALL(IF($BE$2:$BE$143&lt;&gt;"",ROW($2:$143),144),ROW(BE107)))&amp;""</f>
        <v/>
      </c>
      <c r="BG108" s="130"/>
      <c r="BH108" s="130"/>
      <c r="BI108" s="130"/>
      <c r="BJ108" s="130"/>
      <c r="BK108" s="130"/>
      <c r="BL108" s="130"/>
      <c r="BM108" s="130"/>
      <c r="BN108" s="130"/>
      <c r="BO108" s="130"/>
      <c r="BP108" s="130"/>
      <c r="BQ108" s="130"/>
      <c r="BR108" s="130"/>
      <c r="BS108" s="130"/>
      <c r="BT108" s="130"/>
      <c r="BU108" s="130"/>
      <c r="BV108" s="130"/>
      <c r="BW108" s="130"/>
      <c r="BX108" s="130"/>
      <c r="BY108" s="130"/>
      <c r="BZ108" s="130"/>
    </row>
    <row r="109" spans="1:78" ht="14.4" customHeight="1" x14ac:dyDescent="0.25">
      <c r="A109" s="156">
        <v>93</v>
      </c>
      <c r="B109" s="130"/>
      <c r="C109" s="130"/>
      <c r="D109" s="130"/>
      <c r="E109" s="130"/>
      <c r="F109" s="326" t="s">
        <v>3442</v>
      </c>
      <c r="G109" s="326" t="s">
        <v>3443</v>
      </c>
      <c r="H109" s="130"/>
      <c r="I109" s="130"/>
      <c r="J109" s="287" t="s">
        <v>3444</v>
      </c>
      <c r="K109" s="287" t="s">
        <v>3445</v>
      </c>
      <c r="L109" s="293" t="s">
        <v>3446</v>
      </c>
      <c r="M109" s="293" t="s">
        <v>3447</v>
      </c>
      <c r="N109" s="130"/>
      <c r="O109" s="130"/>
      <c r="P109" s="130"/>
      <c r="Q109" s="130"/>
      <c r="R109" s="130"/>
      <c r="S109" s="130"/>
      <c r="T109" s="130"/>
      <c r="U109" s="130"/>
      <c r="V109" s="302" t="s">
        <v>3448</v>
      </c>
      <c r="W109" s="302" t="s">
        <v>3449</v>
      </c>
      <c r="X109" s="130"/>
      <c r="Y109" s="130"/>
      <c r="Z109" s="130"/>
      <c r="AA109" s="155"/>
      <c r="AB109" s="130"/>
      <c r="AC109" s="130"/>
      <c r="AD109" s="130"/>
      <c r="AE109" s="130"/>
      <c r="AF109" s="130"/>
      <c r="AG109" s="130"/>
      <c r="AH109" s="130"/>
      <c r="AI109" s="130"/>
      <c r="AJ109" s="130"/>
      <c r="AK109" s="130"/>
      <c r="AL109" s="130"/>
      <c r="AM109" s="115" t="s">
        <v>1652</v>
      </c>
      <c r="AN109" s="106"/>
      <c r="AO109" s="106">
        <v>81</v>
      </c>
      <c r="AP109" s="116">
        <f>IF($AG$12&gt;=14,85,IF($AG$12&gt;=10,84,IF($AG$12&gt;=6,83,IF($AG$12&gt;=1,82,0))))</f>
        <v>0</v>
      </c>
      <c r="AQ109" s="130"/>
      <c r="AR109" s="130"/>
      <c r="AS109" s="130"/>
      <c r="AT109" s="130"/>
      <c r="AU109" s="130"/>
      <c r="AV109" s="130"/>
      <c r="AW109" s="130"/>
      <c r="AX109" s="130"/>
      <c r="AY109" s="130"/>
      <c r="AZ109" s="130"/>
      <c r="BA109" s="130"/>
      <c r="BB109" s="130"/>
      <c r="BC109" s="250" t="str">
        <f t="shared" si="45"/>
        <v/>
      </c>
      <c r="BD109" s="180" t="str">
        <f t="shared" si="46"/>
        <v/>
      </c>
      <c r="BE109" s="250" t="str">
        <f t="shared" si="44"/>
        <v/>
      </c>
      <c r="BF109" s="198" t="str">
        <f t="array" ref="BF109">INDEX(BE:BE,SMALL(IF($BE$2:$BE$143&lt;&gt;"",ROW($2:$143),144),ROW(BE108)))&amp;""</f>
        <v/>
      </c>
      <c r="BG109" s="130"/>
      <c r="BH109" s="130"/>
      <c r="BI109" s="130"/>
      <c r="BJ109" s="130"/>
      <c r="BK109" s="130"/>
      <c r="BL109" s="130"/>
      <c r="BM109" s="130"/>
      <c r="BN109" s="130"/>
      <c r="BO109" s="130"/>
      <c r="BP109" s="130"/>
      <c r="BQ109" s="130"/>
      <c r="BR109" s="130"/>
      <c r="BS109" s="130"/>
      <c r="BT109" s="130"/>
      <c r="BU109" s="130"/>
      <c r="BV109" s="130"/>
      <c r="BW109" s="130"/>
      <c r="BX109" s="130"/>
      <c r="BY109" s="130"/>
      <c r="BZ109" s="130"/>
    </row>
    <row r="110" spans="1:78" ht="14.4" customHeight="1" x14ac:dyDescent="0.25">
      <c r="A110" s="156">
        <v>94</v>
      </c>
      <c r="B110" s="130"/>
      <c r="C110" s="130"/>
      <c r="D110" s="130"/>
      <c r="E110" s="130"/>
      <c r="F110" s="302" t="s">
        <v>3450</v>
      </c>
      <c r="G110" s="302" t="s">
        <v>3451</v>
      </c>
      <c r="H110" s="130"/>
      <c r="I110" s="130"/>
      <c r="J110" s="287" t="s">
        <v>3452</v>
      </c>
      <c r="K110" s="287" t="s">
        <v>3453</v>
      </c>
      <c r="L110" s="293" t="s">
        <v>3454</v>
      </c>
      <c r="M110" s="293" t="s">
        <v>3455</v>
      </c>
      <c r="N110" s="130"/>
      <c r="O110" s="130"/>
      <c r="P110" s="130"/>
      <c r="Q110" s="130"/>
      <c r="R110" s="130"/>
      <c r="S110" s="130"/>
      <c r="T110" s="130"/>
      <c r="U110" s="130"/>
      <c r="V110" s="302" t="s">
        <v>3456</v>
      </c>
      <c r="W110" s="302" t="s">
        <v>3457</v>
      </c>
      <c r="X110" s="130"/>
      <c r="Y110" s="130"/>
      <c r="Z110" s="130"/>
      <c r="AA110" s="155"/>
      <c r="AB110" s="130"/>
      <c r="AC110" s="130"/>
      <c r="AD110" s="130"/>
      <c r="AE110" s="130"/>
      <c r="AF110" s="130"/>
      <c r="AG110" s="130"/>
      <c r="AH110" s="130"/>
      <c r="AI110" s="130"/>
      <c r="AJ110" s="130"/>
      <c r="AK110" s="130"/>
      <c r="AL110" s="130"/>
      <c r="AM110" s="327" t="s">
        <v>3458</v>
      </c>
      <c r="AN110" s="259"/>
      <c r="AO110" s="259">
        <v>86</v>
      </c>
      <c r="AP110" s="328">
        <f>IF($AG$12&gt;=14,90,IF($AG$12&gt;=10,89,IF($AG$12&gt;=6,88,IF($AG$12&gt;=1,87,0))))</f>
        <v>0</v>
      </c>
      <c r="AQ110" s="130"/>
      <c r="AR110" s="130"/>
      <c r="AS110" s="130"/>
      <c r="AT110" s="130"/>
      <c r="AU110" s="130"/>
      <c r="AV110" s="130"/>
      <c r="AW110" s="130"/>
      <c r="AX110" s="130"/>
      <c r="AY110" s="130"/>
      <c r="AZ110" s="130"/>
      <c r="BA110" s="130"/>
      <c r="BB110" s="130"/>
      <c r="BC110" s="339" t="str">
        <f t="shared" si="45"/>
        <v/>
      </c>
      <c r="BD110" s="235" t="str">
        <f t="shared" si="46"/>
        <v/>
      </c>
      <c r="BE110" s="250" t="str">
        <f t="shared" si="44"/>
        <v/>
      </c>
      <c r="BF110" s="198" t="str">
        <f t="array" ref="BF110">INDEX(BE:BE,SMALL(IF($BE$2:$BE$143&lt;&gt;"",ROW($2:$143),144),ROW(BE109)))&amp;""</f>
        <v/>
      </c>
      <c r="BG110" s="130"/>
      <c r="BH110" s="130"/>
      <c r="BI110" s="130"/>
      <c r="BJ110" s="130"/>
      <c r="BK110" s="130"/>
      <c r="BL110" s="130"/>
      <c r="BM110" s="130"/>
      <c r="BN110" s="130"/>
      <c r="BO110" s="130"/>
      <c r="BP110" s="130"/>
      <c r="BQ110" s="130"/>
      <c r="BR110" s="130"/>
      <c r="BS110" s="130"/>
      <c r="BT110" s="130"/>
      <c r="BU110" s="130"/>
      <c r="BV110" s="130"/>
      <c r="BW110" s="130"/>
      <c r="BX110" s="130"/>
      <c r="BY110" s="130"/>
      <c r="BZ110" s="130"/>
    </row>
    <row r="111" spans="1:78" ht="14.4" customHeight="1" x14ac:dyDescent="0.25">
      <c r="A111" s="156">
        <v>95</v>
      </c>
      <c r="B111" s="130"/>
      <c r="C111" s="130"/>
      <c r="D111" s="130"/>
      <c r="E111" s="130"/>
      <c r="F111" s="302" t="str">
        <f>IF(OR(BH55&lt;1,COUNTIF($BG$2:$BG$46,"神圣打击")),"神圣打击","")</f>
        <v>神圣打击</v>
      </c>
      <c r="G111" s="302" t="s">
        <v>3459</v>
      </c>
      <c r="H111" s="130"/>
      <c r="I111" s="130"/>
      <c r="J111" s="287" t="s">
        <v>3460</v>
      </c>
      <c r="K111" s="287" t="s">
        <v>3461</v>
      </c>
      <c r="L111" s="130"/>
      <c r="M111" s="130"/>
      <c r="N111" s="130"/>
      <c r="O111" s="130"/>
      <c r="P111" s="130"/>
      <c r="Q111" s="130"/>
      <c r="R111" s="130"/>
      <c r="S111" s="130"/>
      <c r="T111" s="130"/>
      <c r="U111" s="130"/>
      <c r="V111" s="302" t="s">
        <v>3462</v>
      </c>
      <c r="W111" s="302" t="s">
        <v>3463</v>
      </c>
      <c r="X111" s="130"/>
      <c r="Y111" s="130"/>
      <c r="Z111" s="130"/>
      <c r="AA111" s="155"/>
      <c r="AB111" s="130"/>
      <c r="AC111" s="130"/>
      <c r="AD111" s="130"/>
      <c r="AE111" s="130"/>
      <c r="AF111" s="130"/>
      <c r="AG111" s="130"/>
      <c r="AH111" s="130"/>
      <c r="AI111" s="130"/>
      <c r="AJ111" s="130"/>
      <c r="AK111" s="130"/>
      <c r="AL111" s="130"/>
      <c r="AM111" s="329" t="s">
        <v>3464</v>
      </c>
      <c r="AN111" s="251"/>
      <c r="AO111" s="251">
        <v>91</v>
      </c>
      <c r="AP111" s="267">
        <f>IF($AG$12&gt;=14,96,IF($AG$12&gt;=10,95,IF($AG$12&gt;=6,94,IF($AG$12&gt;=1,93,0))))</f>
        <v>0</v>
      </c>
      <c r="AQ111" s="130"/>
      <c r="AR111" s="130"/>
      <c r="AS111" s="130"/>
      <c r="AT111" s="130"/>
      <c r="AU111" s="130"/>
      <c r="AV111" s="130"/>
      <c r="AW111" s="130"/>
      <c r="AX111" s="130"/>
      <c r="AY111" s="130"/>
      <c r="AZ111" s="130"/>
      <c r="BA111" s="130"/>
      <c r="BB111" s="130" t="s">
        <v>1858</v>
      </c>
      <c r="BC111" s="250" t="str">
        <f t="shared" ref="BC111:BD115" si="47">IF($BB$112=1,V26,"")</f>
        <v/>
      </c>
      <c r="BD111" s="180" t="str">
        <f t="shared" si="47"/>
        <v/>
      </c>
      <c r="BE111" s="250" t="str">
        <f t="shared" si="44"/>
        <v/>
      </c>
      <c r="BF111" s="198" t="str">
        <f t="array" ref="BF111">INDEX(BE:BE,SMALL(IF($BE$2:$BE$143&lt;&gt;"",ROW($2:$143),144),ROW(BE110)))&amp;""</f>
        <v/>
      </c>
      <c r="BG111" s="130"/>
      <c r="BH111" s="130"/>
      <c r="BI111" s="130"/>
      <c r="BJ111" s="130"/>
      <c r="BK111" s="130"/>
      <c r="BL111" s="130"/>
      <c r="BM111" s="130"/>
      <c r="BN111" s="130"/>
      <c r="BO111" s="130"/>
      <c r="BP111" s="130"/>
      <c r="BQ111" s="130"/>
      <c r="BR111" s="130"/>
      <c r="BS111" s="130"/>
      <c r="BT111" s="130"/>
      <c r="BU111" s="130"/>
      <c r="BV111" s="130"/>
      <c r="BW111" s="130"/>
      <c r="BX111" s="130"/>
      <c r="BY111" s="130"/>
      <c r="BZ111" s="130"/>
    </row>
    <row r="112" spans="1:78" ht="14.4" customHeight="1" x14ac:dyDescent="0.25">
      <c r="A112" s="156">
        <v>96</v>
      </c>
      <c r="B112" s="130"/>
      <c r="C112" s="130"/>
      <c r="D112" s="130"/>
      <c r="E112" s="130"/>
      <c r="F112" s="302" t="s">
        <v>3465</v>
      </c>
      <c r="G112" s="302" t="s">
        <v>3466</v>
      </c>
      <c r="H112" s="130"/>
      <c r="I112" s="130"/>
      <c r="J112" s="287" t="s">
        <v>3467</v>
      </c>
      <c r="K112" s="287" t="s">
        <v>3468</v>
      </c>
      <c r="L112" s="130"/>
      <c r="M112" s="130"/>
      <c r="N112" s="130"/>
      <c r="O112" s="130"/>
      <c r="P112" s="130"/>
      <c r="Q112" s="130"/>
      <c r="R112" s="130"/>
      <c r="S112" s="130"/>
      <c r="T112" s="130"/>
      <c r="U112" s="130"/>
      <c r="V112" s="302" t="s">
        <v>3469</v>
      </c>
      <c r="W112" s="302" t="s">
        <v>3470</v>
      </c>
      <c r="X112" s="130"/>
      <c r="Y112" s="130"/>
      <c r="Z112" s="130"/>
      <c r="AA112" s="155"/>
      <c r="AB112" s="130"/>
      <c r="AC112" s="130"/>
      <c r="AD112" s="130"/>
      <c r="AE112" s="130"/>
      <c r="AF112" s="130"/>
      <c r="AG112" s="130"/>
      <c r="AH112" s="130"/>
      <c r="AI112" s="130"/>
      <c r="AJ112" s="130"/>
      <c r="AK112" s="130"/>
      <c r="AL112" s="130"/>
      <c r="AM112" s="329" t="s">
        <v>3471</v>
      </c>
      <c r="AN112" s="251"/>
      <c r="AO112" s="251">
        <v>97</v>
      </c>
      <c r="AP112" s="267">
        <f>IF($AG$12&gt;=14,102,IF($AG$12&gt;=10,101,IF($AG$12&gt;=6,100,IF($AG$12&gt;=1,99,0))))</f>
        <v>0</v>
      </c>
      <c r="AQ112" s="130"/>
      <c r="AR112" s="130"/>
      <c r="AS112" s="130"/>
      <c r="AT112" s="130"/>
      <c r="AU112" s="130"/>
      <c r="AV112" s="130"/>
      <c r="AW112" s="130"/>
      <c r="AX112" s="130"/>
      <c r="AY112" s="130"/>
      <c r="AZ112" s="130"/>
      <c r="BA112" s="130"/>
      <c r="BB112" s="130">
        <f>IF(AND(COUNTIF(专长数据!E2:E7,专长数据!A74),AG12&lt;2),1,0)</f>
        <v>0</v>
      </c>
      <c r="BC112" s="250" t="str">
        <f t="shared" si="47"/>
        <v/>
      </c>
      <c r="BD112" s="180" t="str">
        <f t="shared" si="47"/>
        <v/>
      </c>
      <c r="BE112" s="250" t="str">
        <f t="shared" si="44"/>
        <v/>
      </c>
      <c r="BF112" s="198" t="str">
        <f t="array" ref="BF112">INDEX(BE:BE,SMALL(IF($BE$2:$BE$143&lt;&gt;"",ROW($2:$143),144),ROW(BE111)))&amp;""</f>
        <v/>
      </c>
      <c r="BG112" s="130"/>
      <c r="BH112" s="130"/>
      <c r="BI112" s="130"/>
      <c r="BJ112" s="130"/>
      <c r="BK112" s="130"/>
      <c r="BL112" s="130"/>
      <c r="BM112" s="130"/>
      <c r="BN112" s="130"/>
      <c r="BO112" s="130"/>
      <c r="BP112" s="130"/>
      <c r="BQ112" s="130"/>
      <c r="BR112" s="130"/>
      <c r="BS112" s="130"/>
      <c r="BT112" s="130"/>
      <c r="BU112" s="130"/>
      <c r="BV112" s="130"/>
      <c r="BW112" s="130"/>
      <c r="BX112" s="130"/>
      <c r="BY112" s="130"/>
      <c r="BZ112" s="130"/>
    </row>
    <row r="113" spans="1:78" ht="14.4" customHeight="1" x14ac:dyDescent="0.25">
      <c r="A113" s="156">
        <v>97</v>
      </c>
      <c r="B113" s="130"/>
      <c r="C113" s="130"/>
      <c r="D113" s="130"/>
      <c r="E113" s="130"/>
      <c r="F113" s="283" t="s">
        <v>3472</v>
      </c>
      <c r="G113" s="283" t="s">
        <v>3473</v>
      </c>
      <c r="H113" s="130"/>
      <c r="I113" s="130"/>
      <c r="J113" s="287" t="s">
        <v>3474</v>
      </c>
      <c r="K113" s="287" t="s">
        <v>3475</v>
      </c>
      <c r="L113" s="130"/>
      <c r="M113" s="130"/>
      <c r="N113" s="130"/>
      <c r="O113" s="130"/>
      <c r="P113" s="130"/>
      <c r="Q113" s="130"/>
      <c r="R113" s="130"/>
      <c r="S113" s="130"/>
      <c r="T113" s="130"/>
      <c r="U113" s="130"/>
      <c r="V113" s="283" t="s">
        <v>3476</v>
      </c>
      <c r="W113" s="283" t="s">
        <v>3477</v>
      </c>
      <c r="X113" s="130"/>
      <c r="Y113" s="130"/>
      <c r="Z113" s="130"/>
      <c r="AA113" s="155"/>
      <c r="AB113" s="130"/>
      <c r="AC113" s="130"/>
      <c r="AD113" s="130"/>
      <c r="AE113" s="130"/>
      <c r="AF113" s="130"/>
      <c r="AG113" s="130"/>
      <c r="AH113" s="130"/>
      <c r="AI113" s="130"/>
      <c r="AJ113" s="130"/>
      <c r="AK113" s="130"/>
      <c r="AL113" s="130"/>
      <c r="AM113" s="334" t="s">
        <v>3478</v>
      </c>
      <c r="AN113" s="253"/>
      <c r="AO113" s="253">
        <v>103</v>
      </c>
      <c r="AP113" s="275">
        <f>IF($AG$12&gt;=14,113,IF($AG$12&gt;=10,112,IF($AG$12&gt;=6,111,IF($AG$12&gt;=1,110,0))))</f>
        <v>0</v>
      </c>
      <c r="AQ113" s="130"/>
      <c r="AR113" s="130"/>
      <c r="AS113" s="130"/>
      <c r="AT113" s="130"/>
      <c r="AU113" s="130"/>
      <c r="AV113" s="130"/>
      <c r="AW113" s="130"/>
      <c r="AX113" s="130"/>
      <c r="AY113" s="130"/>
      <c r="AZ113" s="130"/>
      <c r="BA113" s="130"/>
      <c r="BB113" s="130"/>
      <c r="BC113" s="250" t="str">
        <f t="shared" si="47"/>
        <v/>
      </c>
      <c r="BD113" s="180" t="str">
        <f t="shared" si="47"/>
        <v/>
      </c>
      <c r="BE113" s="250" t="str">
        <f t="shared" si="44"/>
        <v/>
      </c>
      <c r="BF113" s="198" t="str">
        <f t="array" ref="BF113">INDEX(BE:BE,SMALL(IF($BE$2:$BE$143&lt;&gt;"",ROW($2:$143),144),ROW(BE112)))&amp;""</f>
        <v/>
      </c>
      <c r="BG113" s="130"/>
      <c r="BH113" s="130"/>
      <c r="BI113" s="130"/>
      <c r="BJ113" s="130"/>
      <c r="BK113" s="130"/>
      <c r="BL113" s="130"/>
      <c r="BM113" s="130"/>
      <c r="BN113" s="130"/>
      <c r="BO113" s="130"/>
      <c r="BP113" s="130"/>
      <c r="BQ113" s="130"/>
      <c r="BR113" s="130"/>
      <c r="BS113" s="130"/>
      <c r="BT113" s="130"/>
      <c r="BU113" s="130"/>
      <c r="BV113" s="130"/>
      <c r="BW113" s="130"/>
      <c r="BX113" s="130"/>
      <c r="BY113" s="130"/>
      <c r="BZ113" s="130"/>
    </row>
    <row r="114" spans="1:78" ht="14.4" customHeight="1" x14ac:dyDescent="0.25">
      <c r="A114" s="156">
        <v>98</v>
      </c>
      <c r="B114" s="130"/>
      <c r="C114" s="130"/>
      <c r="D114" s="130"/>
      <c r="E114" s="130"/>
      <c r="F114" s="283" t="s">
        <v>3479</v>
      </c>
      <c r="G114" s="283" t="s">
        <v>3480</v>
      </c>
      <c r="H114" s="130"/>
      <c r="I114" s="130"/>
      <c r="J114" s="290" t="s">
        <v>3481</v>
      </c>
      <c r="K114" s="290" t="s">
        <v>3482</v>
      </c>
      <c r="L114" s="130"/>
      <c r="M114" s="130"/>
      <c r="N114" s="130"/>
      <c r="O114" s="130"/>
      <c r="P114" s="130"/>
      <c r="Q114" s="130"/>
      <c r="R114" s="130"/>
      <c r="S114" s="130"/>
      <c r="T114" s="130"/>
      <c r="U114" s="130"/>
      <c r="V114" s="283" t="s">
        <v>3483</v>
      </c>
      <c r="W114" s="283" t="s">
        <v>3484</v>
      </c>
      <c r="X114" s="130"/>
      <c r="Y114" s="130"/>
      <c r="Z114" s="130"/>
      <c r="AA114" s="155"/>
      <c r="AB114" s="130"/>
      <c r="AC114" s="130"/>
      <c r="AD114" s="130"/>
      <c r="AE114" s="130"/>
      <c r="AF114" s="130"/>
      <c r="AG114" s="130"/>
      <c r="AH114" s="130"/>
      <c r="AI114" s="130"/>
      <c r="AJ114" s="130"/>
      <c r="AK114" s="130"/>
      <c r="AL114" s="130"/>
      <c r="AM114" s="334" t="s">
        <v>3485</v>
      </c>
      <c r="AN114" s="253"/>
      <c r="AO114" s="253">
        <v>114</v>
      </c>
      <c r="AP114" s="275">
        <f>IF($AG$12&gt;=14,120,IF($AG$12&gt;=10,119,IF($AG$12&gt;=6,118,IF($AG$12&gt;=1,116,0))))</f>
        <v>0</v>
      </c>
      <c r="AQ114" s="130"/>
      <c r="AR114" s="130"/>
      <c r="AS114" s="130"/>
      <c r="AT114" s="130"/>
      <c r="AU114" s="130"/>
      <c r="AV114" s="130"/>
      <c r="AW114" s="130"/>
      <c r="AX114" s="130"/>
      <c r="AY114" s="130"/>
      <c r="AZ114" s="130"/>
      <c r="BA114" s="130"/>
      <c r="BB114" s="130"/>
      <c r="BC114" s="250" t="str">
        <f t="shared" si="47"/>
        <v/>
      </c>
      <c r="BD114" s="180" t="str">
        <f t="shared" si="47"/>
        <v/>
      </c>
      <c r="BE114" s="250" t="str">
        <f t="shared" si="44"/>
        <v/>
      </c>
      <c r="BF114" s="198" t="str">
        <f t="array" ref="BF114">INDEX(BE:BE,SMALL(IF($BE$2:$BE$143&lt;&gt;"",ROW($2:$143),144),ROW(BE113)))&amp;""</f>
        <v/>
      </c>
      <c r="BG114" s="130"/>
      <c r="BH114" s="130"/>
      <c r="BI114" s="130"/>
      <c r="BJ114" s="130"/>
      <c r="BK114" s="130"/>
      <c r="BL114" s="130"/>
      <c r="BM114" s="130"/>
      <c r="BN114" s="130"/>
      <c r="BO114" s="130"/>
      <c r="BP114" s="130"/>
      <c r="BQ114" s="130"/>
      <c r="BR114" s="130"/>
      <c r="BS114" s="130"/>
      <c r="BT114" s="130"/>
      <c r="BU114" s="130"/>
      <c r="BV114" s="130"/>
      <c r="BW114" s="130"/>
      <c r="BX114" s="130"/>
      <c r="BY114" s="130"/>
      <c r="BZ114" s="130"/>
    </row>
    <row r="115" spans="1:78" ht="14.4" customHeight="1" x14ac:dyDescent="0.25">
      <c r="A115" s="156">
        <v>99</v>
      </c>
      <c r="B115" s="130"/>
      <c r="C115" s="130"/>
      <c r="D115" s="130"/>
      <c r="E115" s="130"/>
      <c r="F115" s="283" t="s">
        <v>3486</v>
      </c>
      <c r="G115" s="283" t="s">
        <v>3487</v>
      </c>
      <c r="H115" s="130"/>
      <c r="I115" s="130"/>
      <c r="J115" s="290" t="s">
        <v>3488</v>
      </c>
      <c r="K115" s="290" t="s">
        <v>3489</v>
      </c>
      <c r="L115" s="130"/>
      <c r="M115" s="130"/>
      <c r="N115" s="130"/>
      <c r="O115" s="130"/>
      <c r="P115" s="130"/>
      <c r="Q115" s="130"/>
      <c r="R115" s="130"/>
      <c r="S115" s="130"/>
      <c r="T115" s="130"/>
      <c r="U115" s="130"/>
      <c r="V115" s="283" t="s">
        <v>3490</v>
      </c>
      <c r="W115" s="283" t="s">
        <v>3491</v>
      </c>
      <c r="X115" s="130"/>
      <c r="Y115" s="130"/>
      <c r="Z115" s="130"/>
      <c r="AA115" s="155"/>
      <c r="AB115" s="130"/>
      <c r="AC115" s="130"/>
      <c r="AD115" s="130"/>
      <c r="AE115" s="130"/>
      <c r="AF115" s="130"/>
      <c r="AG115" s="130"/>
      <c r="AH115" s="130"/>
      <c r="AI115" s="130"/>
      <c r="AJ115" s="130"/>
      <c r="AK115" s="130"/>
      <c r="AL115" s="130"/>
      <c r="AM115" s="242" t="s">
        <v>3492</v>
      </c>
      <c r="AN115" s="263"/>
      <c r="AO115" s="263">
        <v>121</v>
      </c>
      <c r="AP115" s="263">
        <f>IF($AG$12&gt;=14,125,IF($AG$12&gt;=10,124,IF($AG$12&gt;=6,123,IF($AG$12&gt;=1,122,0))))</f>
        <v>0</v>
      </c>
      <c r="AQ115" s="130"/>
      <c r="AR115" s="130"/>
      <c r="AS115" s="130"/>
      <c r="AT115" s="130"/>
      <c r="AU115" s="130"/>
      <c r="AV115" s="130"/>
      <c r="AW115" s="130"/>
      <c r="AX115" s="130"/>
      <c r="AY115" s="130"/>
      <c r="AZ115" s="130"/>
      <c r="BA115" s="130"/>
      <c r="BB115" s="130"/>
      <c r="BC115" s="250" t="str">
        <f t="shared" si="47"/>
        <v/>
      </c>
      <c r="BD115" s="180" t="str">
        <f t="shared" si="47"/>
        <v/>
      </c>
      <c r="BE115" s="250" t="str">
        <f t="shared" si="44"/>
        <v/>
      </c>
      <c r="BF115" s="198" t="str">
        <f t="array" ref="BF115">INDEX(BE:BE,SMALL(IF($BE$2:$BE$143&lt;&gt;"",ROW($2:$143),144),ROW(BE114)))&amp;""</f>
        <v/>
      </c>
      <c r="BG115" s="130"/>
      <c r="BH115" s="130"/>
      <c r="BI115" s="130"/>
      <c r="BJ115" s="130"/>
      <c r="BK115" s="130"/>
      <c r="BL115" s="130"/>
      <c r="BM115" s="130"/>
      <c r="BN115" s="130"/>
      <c r="BO115" s="130"/>
      <c r="BP115" s="130"/>
      <c r="BQ115" s="130"/>
      <c r="BR115" s="130"/>
      <c r="BS115" s="130"/>
      <c r="BT115" s="130"/>
      <c r="BU115" s="130"/>
      <c r="BV115" s="130"/>
      <c r="BW115" s="130"/>
      <c r="BX115" s="130"/>
      <c r="BY115" s="130"/>
      <c r="BZ115" s="130"/>
    </row>
    <row r="116" spans="1:78" ht="14.4" customHeight="1" x14ac:dyDescent="0.25">
      <c r="A116" s="156">
        <v>100</v>
      </c>
      <c r="B116" s="130"/>
      <c r="C116" s="130"/>
      <c r="D116" s="130"/>
      <c r="E116" s="130"/>
      <c r="F116" s="335" t="s">
        <v>3493</v>
      </c>
      <c r="G116" s="335" t="s">
        <v>3494</v>
      </c>
      <c r="H116" s="130"/>
      <c r="I116" s="130"/>
      <c r="J116" s="296" t="str">
        <f>IF(OR(BI59&gt;0,COUNTIF($BG$2:$BG$46,"符文-云")),"符文-云","")</f>
        <v/>
      </c>
      <c r="K116" s="296" t="s">
        <v>3495</v>
      </c>
      <c r="L116" s="130"/>
      <c r="M116" s="130"/>
      <c r="N116" s="130"/>
      <c r="O116" s="130"/>
      <c r="P116" s="130"/>
      <c r="Q116" s="130"/>
      <c r="R116" s="130"/>
      <c r="S116" s="130"/>
      <c r="T116" s="130"/>
      <c r="U116" s="130"/>
      <c r="V116" s="283" t="s">
        <v>3496</v>
      </c>
      <c r="W116" s="283" t="s">
        <v>3497</v>
      </c>
      <c r="X116" s="130"/>
      <c r="Y116" s="130"/>
      <c r="Z116" s="130"/>
      <c r="AA116" s="155"/>
      <c r="AB116" s="130"/>
      <c r="AC116" s="130"/>
      <c r="AD116" s="130"/>
      <c r="AE116" s="130"/>
      <c r="AF116" s="130"/>
      <c r="AG116" s="130"/>
      <c r="AH116" s="130"/>
      <c r="AI116" s="130"/>
      <c r="AJ116" s="130"/>
      <c r="AK116" s="130"/>
      <c r="AL116" s="130"/>
      <c r="AM116" s="246" t="s">
        <v>1655</v>
      </c>
      <c r="AN116" s="249">
        <v>12</v>
      </c>
      <c r="AO116" s="249">
        <v>1</v>
      </c>
      <c r="AP116" s="276">
        <f>IF($AG$13=20,16,IF($AG$13&gt;=18,15,IF($AG$13&gt;=3,14,IF($AG$13&gt;=2,13,IF($AG$13&gt;=1,12,0)))))</f>
        <v>0</v>
      </c>
      <c r="AQ116" s="130"/>
      <c r="AR116" s="130"/>
      <c r="AS116" s="130"/>
      <c r="AT116" s="130"/>
      <c r="AU116" s="130"/>
      <c r="AV116" s="130"/>
      <c r="AW116" s="130"/>
      <c r="AX116" s="130"/>
      <c r="AY116" s="130"/>
      <c r="AZ116" s="130"/>
      <c r="BA116" s="130"/>
      <c r="BB116" s="130"/>
      <c r="BC116" s="250" t="str">
        <f t="shared" ref="BC116:BD120" si="48">IF($BB$112=1,V32,"")</f>
        <v/>
      </c>
      <c r="BD116" s="180" t="str">
        <f t="shared" si="48"/>
        <v/>
      </c>
      <c r="BE116" s="250" t="str">
        <f t="shared" si="44"/>
        <v/>
      </c>
      <c r="BF116" s="198" t="str">
        <f t="array" ref="BF116">INDEX(BE:BE,SMALL(IF($BE$2:$BE$143&lt;&gt;"",ROW($2:$143),144),ROW(BE115)))&amp;""</f>
        <v/>
      </c>
      <c r="BG116" s="130"/>
      <c r="BH116" s="130"/>
      <c r="BI116" s="130"/>
      <c r="BJ116" s="130"/>
      <c r="BK116" s="130"/>
      <c r="BL116" s="130"/>
      <c r="BM116" s="130"/>
      <c r="BN116" s="130"/>
      <c r="BO116" s="130"/>
      <c r="BP116" s="130"/>
      <c r="BQ116" s="130"/>
      <c r="BR116" s="130"/>
      <c r="BS116" s="130"/>
      <c r="BT116" s="130"/>
      <c r="BU116" s="130"/>
      <c r="BV116" s="130"/>
      <c r="BW116" s="130"/>
      <c r="BX116" s="130"/>
      <c r="BY116" s="130"/>
      <c r="BZ116" s="130"/>
    </row>
    <row r="117" spans="1:78" ht="14.4" customHeight="1" x14ac:dyDescent="0.25">
      <c r="A117" s="156">
        <v>101</v>
      </c>
      <c r="B117" s="130"/>
      <c r="C117" s="130"/>
      <c r="D117" s="130"/>
      <c r="E117" s="130"/>
      <c r="F117" s="283" t="s">
        <v>3498</v>
      </c>
      <c r="G117" s="283" t="s">
        <v>3499</v>
      </c>
      <c r="H117" s="130"/>
      <c r="I117" s="130"/>
      <c r="J117" s="296" t="str">
        <f>IF(OR(BI59&gt;0,COUNTIF($BG$2:$BG$46,"符文-火")),"符文-火","")</f>
        <v/>
      </c>
      <c r="K117" s="296" t="s">
        <v>3500</v>
      </c>
      <c r="L117" s="130"/>
      <c r="M117" s="130"/>
      <c r="N117" s="130"/>
      <c r="O117" s="130"/>
      <c r="P117" s="130"/>
      <c r="Q117" s="130"/>
      <c r="R117" s="130"/>
      <c r="S117" s="130"/>
      <c r="T117" s="130"/>
      <c r="U117" s="130"/>
      <c r="V117" s="283" t="s">
        <v>3501</v>
      </c>
      <c r="W117" s="283" t="s">
        <v>3502</v>
      </c>
      <c r="X117" s="130"/>
      <c r="Y117" s="130"/>
      <c r="Z117" s="130"/>
      <c r="AA117" s="155"/>
      <c r="AB117" s="130"/>
      <c r="AC117" s="130"/>
      <c r="AD117" s="130"/>
      <c r="AE117" s="130"/>
      <c r="AF117" s="130"/>
      <c r="AG117" s="130"/>
      <c r="AH117" s="130"/>
      <c r="AI117" s="130"/>
      <c r="AJ117" s="130"/>
      <c r="AK117" s="130"/>
      <c r="AL117" s="130"/>
      <c r="AM117" s="115" t="s">
        <v>1656</v>
      </c>
      <c r="AN117" s="106"/>
      <c r="AO117" s="106">
        <v>17</v>
      </c>
      <c r="AP117" s="116">
        <f>IF($AG$13&gt;=14,21,IF($AG$13&gt;=10,20,IF($AG$13&gt;=6,19,IF($AG$13&gt;=2,18,0))))</f>
        <v>0</v>
      </c>
      <c r="AQ117" s="130"/>
      <c r="AR117" s="130"/>
      <c r="AS117" s="130"/>
      <c r="AT117" s="130"/>
      <c r="AU117" s="130"/>
      <c r="AV117" s="130"/>
      <c r="AW117" s="130"/>
      <c r="AX117" s="130"/>
      <c r="AY117" s="130"/>
      <c r="AZ117" s="130"/>
      <c r="BA117" s="130"/>
      <c r="BB117" s="130"/>
      <c r="BC117" s="250" t="str">
        <f t="shared" si="48"/>
        <v/>
      </c>
      <c r="BD117" s="180" t="str">
        <f t="shared" si="48"/>
        <v/>
      </c>
      <c r="BE117" s="250" t="str">
        <f t="shared" si="44"/>
        <v/>
      </c>
      <c r="BF117" s="198" t="str">
        <f t="array" ref="BF117">INDEX(BE:BE,SMALL(IF($BE$2:$BE$143&lt;&gt;"",ROW($2:$143),144),ROW(BE116)))&amp;""</f>
        <v/>
      </c>
      <c r="BG117" s="130"/>
      <c r="BH117" s="130"/>
      <c r="BI117" s="130"/>
      <c r="BJ117" s="130"/>
      <c r="BK117" s="130"/>
      <c r="BL117" s="130"/>
      <c r="BM117" s="130"/>
      <c r="BN117" s="130"/>
      <c r="BO117" s="130"/>
      <c r="BP117" s="130"/>
      <c r="BQ117" s="130"/>
      <c r="BR117" s="130"/>
      <c r="BS117" s="130"/>
      <c r="BT117" s="130"/>
      <c r="BU117" s="130"/>
      <c r="BV117" s="130"/>
      <c r="BW117" s="130"/>
      <c r="BX117" s="130"/>
      <c r="BY117" s="130"/>
      <c r="BZ117" s="130"/>
    </row>
    <row r="118" spans="1:78" ht="14.4" customHeight="1" x14ac:dyDescent="0.25">
      <c r="A118" s="156">
        <v>102</v>
      </c>
      <c r="B118" s="130"/>
      <c r="C118" s="130"/>
      <c r="D118" s="130"/>
      <c r="E118" s="130"/>
      <c r="F118" s="283" t="str">
        <f>IF(OR(BH55&lt;1,COUNTIF($BG$2:$BG$46,"强力施法")),"强力施法","")</f>
        <v>强力施法</v>
      </c>
      <c r="G118" s="283" t="s">
        <v>2102</v>
      </c>
      <c r="H118" s="130"/>
      <c r="I118" s="130"/>
      <c r="J118" s="296" t="str">
        <f>IF(OR(BI59&gt;0,COUNTIF($BG$2:$BG$46,"符文-霜")),"符文-霜","")</f>
        <v/>
      </c>
      <c r="K118" s="296" t="s">
        <v>3503</v>
      </c>
      <c r="L118" s="130"/>
      <c r="M118" s="130"/>
      <c r="N118" s="130"/>
      <c r="O118" s="130"/>
      <c r="P118" s="130"/>
      <c r="Q118" s="130"/>
      <c r="R118" s="130"/>
      <c r="S118" s="130"/>
      <c r="T118" s="130"/>
      <c r="U118" s="130"/>
      <c r="V118" s="283" t="s">
        <v>3504</v>
      </c>
      <c r="W118" s="283" t="s">
        <v>3505</v>
      </c>
      <c r="X118" s="130"/>
      <c r="Y118" s="130"/>
      <c r="Z118" s="130"/>
      <c r="AA118" s="155"/>
      <c r="AB118" s="130"/>
      <c r="AC118" s="130"/>
      <c r="AD118" s="130"/>
      <c r="AE118" s="130"/>
      <c r="AF118" s="130"/>
      <c r="AG118" s="130"/>
      <c r="AH118" s="130"/>
      <c r="AI118" s="130"/>
      <c r="AJ118" s="130"/>
      <c r="AK118" s="130"/>
      <c r="AL118" s="130"/>
      <c r="AM118" s="115" t="s">
        <v>1657</v>
      </c>
      <c r="AN118" s="106"/>
      <c r="AO118" s="106">
        <v>22</v>
      </c>
      <c r="AP118" s="116">
        <f>IF($AG$13&gt;=14,26,IF($AG$13&gt;=10,25,IF($AG$13&gt;=6,24,IF($AG$13&gt;=2,23,0))))</f>
        <v>0</v>
      </c>
      <c r="AQ118" s="130"/>
      <c r="AR118" s="130"/>
      <c r="AS118" s="130"/>
      <c r="AT118" s="130"/>
      <c r="AU118" s="130"/>
      <c r="AV118" s="130"/>
      <c r="AW118" s="130"/>
      <c r="AX118" s="130"/>
      <c r="AY118" s="130"/>
      <c r="AZ118" s="130"/>
      <c r="BA118" s="130"/>
      <c r="BB118" s="130"/>
      <c r="BC118" s="250" t="str">
        <f t="shared" si="48"/>
        <v/>
      </c>
      <c r="BD118" s="180" t="str">
        <f t="shared" si="48"/>
        <v/>
      </c>
      <c r="BE118" s="250" t="str">
        <f t="shared" ref="BE118:BE141" si="49">IFERROR(IF(OR(BC120="",COUNTIF($BG$2:$BG$46,BC120)),"",BC120),"")</f>
        <v/>
      </c>
      <c r="BF118" s="198" t="str">
        <f t="array" ref="BF118">INDEX(BE:BE,SMALL(IF($BE$2:$BE$143&lt;&gt;"",ROW($2:$143),144),ROW(BE117)))&amp;""</f>
        <v/>
      </c>
      <c r="BG118" s="130"/>
      <c r="BH118" s="130"/>
      <c r="BI118" s="130"/>
      <c r="BJ118" s="130"/>
      <c r="BK118" s="130"/>
      <c r="BL118" s="130"/>
      <c r="BM118" s="130"/>
      <c r="BN118" s="130"/>
      <c r="BO118" s="130"/>
      <c r="BP118" s="130"/>
      <c r="BQ118" s="130"/>
      <c r="BR118" s="130"/>
      <c r="BS118" s="130"/>
      <c r="BT118" s="130"/>
      <c r="BU118" s="130"/>
      <c r="BV118" s="130"/>
      <c r="BW118" s="130"/>
      <c r="BX118" s="130"/>
      <c r="BY118" s="130"/>
      <c r="BZ118" s="130"/>
    </row>
    <row r="119" spans="1:78" ht="14.4" customHeight="1" x14ac:dyDescent="0.25">
      <c r="A119" s="156">
        <v>103</v>
      </c>
      <c r="B119" s="130"/>
      <c r="C119" s="130"/>
      <c r="D119" s="130"/>
      <c r="E119" s="130"/>
      <c r="F119" s="283" t="s">
        <v>3506</v>
      </c>
      <c r="G119" s="283" t="s">
        <v>3507</v>
      </c>
      <c r="H119" s="130"/>
      <c r="I119" s="130"/>
      <c r="J119" s="296" t="str">
        <f>IF(OR(BI59&gt;0,COUNTIF($BG$2:$BG$46,"符文-石")),"符文-石","")</f>
        <v/>
      </c>
      <c r="K119" s="296" t="s">
        <v>3508</v>
      </c>
      <c r="L119" s="130"/>
      <c r="M119" s="130"/>
      <c r="N119" s="130"/>
      <c r="O119" s="130"/>
      <c r="P119" s="130"/>
      <c r="Q119" s="130"/>
      <c r="R119" s="130"/>
      <c r="S119" s="130"/>
      <c r="T119" s="130"/>
      <c r="U119" s="130"/>
      <c r="V119" s="287" t="s">
        <v>3509</v>
      </c>
      <c r="W119" s="287" t="s">
        <v>3510</v>
      </c>
      <c r="X119" s="130"/>
      <c r="Y119" s="130"/>
      <c r="Z119" s="130"/>
      <c r="AA119" s="155"/>
      <c r="AB119" s="130"/>
      <c r="AC119" s="130"/>
      <c r="AD119" s="130"/>
      <c r="AE119" s="130"/>
      <c r="AF119" s="130"/>
      <c r="AG119" s="130"/>
      <c r="AH119" s="130"/>
      <c r="AI119" s="130"/>
      <c r="AJ119" s="130"/>
      <c r="AK119" s="130"/>
      <c r="AL119" s="130"/>
      <c r="AM119" s="115" t="s">
        <v>1658</v>
      </c>
      <c r="AN119" s="106"/>
      <c r="AO119" s="106">
        <v>27</v>
      </c>
      <c r="AP119" s="116">
        <f>IF($AG$13&gt;=14,30,IF($AG$13&gt;=10,30,IF($AG$13&gt;=6,29,IF($AG$13&gt;=2,28,0))))</f>
        <v>0</v>
      </c>
      <c r="AQ119" s="130"/>
      <c r="AR119" s="130"/>
      <c r="AS119" s="130"/>
      <c r="AT119" s="130"/>
      <c r="AU119" s="130"/>
      <c r="AV119" s="130"/>
      <c r="AW119" s="130"/>
      <c r="AX119" s="130"/>
      <c r="AY119" s="130"/>
      <c r="AZ119" s="130"/>
      <c r="BA119" s="130"/>
      <c r="BB119" s="130"/>
      <c r="BC119" s="250" t="str">
        <f t="shared" si="48"/>
        <v/>
      </c>
      <c r="BD119" s="180" t="str">
        <f t="shared" si="48"/>
        <v/>
      </c>
      <c r="BE119" s="250" t="str">
        <f t="shared" si="49"/>
        <v/>
      </c>
      <c r="BF119" s="198" t="str">
        <f t="array" ref="BF119">INDEX(BE:BE,SMALL(IF($BE$2:$BE$143&lt;&gt;"",ROW($2:$143),144),ROW(BE118)))&amp;""</f>
        <v/>
      </c>
      <c r="BG119" s="130"/>
      <c r="BH119" s="130"/>
      <c r="BI119" s="130"/>
      <c r="BJ119" s="130"/>
      <c r="BK119" s="130"/>
      <c r="BL119" s="130"/>
      <c r="BM119" s="130"/>
      <c r="BN119" s="130"/>
      <c r="BO119" s="130"/>
      <c r="BP119" s="130"/>
      <c r="BQ119" s="130"/>
      <c r="BR119" s="130"/>
      <c r="BS119" s="130"/>
      <c r="BT119" s="130"/>
      <c r="BU119" s="130"/>
      <c r="BV119" s="130"/>
      <c r="BW119" s="130"/>
      <c r="BX119" s="130"/>
      <c r="BY119" s="130"/>
      <c r="BZ119" s="130"/>
    </row>
    <row r="120" spans="1:78" ht="14.4" customHeight="1" x14ac:dyDescent="0.25">
      <c r="A120" s="156">
        <v>104</v>
      </c>
      <c r="B120" s="130"/>
      <c r="C120" s="130"/>
      <c r="D120" s="130"/>
      <c r="E120" s="130"/>
      <c r="F120" s="287" t="s">
        <v>3511</v>
      </c>
      <c r="G120" s="287" t="s">
        <v>3512</v>
      </c>
      <c r="H120" s="130"/>
      <c r="I120" s="130"/>
      <c r="J120" s="290" t="s">
        <v>3513</v>
      </c>
      <c r="K120" s="290" t="s">
        <v>3514</v>
      </c>
      <c r="L120" s="130"/>
      <c r="M120" s="130"/>
      <c r="N120" s="130"/>
      <c r="O120" s="130"/>
      <c r="P120" s="130"/>
      <c r="Q120" s="130"/>
      <c r="R120" s="130"/>
      <c r="S120" s="130"/>
      <c r="T120" s="130"/>
      <c r="U120" s="130"/>
      <c r="V120" s="207" t="str">
        <f>IF(OR(BH67&lt;1,COUNTIF($BG$2:$BG$46,"巨灵宗主扩展法术-土")),"巨灵宗主扩展法术-土","")</f>
        <v>巨灵宗主扩展法术-土</v>
      </c>
      <c r="W120" s="207" t="s">
        <v>3515</v>
      </c>
      <c r="X120" s="130"/>
      <c r="Y120" s="130"/>
      <c r="Z120" s="130"/>
      <c r="AA120" s="155"/>
      <c r="AB120" s="130"/>
      <c r="AC120" s="130"/>
      <c r="AD120" s="130"/>
      <c r="AE120" s="130"/>
      <c r="AF120" s="130"/>
      <c r="AG120" s="130"/>
      <c r="AH120" s="130"/>
      <c r="AI120" s="130"/>
      <c r="AJ120" s="130"/>
      <c r="AK120" s="130"/>
      <c r="AL120" s="130"/>
      <c r="AM120" s="115" t="s">
        <v>1659</v>
      </c>
      <c r="AN120" s="106"/>
      <c r="AO120" s="106">
        <v>32</v>
      </c>
      <c r="AP120" s="116">
        <f>IF($AG$13&gt;=14,36,IF($AG$13&gt;=10,35,IF($AG$13&gt;=6,34,IF($AG$13&gt;=2,33,0))))</f>
        <v>0</v>
      </c>
      <c r="AQ120" s="130"/>
      <c r="AR120" s="130"/>
      <c r="AS120" s="130"/>
      <c r="AT120" s="130"/>
      <c r="AU120" s="130"/>
      <c r="AV120" s="130"/>
      <c r="AW120" s="130"/>
      <c r="AX120" s="130"/>
      <c r="AY120" s="130"/>
      <c r="AZ120" s="130"/>
      <c r="BA120" s="130"/>
      <c r="BB120" s="130"/>
      <c r="BC120" s="250" t="str">
        <f t="shared" si="48"/>
        <v/>
      </c>
      <c r="BD120" s="180" t="str">
        <f t="shared" si="48"/>
        <v/>
      </c>
      <c r="BE120" s="250" t="str">
        <f t="shared" si="49"/>
        <v/>
      </c>
      <c r="BF120" s="198" t="str">
        <f t="array" ref="BF120">INDEX(BE:BE,SMALL(IF($BE$2:$BE$143&lt;&gt;"",ROW($2:$143),144),ROW(BE119)))&amp;""</f>
        <v/>
      </c>
      <c r="BG120" s="130"/>
      <c r="BH120" s="130"/>
      <c r="BI120" s="130"/>
      <c r="BJ120" s="130"/>
      <c r="BK120" s="130"/>
      <c r="BL120" s="130"/>
      <c r="BM120" s="130"/>
      <c r="BN120" s="130"/>
      <c r="BO120" s="130"/>
      <c r="BP120" s="130"/>
      <c r="BQ120" s="130"/>
      <c r="BR120" s="130"/>
      <c r="BS120" s="130"/>
      <c r="BT120" s="130"/>
      <c r="BU120" s="130"/>
      <c r="BV120" s="130"/>
      <c r="BW120" s="130"/>
      <c r="BX120" s="130"/>
      <c r="BY120" s="130"/>
      <c r="BZ120" s="130"/>
    </row>
    <row r="121" spans="1:78" ht="14.4" customHeight="1" x14ac:dyDescent="0.25">
      <c r="A121" s="156">
        <v>105</v>
      </c>
      <c r="B121" s="130"/>
      <c r="C121" s="130"/>
      <c r="D121" s="130"/>
      <c r="E121" s="130"/>
      <c r="F121" s="287" t="s">
        <v>2161</v>
      </c>
      <c r="G121" s="287" t="s">
        <v>2629</v>
      </c>
      <c r="H121" s="130"/>
      <c r="I121" s="130"/>
      <c r="J121" s="290" t="s">
        <v>3516</v>
      </c>
      <c r="K121" s="290" t="s">
        <v>3517</v>
      </c>
      <c r="L121" s="130"/>
      <c r="M121" s="130"/>
      <c r="N121" s="130"/>
      <c r="O121" s="130"/>
      <c r="P121" s="130"/>
      <c r="Q121" s="130"/>
      <c r="R121" s="130"/>
      <c r="S121" s="130"/>
      <c r="T121" s="130"/>
      <c r="U121" s="130"/>
      <c r="V121" s="207" t="str">
        <f>IF(OR(BH67&lt;1,COUNTIF($BG$2:$BG$46,"巨灵宗主扩展法术-气")),"巨灵宗主扩展法术-气","")</f>
        <v>巨灵宗主扩展法术-气</v>
      </c>
      <c r="W121" s="207" t="s">
        <v>3518</v>
      </c>
      <c r="X121" s="130"/>
      <c r="Y121" s="130"/>
      <c r="Z121" s="130"/>
      <c r="AA121" s="155"/>
      <c r="AB121" s="130"/>
      <c r="AC121" s="130"/>
      <c r="AD121" s="130"/>
      <c r="AE121" s="130"/>
      <c r="AF121" s="130"/>
      <c r="AG121" s="130"/>
      <c r="AH121" s="130"/>
      <c r="AI121" s="130"/>
      <c r="AJ121" s="130"/>
      <c r="AK121" s="130"/>
      <c r="AL121" s="130"/>
      <c r="AM121" s="115" t="s">
        <v>1660</v>
      </c>
      <c r="AN121" s="106"/>
      <c r="AO121" s="106">
        <v>37</v>
      </c>
      <c r="AP121" s="116">
        <f>IF($AG$13&gt;=14,41,IF($AG$13&gt;=10,40,IF($AG$13&gt;=6,39,IF($AG$13&gt;=2,38,0))))</f>
        <v>0</v>
      </c>
      <c r="AQ121" s="130"/>
      <c r="AR121" s="130"/>
      <c r="AS121" s="130"/>
      <c r="AT121" s="130"/>
      <c r="AU121" s="130"/>
      <c r="AV121" s="130"/>
      <c r="AW121" s="130"/>
      <c r="AX121" s="130"/>
      <c r="AY121" s="130"/>
      <c r="AZ121" s="130"/>
      <c r="BA121" s="130"/>
      <c r="BB121" s="130"/>
      <c r="BC121" s="250" t="str">
        <f>IF($BB$112=1,V38,"")</f>
        <v/>
      </c>
      <c r="BD121" s="180" t="str">
        <f>IF($BB$112=1,W38,"")</f>
        <v/>
      </c>
      <c r="BE121" s="250" t="str">
        <f t="shared" si="49"/>
        <v/>
      </c>
      <c r="BF121" s="198" t="str">
        <f t="array" ref="BF121">INDEX(BE:BE,SMALL(IF($BE$2:$BE$143&lt;&gt;"",ROW($2:$143),144),ROW(BE120)))&amp;""</f>
        <v/>
      </c>
      <c r="BG121" s="130"/>
      <c r="BH121" s="130"/>
      <c r="BI121" s="130"/>
      <c r="BJ121" s="130"/>
      <c r="BK121" s="130"/>
      <c r="BL121" s="130"/>
      <c r="BM121" s="130"/>
      <c r="BN121" s="130"/>
      <c r="BO121" s="130"/>
      <c r="BP121" s="130"/>
      <c r="BQ121" s="130"/>
      <c r="BR121" s="130"/>
      <c r="BS121" s="130"/>
      <c r="BT121" s="130"/>
      <c r="BU121" s="130"/>
      <c r="BV121" s="130"/>
      <c r="BW121" s="130"/>
      <c r="BX121" s="130"/>
      <c r="BY121" s="130"/>
      <c r="BZ121" s="130"/>
    </row>
    <row r="122" spans="1:78" ht="14.4" customHeight="1" x14ac:dyDescent="0.25">
      <c r="A122" s="156">
        <v>106</v>
      </c>
      <c r="B122" s="130"/>
      <c r="C122" s="130"/>
      <c r="D122" s="130"/>
      <c r="E122" s="130"/>
      <c r="F122" s="287" t="s">
        <v>3519</v>
      </c>
      <c r="G122" s="287" t="s">
        <v>3520</v>
      </c>
      <c r="H122" s="130"/>
      <c r="I122" s="130"/>
      <c r="J122" s="296" t="str">
        <f>IF(OR(BI59&gt;0,COUNTIF($BG$2:$BG$46,"符文-山丘")),"符文-山丘","")</f>
        <v/>
      </c>
      <c r="K122" s="296" t="s">
        <v>3521</v>
      </c>
      <c r="L122" s="130"/>
      <c r="M122" s="130"/>
      <c r="N122" s="130"/>
      <c r="O122" s="130"/>
      <c r="P122" s="130"/>
      <c r="Q122" s="130"/>
      <c r="R122" s="130"/>
      <c r="S122" s="130"/>
      <c r="T122" s="130"/>
      <c r="U122" s="130"/>
      <c r="V122" s="207" t="str">
        <f>IF(OR(BH67&lt;1,COUNTIF($BG$2:$BG$46,"巨灵宗主扩展法术-火")),"巨灵宗主扩展法术-火","")</f>
        <v>巨灵宗主扩展法术-火</v>
      </c>
      <c r="W122" s="207" t="s">
        <v>3522</v>
      </c>
      <c r="X122" s="130"/>
      <c r="Y122" s="130"/>
      <c r="Z122" s="130"/>
      <c r="AA122" s="155"/>
      <c r="AB122" s="130"/>
      <c r="AC122" s="130"/>
      <c r="AD122" s="130"/>
      <c r="AE122" s="130"/>
      <c r="AF122" s="130"/>
      <c r="AG122" s="130"/>
      <c r="AH122" s="130"/>
      <c r="AI122" s="130"/>
      <c r="AJ122" s="130"/>
      <c r="AK122" s="130"/>
      <c r="AL122" s="130"/>
      <c r="AM122" s="115" t="s">
        <v>1661</v>
      </c>
      <c r="AN122" s="106"/>
      <c r="AO122" s="106">
        <v>42</v>
      </c>
      <c r="AP122" s="116">
        <f>IF($AG$13&gt;=14,46,IF($AG$13&gt;=10,45,IF($AG$13&gt;=6,44,IF($AG$13&gt;=2,43,0))))</f>
        <v>0</v>
      </c>
      <c r="AQ122" s="130"/>
      <c r="AR122" s="130"/>
      <c r="AS122" s="130"/>
      <c r="AT122" s="130"/>
      <c r="AU122" s="130"/>
      <c r="AV122" s="130"/>
      <c r="AW122" s="130"/>
      <c r="AX122" s="130"/>
      <c r="AY122" s="130"/>
      <c r="AZ122" s="130"/>
      <c r="BA122" s="130"/>
      <c r="BB122" s="130"/>
      <c r="BC122" s="339" t="str">
        <f>IF($BB$112=1,V41,"")</f>
        <v/>
      </c>
      <c r="BD122" s="235" t="str">
        <f>IF($BB$112=1,W41,"")</f>
        <v/>
      </c>
      <c r="BE122" s="250" t="str">
        <f t="shared" si="49"/>
        <v/>
      </c>
      <c r="BF122" s="198" t="str">
        <f t="array" ref="BF122">INDEX(BE:BE,SMALL(IF($BE$2:$BE$143&lt;&gt;"",ROW($2:$143),144),ROW(BE121)))&amp;""</f>
        <v/>
      </c>
      <c r="BG122" s="130"/>
      <c r="BH122" s="130"/>
      <c r="BI122" s="130"/>
      <c r="BJ122" s="130"/>
      <c r="BK122" s="130"/>
      <c r="BL122" s="130"/>
      <c r="BM122" s="130"/>
      <c r="BN122" s="130"/>
      <c r="BO122" s="130"/>
      <c r="BP122" s="130"/>
      <c r="BQ122" s="130"/>
      <c r="BR122" s="130"/>
      <c r="BS122" s="130"/>
      <c r="BT122" s="130"/>
      <c r="BU122" s="130"/>
      <c r="BV122" s="130"/>
      <c r="BW122" s="130"/>
      <c r="BX122" s="130"/>
      <c r="BY122" s="130"/>
      <c r="BZ122" s="130"/>
    </row>
    <row r="123" spans="1:78" ht="14.4" customHeight="1" x14ac:dyDescent="0.25">
      <c r="A123" s="156">
        <v>107</v>
      </c>
      <c r="B123" s="130"/>
      <c r="C123" s="130"/>
      <c r="D123" s="130"/>
      <c r="E123" s="130"/>
      <c r="F123" s="287" t="s">
        <v>3523</v>
      </c>
      <c r="G123" s="287" t="s">
        <v>3524</v>
      </c>
      <c r="H123" s="130"/>
      <c r="I123" s="130"/>
      <c r="J123" s="296" t="str">
        <f>IF(OR(BI59&gt;0,COUNTIF($BG$2:$BG$46,"符文-风暴")),"符文-风暴","")</f>
        <v/>
      </c>
      <c r="K123" s="296" t="s">
        <v>3525</v>
      </c>
      <c r="L123" s="130"/>
      <c r="M123" s="130"/>
      <c r="N123" s="130"/>
      <c r="O123" s="130"/>
      <c r="P123" s="130"/>
      <c r="Q123" s="130"/>
      <c r="R123" s="130"/>
      <c r="S123" s="130"/>
      <c r="T123" s="130"/>
      <c r="U123" s="130"/>
      <c r="V123" s="207" t="str">
        <f>IF(OR(BH67&lt;1,COUNTIF($BG$2:$BG$46,"巨灵宗主扩展法术-水")),"巨灵宗主扩展法术-水","")</f>
        <v>巨灵宗主扩展法术-水</v>
      </c>
      <c r="W123" s="207" t="s">
        <v>3526</v>
      </c>
      <c r="X123" s="130"/>
      <c r="Y123" s="130"/>
      <c r="Z123" s="130"/>
      <c r="AA123" s="155"/>
      <c r="AB123" s="130"/>
      <c r="AC123" s="130"/>
      <c r="AD123" s="130"/>
      <c r="AE123" s="130"/>
      <c r="AF123" s="130"/>
      <c r="AG123" s="130"/>
      <c r="AH123" s="130"/>
      <c r="AI123" s="130"/>
      <c r="AJ123" s="130"/>
      <c r="AK123" s="130"/>
      <c r="AL123" s="130"/>
      <c r="AM123" s="115" t="s">
        <v>1662</v>
      </c>
      <c r="AN123" s="106"/>
      <c r="AO123" s="106">
        <v>47</v>
      </c>
      <c r="AP123" s="116">
        <f>IF($AG$13&gt;=14,51,IF($AG$13&gt;=10,50,IF($AG$13&gt;=6,49,IF($AG$13&gt;=2,48,0))))</f>
        <v>0</v>
      </c>
      <c r="AQ123" s="130"/>
      <c r="AR123" s="130"/>
      <c r="AS123" s="130"/>
      <c r="AT123" s="130"/>
      <c r="AU123" s="130"/>
      <c r="AV123" s="130"/>
      <c r="AW123" s="130"/>
      <c r="AX123" s="130"/>
      <c r="AY123" s="130"/>
      <c r="AZ123" s="130"/>
      <c r="BA123" s="130"/>
      <c r="BB123" s="106" t="s">
        <v>2463</v>
      </c>
      <c r="BC123" s="250" t="str">
        <f>IF(OR($BB$124=0,COUNTIF($BC$11:$BC$67,J18)),"",J18)</f>
        <v/>
      </c>
      <c r="BD123" s="180" t="str">
        <f t="shared" ref="BD123:BD133" si="50">IF($BB$124=1,K18,"")</f>
        <v/>
      </c>
      <c r="BE123" s="250" t="str">
        <f t="shared" si="49"/>
        <v/>
      </c>
      <c r="BF123" s="198" t="str">
        <f t="array" ref="BF123">INDEX(BE:BE,SMALL(IF($BE$2:$BE$143&lt;&gt;"",ROW($2:$143),144),ROW(BE122)))&amp;""</f>
        <v/>
      </c>
      <c r="BG123" s="130"/>
      <c r="BH123" s="130"/>
      <c r="BI123" s="130"/>
      <c r="BJ123" s="130"/>
      <c r="BK123" s="130"/>
      <c r="BL123" s="130"/>
      <c r="BM123" s="130"/>
      <c r="BN123" s="130"/>
      <c r="BO123" s="130"/>
      <c r="BP123" s="130"/>
      <c r="BQ123" s="130"/>
      <c r="BR123" s="130"/>
      <c r="BS123" s="130"/>
      <c r="BT123" s="130"/>
      <c r="BU123" s="130"/>
      <c r="BV123" s="130"/>
      <c r="BW123" s="130"/>
      <c r="BX123" s="130"/>
      <c r="BY123" s="130"/>
      <c r="BZ123" s="130"/>
    </row>
    <row r="124" spans="1:78" ht="14.4" customHeight="1" x14ac:dyDescent="0.25">
      <c r="A124" s="156">
        <v>108</v>
      </c>
      <c r="B124" s="130"/>
      <c r="C124" s="130"/>
      <c r="D124" s="130"/>
      <c r="E124" s="130"/>
      <c r="F124" s="336" t="s">
        <v>3527</v>
      </c>
      <c r="G124" s="336" t="s">
        <v>3528</v>
      </c>
      <c r="H124" s="130"/>
      <c r="I124" s="130"/>
      <c r="J124" s="290" t="s">
        <v>3529</v>
      </c>
      <c r="K124" s="290" t="s">
        <v>3530</v>
      </c>
      <c r="L124" s="130"/>
      <c r="M124" s="130"/>
      <c r="N124" s="130"/>
      <c r="O124" s="130"/>
      <c r="P124" s="130"/>
      <c r="Q124" s="130"/>
      <c r="R124" s="130"/>
      <c r="S124" s="130"/>
      <c r="T124" s="130"/>
      <c r="U124" s="130"/>
      <c r="V124" s="287" t="s">
        <v>3531</v>
      </c>
      <c r="W124" s="287" t="s">
        <v>3532</v>
      </c>
      <c r="X124" s="130"/>
      <c r="Y124" s="130"/>
      <c r="Z124" s="130"/>
      <c r="AA124" s="155"/>
      <c r="AB124" s="130"/>
      <c r="AC124" s="130"/>
      <c r="AD124" s="130"/>
      <c r="AE124" s="130"/>
      <c r="AF124" s="130"/>
      <c r="AG124" s="130"/>
      <c r="AH124" s="130"/>
      <c r="AI124" s="130"/>
      <c r="AJ124" s="130"/>
      <c r="AK124" s="130"/>
      <c r="AL124" s="130"/>
      <c r="AM124" s="115" t="s">
        <v>1663</v>
      </c>
      <c r="AN124" s="106"/>
      <c r="AO124" s="106">
        <v>52</v>
      </c>
      <c r="AP124" s="116">
        <f>IF($AG$13&gt;=14,56,IF($AG$13&gt;=10,55,IF($AG$13&gt;=6,54,IF($AG$13&gt;=2,53,0))))</f>
        <v>0</v>
      </c>
      <c r="AQ124" s="130"/>
      <c r="AR124" s="130"/>
      <c r="AS124" s="130"/>
      <c r="AT124" s="130"/>
      <c r="AU124" s="130"/>
      <c r="AV124" s="130"/>
      <c r="AW124" s="130"/>
      <c r="AX124" s="130"/>
      <c r="AY124" s="130"/>
      <c r="AZ124" s="130"/>
      <c r="BA124" s="130"/>
      <c r="BB124" s="130">
        <f>IF(AND(COUNTIF(专长数据!E2:E7,专长数据!A76),AG6&lt;1),1,0)</f>
        <v>0</v>
      </c>
      <c r="BC124" s="250" t="str">
        <f t="shared" ref="BC124:BC133" si="51">IF(OR($BB$124=0,COUNTIF($BC$11:$BC$67,J19)),"",J19)</f>
        <v/>
      </c>
      <c r="BD124" s="180" t="str">
        <f t="shared" si="50"/>
        <v/>
      </c>
      <c r="BE124" s="250" t="str">
        <f t="shared" si="49"/>
        <v/>
      </c>
      <c r="BF124" s="198" t="str">
        <f t="array" ref="BF124">INDEX(BE:BE,SMALL(IF($BE$2:$BE$143&lt;&gt;"",ROW($2:$143),144),ROW(BE123)))&amp;""</f>
        <v/>
      </c>
      <c r="BG124" s="130"/>
      <c r="BH124" s="130"/>
      <c r="BI124" s="130"/>
      <c r="BJ124" s="130"/>
      <c r="BK124" s="130"/>
      <c r="BL124" s="130"/>
      <c r="BM124" s="130"/>
      <c r="BN124" s="130"/>
      <c r="BO124" s="130"/>
      <c r="BP124" s="130"/>
      <c r="BQ124" s="130"/>
      <c r="BR124" s="130"/>
      <c r="BS124" s="130"/>
      <c r="BT124" s="130"/>
      <c r="BU124" s="130"/>
      <c r="BV124" s="130"/>
      <c r="BW124" s="130"/>
      <c r="BX124" s="130"/>
      <c r="BY124" s="130"/>
      <c r="BZ124" s="130"/>
    </row>
    <row r="125" spans="1:78" ht="14.4" customHeight="1" x14ac:dyDescent="0.25">
      <c r="A125" s="156">
        <v>109</v>
      </c>
      <c r="B125" s="130"/>
      <c r="C125" s="130"/>
      <c r="D125" s="130"/>
      <c r="E125" s="130"/>
      <c r="F125" s="287" t="s">
        <v>3533</v>
      </c>
      <c r="G125" s="287" t="s">
        <v>3534</v>
      </c>
      <c r="H125" s="130"/>
      <c r="I125" s="130"/>
      <c r="J125" s="290" t="s">
        <v>3535</v>
      </c>
      <c r="K125" s="290" t="s">
        <v>3536</v>
      </c>
      <c r="L125" s="130"/>
      <c r="M125" s="130"/>
      <c r="N125" s="130"/>
      <c r="O125" s="130"/>
      <c r="P125" s="130"/>
      <c r="Q125" s="130"/>
      <c r="R125" s="130"/>
      <c r="S125" s="130"/>
      <c r="T125" s="130"/>
      <c r="U125" s="130"/>
      <c r="V125" s="287" t="s">
        <v>3537</v>
      </c>
      <c r="W125" s="287" t="s">
        <v>3538</v>
      </c>
      <c r="X125" s="130"/>
      <c r="Y125" s="130"/>
      <c r="Z125" s="130"/>
      <c r="AA125" s="155"/>
      <c r="AB125" s="130"/>
      <c r="AC125" s="130"/>
      <c r="AD125" s="130"/>
      <c r="AE125" s="130"/>
      <c r="AF125" s="130"/>
      <c r="AG125" s="130"/>
      <c r="AH125" s="130"/>
      <c r="AI125" s="130"/>
      <c r="AJ125" s="130"/>
      <c r="AK125" s="130"/>
      <c r="AL125" s="130"/>
      <c r="AM125" s="327" t="s">
        <v>3539</v>
      </c>
      <c r="AN125" s="259"/>
      <c r="AO125" s="259">
        <v>57</v>
      </c>
      <c r="AP125" s="328">
        <f>IF($AG$13&gt;=14,61,IF($AG$13&gt;=10,60,IF($AG$13&gt;=6,59,IF($AG$13&gt;=2,58,0))))</f>
        <v>0</v>
      </c>
      <c r="AQ125" s="130"/>
      <c r="AR125" s="130"/>
      <c r="AS125" s="130"/>
      <c r="AT125" s="130"/>
      <c r="AU125" s="130"/>
      <c r="AV125" s="130"/>
      <c r="AW125" s="130"/>
      <c r="AX125" s="130"/>
      <c r="AY125" s="130"/>
      <c r="AZ125" s="130"/>
      <c r="BA125" s="130"/>
      <c r="BB125" s="130"/>
      <c r="BC125" s="250" t="str">
        <f t="shared" si="51"/>
        <v/>
      </c>
      <c r="BD125" s="180" t="str">
        <f t="shared" si="50"/>
        <v/>
      </c>
      <c r="BE125" s="250" t="str">
        <f t="shared" si="49"/>
        <v/>
      </c>
      <c r="BF125" s="198" t="str">
        <f t="array" ref="BF125">INDEX(BE:BE,SMALL(IF($BE$2:$BE$143&lt;&gt;"",ROW($2:$143),144),ROW(BE124)))&amp;""</f>
        <v/>
      </c>
      <c r="BG125" s="130"/>
      <c r="BH125" s="130"/>
      <c r="BI125" s="130"/>
      <c r="BJ125" s="130"/>
      <c r="BK125" s="130"/>
      <c r="BL125" s="130"/>
      <c r="BM125" s="130"/>
      <c r="BN125" s="130"/>
      <c r="BO125" s="130"/>
      <c r="BP125" s="130"/>
      <c r="BQ125" s="130"/>
      <c r="BR125" s="130"/>
      <c r="BS125" s="130"/>
      <c r="BT125" s="130"/>
      <c r="BU125" s="130"/>
      <c r="BV125" s="130"/>
      <c r="BW125" s="130"/>
      <c r="BX125" s="130"/>
      <c r="BY125" s="130"/>
      <c r="BZ125" s="130"/>
    </row>
    <row r="126" spans="1:78" ht="14.4" customHeight="1" x14ac:dyDescent="0.25">
      <c r="A126" s="156">
        <v>110</v>
      </c>
      <c r="B126" s="130"/>
      <c r="C126" s="130"/>
      <c r="D126" s="130"/>
      <c r="E126" s="130"/>
      <c r="F126" s="287" t="str">
        <f>IF(OR(BH55&lt;1,COUNTIF($BG$2:$BG$46,"神圣打击")),"神圣打击","")</f>
        <v>神圣打击</v>
      </c>
      <c r="G126" s="287" t="s">
        <v>2244</v>
      </c>
      <c r="H126" s="130"/>
      <c r="I126" s="130"/>
      <c r="J126" s="290" t="s">
        <v>3540</v>
      </c>
      <c r="K126" s="290" t="s">
        <v>3541</v>
      </c>
      <c r="L126" s="130"/>
      <c r="M126" s="130"/>
      <c r="N126" s="130"/>
      <c r="O126" s="130"/>
      <c r="P126" s="130"/>
      <c r="Q126" s="130"/>
      <c r="R126" s="130"/>
      <c r="S126" s="130"/>
      <c r="T126" s="130"/>
      <c r="U126" s="130"/>
      <c r="V126" s="287" t="s">
        <v>3542</v>
      </c>
      <c r="W126" s="287" t="s">
        <v>3543</v>
      </c>
      <c r="X126" s="130"/>
      <c r="Y126" s="130"/>
      <c r="Z126" s="130"/>
      <c r="AA126" s="155"/>
      <c r="AB126" s="130"/>
      <c r="AC126" s="130"/>
      <c r="AD126" s="130"/>
      <c r="AE126" s="130"/>
      <c r="AF126" s="130"/>
      <c r="AG126" s="130"/>
      <c r="AH126" s="130"/>
      <c r="AI126" s="130"/>
      <c r="AJ126" s="130"/>
      <c r="AK126" s="130"/>
      <c r="AL126" s="130"/>
      <c r="AM126" s="329" t="s">
        <v>3544</v>
      </c>
      <c r="AN126" s="251"/>
      <c r="AO126" s="251">
        <v>62</v>
      </c>
      <c r="AP126" s="267">
        <f>IF($AG$13&gt;=14,66,IF($AG$13&gt;=10,65,IF($AG$13&gt;=6,64,IF($AG$13&gt;=2,63,0))))</f>
        <v>0</v>
      </c>
      <c r="AQ126" s="130"/>
      <c r="AR126" s="130"/>
      <c r="AS126" s="130"/>
      <c r="AT126" s="130"/>
      <c r="AU126" s="130"/>
      <c r="AV126" s="130"/>
      <c r="AW126" s="130"/>
      <c r="AX126" s="130"/>
      <c r="AY126" s="130"/>
      <c r="AZ126" s="130"/>
      <c r="BA126" s="130"/>
      <c r="BB126" s="130"/>
      <c r="BC126" s="250" t="str">
        <f t="shared" si="51"/>
        <v/>
      </c>
      <c r="BD126" s="180" t="str">
        <f t="shared" si="50"/>
        <v/>
      </c>
      <c r="BE126" s="250" t="str">
        <f t="shared" si="49"/>
        <v/>
      </c>
      <c r="BF126" s="198" t="str">
        <f t="array" ref="BF126">INDEX(BE:BE,SMALL(IF($BE$2:$BE$143&lt;&gt;"",ROW($2:$143),144),ROW(BE125)))&amp;""</f>
        <v/>
      </c>
      <c r="BG126" s="130"/>
      <c r="BH126" s="130"/>
      <c r="BI126" s="130"/>
      <c r="BJ126" s="130"/>
      <c r="BK126" s="130"/>
      <c r="BL126" s="130"/>
      <c r="BM126" s="130"/>
      <c r="BN126" s="130"/>
      <c r="BO126" s="130"/>
      <c r="BP126" s="130"/>
      <c r="BQ126" s="130"/>
      <c r="BR126" s="130"/>
      <c r="BS126" s="130"/>
      <c r="BT126" s="130"/>
      <c r="BU126" s="130"/>
      <c r="BV126" s="130"/>
      <c r="BW126" s="130"/>
      <c r="BX126" s="130"/>
      <c r="BY126" s="130"/>
      <c r="BZ126" s="130"/>
    </row>
    <row r="127" spans="1:78" ht="14.4" customHeight="1" x14ac:dyDescent="0.25">
      <c r="A127" s="156">
        <v>111</v>
      </c>
      <c r="B127" s="130"/>
      <c r="C127" s="130"/>
      <c r="D127" s="130"/>
      <c r="E127" s="130"/>
      <c r="F127" s="287" t="s">
        <v>3545</v>
      </c>
      <c r="G127" s="287" t="s">
        <v>3546</v>
      </c>
      <c r="H127" s="130"/>
      <c r="I127" s="130"/>
      <c r="J127" s="293" t="s">
        <v>3547</v>
      </c>
      <c r="K127" s="293" t="s">
        <v>3548</v>
      </c>
      <c r="L127" s="130"/>
      <c r="M127" s="130"/>
      <c r="N127" s="130"/>
      <c r="O127" s="130"/>
      <c r="P127" s="130"/>
      <c r="Q127" s="130"/>
      <c r="R127" s="130"/>
      <c r="S127" s="130"/>
      <c r="T127" s="130"/>
      <c r="U127" s="130"/>
      <c r="V127" s="287" t="s">
        <v>3549</v>
      </c>
      <c r="W127" s="287" t="s">
        <v>3550</v>
      </c>
      <c r="X127" s="130"/>
      <c r="Y127" s="130"/>
      <c r="Z127" s="130"/>
      <c r="AA127" s="155"/>
      <c r="AB127" s="130"/>
      <c r="AC127" s="130"/>
      <c r="AD127" s="130"/>
      <c r="AE127" s="130"/>
      <c r="AF127" s="130"/>
      <c r="AG127" s="130"/>
      <c r="AH127" s="130"/>
      <c r="AI127" s="130"/>
      <c r="AJ127" s="130"/>
      <c r="AK127" s="130"/>
      <c r="AL127" s="130"/>
      <c r="AM127" s="340" t="s">
        <v>3551</v>
      </c>
      <c r="AN127" s="264"/>
      <c r="AO127" s="264">
        <v>67</v>
      </c>
      <c r="AP127" s="341">
        <f>IF($AG$13&gt;=14,71,IF($AG$13&gt;=10,70,IF($AG$13&gt;=6,69,IF($AG$13&gt;=2,68,0))))</f>
        <v>0</v>
      </c>
      <c r="AQ127" s="130"/>
      <c r="AR127" s="130"/>
      <c r="AS127" s="130"/>
      <c r="AT127" s="130"/>
      <c r="AU127" s="130"/>
      <c r="AV127" s="130"/>
      <c r="AW127" s="130"/>
      <c r="AX127" s="130"/>
      <c r="AY127" s="130"/>
      <c r="AZ127" s="130"/>
      <c r="BA127" s="130"/>
      <c r="BB127" s="130"/>
      <c r="BC127" s="250" t="str">
        <f t="shared" si="51"/>
        <v/>
      </c>
      <c r="BD127" s="180" t="str">
        <f t="shared" si="50"/>
        <v/>
      </c>
      <c r="BE127" s="250" t="str">
        <f t="shared" si="49"/>
        <v/>
      </c>
      <c r="BF127" s="198" t="str">
        <f t="array" ref="BF127">INDEX(BE:BE,SMALL(IF($BE$2:$BE$143&lt;&gt;"",ROW($2:$143),144),ROW(BE126)))&amp;""</f>
        <v/>
      </c>
      <c r="BG127" s="130"/>
      <c r="BH127" s="130"/>
      <c r="BI127" s="130"/>
      <c r="BJ127" s="130"/>
      <c r="BK127" s="130"/>
      <c r="BL127" s="130"/>
      <c r="BM127" s="130"/>
      <c r="BN127" s="130"/>
      <c r="BO127" s="130"/>
      <c r="BP127" s="130"/>
      <c r="BQ127" s="130"/>
      <c r="BR127" s="130"/>
      <c r="BS127" s="130"/>
      <c r="BT127" s="130"/>
      <c r="BU127" s="130"/>
      <c r="BV127" s="130"/>
      <c r="BW127" s="130"/>
      <c r="BX127" s="130"/>
      <c r="BY127" s="130"/>
      <c r="BZ127" s="130"/>
    </row>
    <row r="128" spans="1:78" ht="14.4" customHeight="1" x14ac:dyDescent="0.25">
      <c r="A128" s="156">
        <v>112</v>
      </c>
      <c r="B128" s="130"/>
      <c r="C128" s="130"/>
      <c r="D128" s="130"/>
      <c r="E128" s="130"/>
      <c r="F128" s="290" t="s">
        <v>3552</v>
      </c>
      <c r="G128" s="290" t="s">
        <v>3553</v>
      </c>
      <c r="H128" s="130"/>
      <c r="I128" s="130"/>
      <c r="J128" s="293" t="s">
        <v>3554</v>
      </c>
      <c r="K128" s="293" t="s">
        <v>3555</v>
      </c>
      <c r="L128" s="130"/>
      <c r="M128" s="130"/>
      <c r="N128" s="130"/>
      <c r="O128" s="130"/>
      <c r="P128" s="130"/>
      <c r="Q128" s="130"/>
      <c r="R128" s="130"/>
      <c r="S128" s="130"/>
      <c r="T128" s="130"/>
      <c r="U128" s="130"/>
      <c r="V128" s="287" t="s">
        <v>3556</v>
      </c>
      <c r="W128" s="287" t="s">
        <v>3557</v>
      </c>
      <c r="X128" s="130"/>
      <c r="Y128" s="130"/>
      <c r="Z128" s="130"/>
      <c r="AA128" s="155"/>
      <c r="AB128" s="130"/>
      <c r="AC128" s="130"/>
      <c r="AD128" s="130"/>
      <c r="AE128" s="130"/>
      <c r="AF128" s="130"/>
      <c r="AG128" s="130"/>
      <c r="AH128" s="130"/>
      <c r="AI128" s="130"/>
      <c r="AJ128" s="130"/>
      <c r="AK128" s="130"/>
      <c r="AL128" s="130"/>
      <c r="AM128" s="340" t="s">
        <v>3558</v>
      </c>
      <c r="AN128" s="264"/>
      <c r="AO128" s="264">
        <v>72</v>
      </c>
      <c r="AP128" s="341">
        <f>IF($AG$13&gt;=14,75,IF($AG$13&gt;=10,74,IF($AG$13&gt;=6,73,IF($AG$13&gt;=2,72,0))))</f>
        <v>0</v>
      </c>
      <c r="AQ128" s="130"/>
      <c r="AR128" s="130"/>
      <c r="AS128" s="130"/>
      <c r="AT128" s="130"/>
      <c r="AU128" s="130"/>
      <c r="AV128" s="130"/>
      <c r="AW128" s="130"/>
      <c r="AX128" s="130"/>
      <c r="AY128" s="130"/>
      <c r="AZ128" s="130"/>
      <c r="BA128" s="130"/>
      <c r="BB128" s="130"/>
      <c r="BC128" s="250" t="str">
        <f t="shared" si="51"/>
        <v/>
      </c>
      <c r="BD128" s="180" t="str">
        <f t="shared" si="50"/>
        <v/>
      </c>
      <c r="BE128" s="250" t="str">
        <f t="shared" si="49"/>
        <v/>
      </c>
      <c r="BF128" s="198" t="str">
        <f t="array" ref="BF128">INDEX(BE:BE,SMALL(IF($BE$2:$BE$143&lt;&gt;"",ROW($2:$143),144),ROW(BE127)))&amp;""</f>
        <v/>
      </c>
      <c r="BG128" s="130"/>
      <c r="BH128" s="130"/>
      <c r="BI128" s="130"/>
      <c r="BJ128" s="130"/>
      <c r="BK128" s="130"/>
      <c r="BL128" s="130"/>
      <c r="BM128" s="130"/>
      <c r="BN128" s="130"/>
      <c r="BO128" s="130"/>
      <c r="BP128" s="130"/>
      <c r="BQ128" s="130"/>
      <c r="BR128" s="130"/>
      <c r="BS128" s="130"/>
      <c r="BT128" s="130"/>
      <c r="BU128" s="130"/>
      <c r="BV128" s="130"/>
      <c r="BW128" s="130"/>
      <c r="BX128" s="130"/>
      <c r="BY128" s="130"/>
      <c r="BZ128" s="130"/>
    </row>
    <row r="129" spans="1:78" ht="14.4" customHeight="1" x14ac:dyDescent="0.25">
      <c r="A129" s="156">
        <v>113</v>
      </c>
      <c r="B129" s="130"/>
      <c r="C129" s="130"/>
      <c r="D129" s="130"/>
      <c r="E129" s="130"/>
      <c r="F129" s="290" t="s">
        <v>2161</v>
      </c>
      <c r="G129" s="290" t="s">
        <v>2162</v>
      </c>
      <c r="H129" s="130"/>
      <c r="I129" s="130"/>
      <c r="J129" s="293" t="s">
        <v>3559</v>
      </c>
      <c r="K129" s="293" t="s">
        <v>3560</v>
      </c>
      <c r="L129" s="130"/>
      <c r="M129" s="130"/>
      <c r="N129" s="130"/>
      <c r="O129" s="130"/>
      <c r="P129" s="130"/>
      <c r="Q129" s="130"/>
      <c r="R129" s="130"/>
      <c r="S129" s="130"/>
      <c r="T129" s="130"/>
      <c r="U129" s="130"/>
      <c r="V129" s="287" t="s">
        <v>3561</v>
      </c>
      <c r="W129" s="287" t="s">
        <v>3562</v>
      </c>
      <c r="X129" s="130"/>
      <c r="Y129" s="130"/>
      <c r="Z129" s="130"/>
      <c r="AA129" s="155"/>
      <c r="AB129" s="130"/>
      <c r="AC129" s="130"/>
      <c r="AD129" s="130"/>
      <c r="AE129" s="130"/>
      <c r="AF129" s="130"/>
      <c r="AG129" s="130"/>
      <c r="AH129" s="130"/>
      <c r="AI129" s="130"/>
      <c r="AJ129" s="130"/>
      <c r="AK129" s="130"/>
      <c r="AL129" s="130"/>
      <c r="AM129" s="334" t="s">
        <v>3563</v>
      </c>
      <c r="AN129" s="253"/>
      <c r="AO129" s="253">
        <v>76</v>
      </c>
      <c r="AP129" s="275">
        <f>IF($AG$13&gt;=14,80,IF($AG$13&gt;=10,79,IF($AG$13&gt;=6,78,IF($AG$13&gt;=2,77,0))))</f>
        <v>0</v>
      </c>
      <c r="AQ129" s="130"/>
      <c r="AR129" s="130"/>
      <c r="AS129" s="130"/>
      <c r="AT129" s="130"/>
      <c r="AU129" s="130"/>
      <c r="AV129" s="130"/>
      <c r="AW129" s="130"/>
      <c r="AX129" s="130"/>
      <c r="AY129" s="130"/>
      <c r="AZ129" s="130"/>
      <c r="BA129" s="130"/>
      <c r="BB129" s="130"/>
      <c r="BC129" s="250" t="str">
        <f t="shared" si="51"/>
        <v/>
      </c>
      <c r="BD129" s="180" t="str">
        <f t="shared" si="50"/>
        <v/>
      </c>
      <c r="BE129" s="250" t="str">
        <f t="shared" si="49"/>
        <v/>
      </c>
      <c r="BF129" s="198" t="str">
        <f t="array" ref="BF129">INDEX(BE:BE,SMALL(IF($BE$2:$BE$143&lt;&gt;"",ROW($2:$143),144),ROW(BE128)))&amp;""</f>
        <v/>
      </c>
      <c r="BG129" s="130"/>
      <c r="BH129" s="130"/>
      <c r="BI129" s="130"/>
      <c r="BJ129" s="130"/>
      <c r="BK129" s="130"/>
      <c r="BL129" s="130"/>
      <c r="BM129" s="130"/>
      <c r="BN129" s="130"/>
      <c r="BO129" s="130"/>
      <c r="BP129" s="130"/>
      <c r="BQ129" s="130"/>
      <c r="BR129" s="130"/>
      <c r="BS129" s="130"/>
      <c r="BT129" s="130"/>
      <c r="BU129" s="130"/>
      <c r="BV129" s="130"/>
      <c r="BW129" s="130"/>
      <c r="BX129" s="130"/>
      <c r="BY129" s="130"/>
      <c r="BZ129" s="130"/>
    </row>
    <row r="130" spans="1:78" ht="14.4" customHeight="1" x14ac:dyDescent="0.25">
      <c r="A130" s="156">
        <v>114</v>
      </c>
      <c r="B130" s="130"/>
      <c r="C130" s="130"/>
      <c r="D130" s="130"/>
      <c r="E130" s="130"/>
      <c r="F130" s="290" t="s">
        <v>3564</v>
      </c>
      <c r="G130" s="290" t="s">
        <v>3565</v>
      </c>
      <c r="H130" s="130"/>
      <c r="I130" s="130"/>
      <c r="J130" s="293" t="s">
        <v>3566</v>
      </c>
      <c r="K130" s="293" t="s">
        <v>3567</v>
      </c>
      <c r="L130" s="130"/>
      <c r="M130" s="130"/>
      <c r="N130" s="130"/>
      <c r="O130" s="130"/>
      <c r="P130" s="130"/>
      <c r="Q130" s="130"/>
      <c r="R130" s="130"/>
      <c r="S130" s="130"/>
      <c r="T130" s="130"/>
      <c r="U130" s="130"/>
      <c r="V130" s="290" t="s">
        <v>3568</v>
      </c>
      <c r="W130" s="290" t="s">
        <v>3569</v>
      </c>
      <c r="X130" s="130"/>
      <c r="Y130" s="130"/>
      <c r="Z130" s="130"/>
      <c r="AA130" s="155"/>
      <c r="AB130" s="130"/>
      <c r="AC130" s="130"/>
      <c r="AD130" s="130"/>
      <c r="AE130" s="130"/>
      <c r="AF130" s="130"/>
      <c r="AG130" s="130"/>
      <c r="AH130" s="130"/>
      <c r="AI130" s="130"/>
      <c r="AJ130" s="130"/>
      <c r="AK130" s="130"/>
      <c r="AL130" s="130"/>
      <c r="AM130" s="342" t="s">
        <v>1668</v>
      </c>
      <c r="AN130" s="343">
        <v>13</v>
      </c>
      <c r="AO130" s="343">
        <v>1</v>
      </c>
      <c r="AP130" s="344">
        <f>IF($AG$14=20,34,IF($AG$14&gt;=18,33,IF($AG$14&gt;=14,32,IF($AG$14&gt;=11,30,IF($AG$14&gt;=10,29,IF($AG$14&gt;=7,27,IF($AG$14&gt;=6,26,IF($AG$14&gt;=3,20,IF($AG$14&gt;=2,18,IF($AG$14&gt;=1,7,0))))))))))</f>
        <v>0</v>
      </c>
      <c r="AQ130" s="130"/>
      <c r="AR130" s="130"/>
      <c r="AS130" s="130"/>
      <c r="AT130" s="130"/>
      <c r="AU130" s="130"/>
      <c r="AV130" s="130"/>
      <c r="AW130" s="130"/>
      <c r="AX130" s="130"/>
      <c r="AY130" s="130"/>
      <c r="AZ130" s="130"/>
      <c r="BA130" s="130"/>
      <c r="BB130" s="130"/>
      <c r="BC130" s="250" t="str">
        <f t="shared" si="51"/>
        <v/>
      </c>
      <c r="BD130" s="180" t="str">
        <f t="shared" si="50"/>
        <v/>
      </c>
      <c r="BE130" s="250" t="str">
        <f t="shared" si="49"/>
        <v/>
      </c>
      <c r="BF130" s="198" t="str">
        <f t="array" ref="BF130">INDEX(BE:BE,SMALL(IF($BE$2:$BE$143&lt;&gt;"",ROW($2:$143),144),ROW(BE129)))&amp;""</f>
        <v/>
      </c>
      <c r="BG130" s="130"/>
      <c r="BH130" s="130"/>
      <c r="BI130" s="130"/>
      <c r="BJ130" s="130"/>
      <c r="BK130" s="130"/>
      <c r="BL130" s="130"/>
      <c r="BM130" s="130"/>
      <c r="BN130" s="130"/>
      <c r="BO130" s="130"/>
      <c r="BP130" s="130"/>
      <c r="BQ130" s="130"/>
      <c r="BR130" s="130"/>
      <c r="BS130" s="130"/>
      <c r="BT130" s="130"/>
      <c r="BU130" s="130"/>
      <c r="BV130" s="130"/>
      <c r="BW130" s="130"/>
      <c r="BX130" s="130"/>
      <c r="BY130" s="130"/>
      <c r="BZ130" s="130"/>
    </row>
    <row r="131" spans="1:78" ht="14.4" customHeight="1" x14ac:dyDescent="0.25">
      <c r="A131" s="156">
        <v>115</v>
      </c>
      <c r="B131" s="130"/>
      <c r="C131" s="130"/>
      <c r="D131" s="130"/>
      <c r="E131" s="130"/>
      <c r="F131" s="312" t="s">
        <v>2201</v>
      </c>
      <c r="G131" s="312" t="s">
        <v>3570</v>
      </c>
      <c r="H131" s="130"/>
      <c r="I131" s="130"/>
      <c r="J131" s="293" t="s">
        <v>3571</v>
      </c>
      <c r="K131" s="293" t="s">
        <v>3572</v>
      </c>
      <c r="L131" s="130"/>
      <c r="M131" s="130"/>
      <c r="N131" s="130"/>
      <c r="O131" s="130"/>
      <c r="P131" s="130"/>
      <c r="Q131" s="130"/>
      <c r="R131" s="130"/>
      <c r="S131" s="130"/>
      <c r="T131" s="130"/>
      <c r="U131" s="130"/>
      <c r="V131" s="290" t="s">
        <v>3573</v>
      </c>
      <c r="W131" s="290" t="s">
        <v>3574</v>
      </c>
      <c r="X131" s="130"/>
      <c r="Y131" s="130"/>
      <c r="Z131" s="130"/>
      <c r="AA131" s="155"/>
      <c r="AB131" s="130"/>
      <c r="AC131" s="130"/>
      <c r="AD131" s="130"/>
      <c r="AE131" s="130"/>
      <c r="AF131" s="130"/>
      <c r="AG131" s="130"/>
      <c r="AH131" s="130"/>
      <c r="AI131" s="130"/>
      <c r="AJ131" s="130"/>
      <c r="AK131" s="130"/>
      <c r="AL131" s="130"/>
      <c r="AM131" s="115" t="s">
        <v>1665</v>
      </c>
      <c r="AN131" s="106"/>
      <c r="AO131" s="106">
        <v>35</v>
      </c>
      <c r="AP131" s="116">
        <f>IF($AG$14&gt;=15,40,IF($AG$14&gt;=9,39,IF($AG$14&gt;=5,38,IF($AG$14&gt;=3,37,0))))</f>
        <v>0</v>
      </c>
      <c r="AQ131" s="130"/>
      <c r="AR131" s="130"/>
      <c r="AS131" s="130"/>
      <c r="AT131" s="130"/>
      <c r="AU131" s="130"/>
      <c r="AV131" s="130"/>
      <c r="AW131" s="130"/>
      <c r="AX131" s="130"/>
      <c r="AY131" s="130"/>
      <c r="AZ131" s="130"/>
      <c r="BA131" s="130"/>
      <c r="BB131" s="130"/>
      <c r="BC131" s="250" t="str">
        <f t="shared" si="51"/>
        <v/>
      </c>
      <c r="BD131" s="180" t="str">
        <f t="shared" si="50"/>
        <v/>
      </c>
      <c r="BE131" s="250" t="str">
        <f t="shared" si="49"/>
        <v/>
      </c>
      <c r="BF131" s="198" t="str">
        <f t="array" ref="BF131">INDEX(BE:BE,SMALL(IF($BE$2:$BE$143&lt;&gt;"",ROW($2:$143),144),ROW(BE130)))&amp;""</f>
        <v/>
      </c>
      <c r="BG131" s="130"/>
      <c r="BH131" s="130"/>
      <c r="BI131" s="130"/>
      <c r="BJ131" s="130"/>
      <c r="BK131" s="130"/>
      <c r="BL131" s="130"/>
      <c r="BM131" s="130"/>
      <c r="BN131" s="130"/>
      <c r="BO131" s="130"/>
      <c r="BP131" s="130"/>
      <c r="BQ131" s="130"/>
      <c r="BR131" s="130"/>
      <c r="BS131" s="130"/>
      <c r="BT131" s="130"/>
      <c r="BU131" s="130"/>
      <c r="BV131" s="130"/>
      <c r="BW131" s="130"/>
      <c r="BX131" s="130"/>
      <c r="BY131" s="130"/>
      <c r="BZ131" s="130"/>
    </row>
    <row r="132" spans="1:78" ht="14.4" customHeight="1" x14ac:dyDescent="0.25">
      <c r="A132" s="156">
        <v>116</v>
      </c>
      <c r="B132" s="130"/>
      <c r="C132" s="130"/>
      <c r="D132" s="130"/>
      <c r="E132" s="130"/>
      <c r="F132" s="312" t="s">
        <v>3575</v>
      </c>
      <c r="G132" s="312" t="s">
        <v>3576</v>
      </c>
      <c r="H132" s="130"/>
      <c r="I132" s="130"/>
      <c r="J132" s="293" t="s">
        <v>3577</v>
      </c>
      <c r="K132" s="293" t="s">
        <v>3578</v>
      </c>
      <c r="L132" s="130"/>
      <c r="M132" s="130"/>
      <c r="N132" s="130"/>
      <c r="O132" s="130"/>
      <c r="P132" s="130"/>
      <c r="Q132" s="130"/>
      <c r="R132" s="130"/>
      <c r="S132" s="130"/>
      <c r="T132" s="130"/>
      <c r="U132" s="130"/>
      <c r="V132" s="290" t="s">
        <v>3579</v>
      </c>
      <c r="W132" s="290" t="s">
        <v>3580</v>
      </c>
      <c r="X132" s="130"/>
      <c r="Y132" s="130"/>
      <c r="Z132" s="130"/>
      <c r="AA132" s="155"/>
      <c r="AB132" s="130"/>
      <c r="AC132" s="130"/>
      <c r="AD132" s="130"/>
      <c r="AE132" s="130"/>
      <c r="AF132" s="130"/>
      <c r="AG132" s="130"/>
      <c r="AH132" s="130"/>
      <c r="AI132" s="130"/>
      <c r="AJ132" s="130"/>
      <c r="AK132" s="130"/>
      <c r="AL132" s="130"/>
      <c r="AM132" s="115" t="s">
        <v>1666</v>
      </c>
      <c r="AN132" s="106"/>
      <c r="AO132" s="106">
        <v>41</v>
      </c>
      <c r="AP132" s="116">
        <f>IF($AG$14&gt;=15,49,IF($AG$14&gt;=9,48,IF($AG$14&gt;=5,47,IF($AG$14&gt;=3,46,0))))</f>
        <v>0</v>
      </c>
      <c r="AQ132" s="130"/>
      <c r="AR132" s="130"/>
      <c r="AS132" s="130"/>
      <c r="AT132" s="130"/>
      <c r="AU132" s="130"/>
      <c r="AV132" s="130"/>
      <c r="AW132" s="130"/>
      <c r="AX132" s="130"/>
      <c r="AY132" s="130"/>
      <c r="AZ132" s="130"/>
      <c r="BA132" s="130"/>
      <c r="BB132" s="130"/>
      <c r="BC132" s="250" t="str">
        <f t="shared" si="51"/>
        <v/>
      </c>
      <c r="BD132" s="180" t="str">
        <f t="shared" si="50"/>
        <v/>
      </c>
      <c r="BE132" s="250" t="str">
        <f t="shared" si="49"/>
        <v/>
      </c>
      <c r="BF132" s="198" t="str">
        <f t="array" ref="BF132">INDEX(BE:BE,SMALL(IF($BE$2:$BE$143&lt;&gt;"",ROW($2:$143),144),ROW(BE131)))&amp;""</f>
        <v/>
      </c>
      <c r="BG132" s="130"/>
      <c r="BH132" s="130"/>
      <c r="BI132" s="130"/>
      <c r="BJ132" s="130"/>
      <c r="BK132" s="130"/>
      <c r="BL132" s="130"/>
      <c r="BM132" s="130"/>
      <c r="BN132" s="130"/>
      <c r="BO132" s="130"/>
      <c r="BP132" s="130"/>
      <c r="BQ132" s="130"/>
      <c r="BR132" s="130"/>
      <c r="BS132" s="130"/>
      <c r="BT132" s="130"/>
      <c r="BU132" s="130"/>
      <c r="BV132" s="130"/>
      <c r="BW132" s="130"/>
      <c r="BX132" s="130"/>
      <c r="BY132" s="130"/>
      <c r="BZ132" s="130"/>
    </row>
    <row r="133" spans="1:78" ht="14.4" customHeight="1" x14ac:dyDescent="0.25">
      <c r="A133" s="156">
        <v>117</v>
      </c>
      <c r="B133" s="130"/>
      <c r="C133" s="130"/>
      <c r="D133" s="130"/>
      <c r="E133" s="130"/>
      <c r="F133" s="290" t="str">
        <f>IF(OR(BH55&lt;1,COUNTIF($BG$2:$BG$46,"神圣打击")),"神圣打击","")</f>
        <v>神圣打击</v>
      </c>
      <c r="G133" s="290" t="s">
        <v>3581</v>
      </c>
      <c r="H133" s="130"/>
      <c r="I133" s="130"/>
      <c r="J133" s="293" t="s">
        <v>3582</v>
      </c>
      <c r="K133" s="293" t="s">
        <v>3583</v>
      </c>
      <c r="L133" s="130"/>
      <c r="M133" s="130"/>
      <c r="N133" s="130"/>
      <c r="O133" s="130"/>
      <c r="P133" s="130"/>
      <c r="Q133" s="130"/>
      <c r="R133" s="130"/>
      <c r="S133" s="130"/>
      <c r="T133" s="130"/>
      <c r="U133" s="130"/>
      <c r="V133" s="290" t="s">
        <v>3584</v>
      </c>
      <c r="W133" s="290" t="s">
        <v>3585</v>
      </c>
      <c r="X133" s="130"/>
      <c r="Y133" s="130"/>
      <c r="Z133" s="130"/>
      <c r="AA133" s="155"/>
      <c r="AB133" s="130"/>
      <c r="AC133" s="130"/>
      <c r="AD133" s="130"/>
      <c r="AE133" s="130"/>
      <c r="AF133" s="130"/>
      <c r="AG133" s="130"/>
      <c r="AH133" s="130"/>
      <c r="AI133" s="130"/>
      <c r="AJ133" s="130"/>
      <c r="AK133" s="130"/>
      <c r="AL133" s="130"/>
      <c r="AM133" s="115" t="s">
        <v>1667</v>
      </c>
      <c r="AN133" s="106"/>
      <c r="AO133" s="106">
        <v>50</v>
      </c>
      <c r="AP133" s="116">
        <f>IF($AG$14&gt;=15,56,IF($AG$14&gt;=9,55,IF($AG$14&gt;=5,54,IF($AG$14&gt;=3,53,0))))</f>
        <v>0</v>
      </c>
      <c r="AQ133" s="130"/>
      <c r="AR133" s="130"/>
      <c r="AS133" s="130"/>
      <c r="AT133" s="130"/>
      <c r="AU133" s="130"/>
      <c r="AV133" s="130"/>
      <c r="AW133" s="130"/>
      <c r="AX133" s="130"/>
      <c r="AY133" s="130"/>
      <c r="AZ133" s="130"/>
      <c r="BA133" s="130"/>
      <c r="BB133" s="130"/>
      <c r="BC133" s="339" t="str">
        <f t="shared" si="51"/>
        <v/>
      </c>
      <c r="BD133" s="235" t="str">
        <f t="shared" si="50"/>
        <v/>
      </c>
      <c r="BE133" s="250" t="str">
        <f t="shared" si="49"/>
        <v/>
      </c>
      <c r="BF133" s="198" t="str">
        <f t="array" ref="BF133">INDEX(BE:BE,SMALL(IF($BE$2:$BE$143&lt;&gt;"",ROW($2:$143),144),ROW(BE132)))&amp;""</f>
        <v/>
      </c>
      <c r="BG133" s="130"/>
      <c r="BH133" s="130"/>
      <c r="BI133" s="130"/>
      <c r="BJ133" s="130"/>
      <c r="BK133" s="130"/>
      <c r="BL133" s="130"/>
      <c r="BM133" s="130"/>
      <c r="BN133" s="130"/>
      <c r="BO133" s="130"/>
      <c r="BP133" s="130"/>
      <c r="BQ133" s="130"/>
      <c r="BR133" s="130"/>
      <c r="BS133" s="130"/>
      <c r="BT133" s="130"/>
      <c r="BU133" s="130"/>
      <c r="BV133" s="130"/>
      <c r="BW133" s="130"/>
      <c r="BX133" s="130"/>
      <c r="BY133" s="130"/>
      <c r="BZ133" s="130"/>
    </row>
    <row r="134" spans="1:78" ht="14.4" customHeight="1" x14ac:dyDescent="0.25">
      <c r="A134" s="156">
        <v>118</v>
      </c>
      <c r="B134" s="130"/>
      <c r="C134" s="130"/>
      <c r="D134" s="130"/>
      <c r="E134" s="130"/>
      <c r="F134" s="290" t="s">
        <v>2267</v>
      </c>
      <c r="G134" s="290" t="s">
        <v>3586</v>
      </c>
      <c r="H134" s="130"/>
      <c r="I134" s="130"/>
      <c r="J134" s="293" t="s">
        <v>3587</v>
      </c>
      <c r="K134" s="293" t="s">
        <v>3588</v>
      </c>
      <c r="L134" s="130"/>
      <c r="M134" s="130"/>
      <c r="N134" s="130"/>
      <c r="O134" s="130"/>
      <c r="P134" s="130"/>
      <c r="Q134" s="130"/>
      <c r="R134" s="130"/>
      <c r="S134" s="130"/>
      <c r="T134" s="130"/>
      <c r="U134" s="130"/>
      <c r="V134" s="290" t="s">
        <v>3589</v>
      </c>
      <c r="W134" s="290" t="s">
        <v>3590</v>
      </c>
      <c r="X134" s="130"/>
      <c r="Y134" s="130"/>
      <c r="Z134" s="130"/>
      <c r="AA134" s="155"/>
      <c r="AB134" s="130"/>
      <c r="AC134" s="130"/>
      <c r="AD134" s="130"/>
      <c r="AE134" s="130"/>
      <c r="AF134" s="130"/>
      <c r="AG134" s="130"/>
      <c r="AH134" s="130"/>
      <c r="AI134" s="130"/>
      <c r="AJ134" s="130"/>
      <c r="AK134" s="130"/>
      <c r="AL134" s="130"/>
      <c r="AM134" s="345" t="s">
        <v>3591</v>
      </c>
      <c r="AN134" s="266"/>
      <c r="AO134" s="266">
        <v>57</v>
      </c>
      <c r="AP134" s="346">
        <f>IF($AG$14&gt;=15,65,IF($AG$14&gt;=9,64,IF($AG$14&gt;=5,63,IF($AG$14&gt;=3,62,0))))</f>
        <v>0</v>
      </c>
      <c r="AQ134" s="130"/>
      <c r="AR134" s="130"/>
      <c r="AS134" s="130"/>
      <c r="AT134" s="130"/>
      <c r="AU134" s="130"/>
      <c r="AV134" s="130"/>
      <c r="AW134" s="130"/>
      <c r="AX134" s="130"/>
      <c r="AY134" s="130"/>
      <c r="AZ134" s="130"/>
      <c r="BA134" s="130"/>
      <c r="BB134" s="106" t="s">
        <v>1959</v>
      </c>
      <c r="BC134" s="250" t="str">
        <f t="shared" ref="BC134:BC143" si="52">IF($BB$135=1,T30,"")</f>
        <v/>
      </c>
      <c r="BD134" s="180" t="str">
        <f t="shared" ref="BD134:BD143" si="53">IF($BB$135=1,U30,"")</f>
        <v/>
      </c>
      <c r="BE134" s="250" t="str">
        <f t="shared" si="49"/>
        <v/>
      </c>
      <c r="BF134" s="198" t="str">
        <f t="array" ref="BF134">INDEX(BE:BE,SMALL(IF($BE$2:$BE$143&lt;&gt;"",ROW($2:$143),144),ROW(BE133)))&amp;""</f>
        <v/>
      </c>
      <c r="BG134" s="130"/>
      <c r="BH134" s="130"/>
      <c r="BI134" s="130"/>
      <c r="BJ134" s="130"/>
      <c r="BK134" s="130"/>
      <c r="BL134" s="130"/>
      <c r="BM134" s="130"/>
      <c r="BN134" s="130"/>
      <c r="BO134" s="130"/>
      <c r="BP134" s="130"/>
      <c r="BQ134" s="130"/>
      <c r="BR134" s="130"/>
      <c r="BS134" s="130"/>
      <c r="BT134" s="130"/>
      <c r="BU134" s="130"/>
      <c r="BV134" s="130"/>
      <c r="BW134" s="130"/>
      <c r="BX134" s="130"/>
      <c r="BY134" s="130"/>
      <c r="BZ134" s="130"/>
    </row>
    <row r="135" spans="1:78" ht="14.4" customHeight="1" x14ac:dyDescent="0.25">
      <c r="A135" s="156">
        <v>119</v>
      </c>
      <c r="B135" s="130"/>
      <c r="C135" s="130"/>
      <c r="D135" s="130"/>
      <c r="E135" s="130"/>
      <c r="F135" s="293" t="s">
        <v>3592</v>
      </c>
      <c r="G135" s="293" t="s">
        <v>3593</v>
      </c>
      <c r="H135" s="130"/>
      <c r="I135" s="130"/>
      <c r="J135" s="293" t="s">
        <v>3594</v>
      </c>
      <c r="K135" s="293" t="s">
        <v>3595</v>
      </c>
      <c r="L135" s="130"/>
      <c r="M135" s="130"/>
      <c r="N135" s="130"/>
      <c r="O135" s="130"/>
      <c r="P135" s="130"/>
      <c r="Q135" s="130"/>
      <c r="R135" s="130"/>
      <c r="S135" s="130"/>
      <c r="T135" s="130"/>
      <c r="U135" s="130"/>
      <c r="V135" s="290" t="s">
        <v>3596</v>
      </c>
      <c r="W135" s="290" t="s">
        <v>3597</v>
      </c>
      <c r="X135" s="130"/>
      <c r="Y135" s="130"/>
      <c r="Z135" s="130"/>
      <c r="AA135" s="155"/>
      <c r="AB135" s="130"/>
      <c r="AC135" s="130"/>
      <c r="AD135" s="130"/>
      <c r="AE135" s="130"/>
      <c r="AF135" s="130"/>
      <c r="AG135" s="130"/>
      <c r="AH135" s="130"/>
      <c r="AI135" s="130"/>
      <c r="AJ135" s="130"/>
      <c r="AK135" s="130"/>
      <c r="AL135" s="130"/>
      <c r="AQ135" s="130"/>
      <c r="AR135" s="130"/>
      <c r="AS135" s="130"/>
      <c r="AT135" s="130"/>
      <c r="AU135" s="130"/>
      <c r="AV135" s="130"/>
      <c r="AW135" s="130"/>
      <c r="AX135" s="130"/>
      <c r="AY135" s="130"/>
      <c r="AZ135" s="130"/>
      <c r="BA135" s="130"/>
      <c r="BB135" s="130">
        <f>IF(AND(COUNTIF(专长数据!E2:E7,专长数据!A78),AG11&lt;3),1,0)</f>
        <v>0</v>
      </c>
      <c r="BC135" s="250" t="str">
        <f t="shared" si="52"/>
        <v/>
      </c>
      <c r="BD135" s="180" t="str">
        <f t="shared" si="53"/>
        <v/>
      </c>
      <c r="BE135" s="250" t="str">
        <f t="shared" si="49"/>
        <v/>
      </c>
      <c r="BF135" s="198" t="str">
        <f t="array" ref="BF135">INDEX(BE:BE,SMALL(IF($BE$2:$BE$143&lt;&gt;"",ROW($2:$143),144),ROW(BE134)))&amp;""</f>
        <v/>
      </c>
      <c r="BG135" s="130"/>
      <c r="BH135" s="130"/>
      <c r="BI135" s="130"/>
      <c r="BJ135" s="130"/>
      <c r="BK135" s="130"/>
      <c r="BL135" s="130"/>
      <c r="BM135" s="130"/>
      <c r="BN135" s="130"/>
      <c r="BO135" s="130"/>
      <c r="BP135" s="130"/>
      <c r="BQ135" s="130"/>
      <c r="BR135" s="130"/>
      <c r="BS135" s="130"/>
      <c r="BT135" s="130"/>
      <c r="BU135" s="130"/>
      <c r="BV135" s="130"/>
      <c r="BW135" s="130"/>
      <c r="BX135" s="130"/>
      <c r="BY135" s="130"/>
      <c r="BZ135" s="130"/>
    </row>
    <row r="136" spans="1:78" ht="14.4" customHeight="1" x14ac:dyDescent="0.25">
      <c r="A136" s="156">
        <v>120</v>
      </c>
      <c r="B136" s="130"/>
      <c r="C136" s="130"/>
      <c r="D136" s="130"/>
      <c r="E136" s="130"/>
      <c r="F136" s="293" t="s">
        <v>2161</v>
      </c>
      <c r="G136" s="293" t="s">
        <v>2162</v>
      </c>
      <c r="H136" s="130"/>
      <c r="I136" s="130"/>
      <c r="J136" s="293" t="s">
        <v>3598</v>
      </c>
      <c r="K136" s="293" t="s">
        <v>3599</v>
      </c>
      <c r="L136" s="130"/>
      <c r="M136" s="130"/>
      <c r="N136" s="130"/>
      <c r="O136" s="130"/>
      <c r="P136" s="130"/>
      <c r="Q136" s="130"/>
      <c r="R136" s="130"/>
      <c r="S136" s="130"/>
      <c r="T136" s="130"/>
      <c r="U136" s="130"/>
      <c r="V136" s="290" t="s">
        <v>3600</v>
      </c>
      <c r="W136" s="290" t="s">
        <v>3601</v>
      </c>
      <c r="X136" s="130"/>
      <c r="Y136" s="130"/>
      <c r="Z136" s="130"/>
      <c r="AA136" s="155"/>
      <c r="AB136" s="130"/>
      <c r="AC136" s="130"/>
      <c r="AD136" s="130"/>
      <c r="AE136" s="130"/>
      <c r="AF136" s="130"/>
      <c r="AG136" s="130"/>
      <c r="AH136" s="130"/>
      <c r="AI136" s="130"/>
      <c r="AJ136" s="130"/>
      <c r="AK136" s="130"/>
      <c r="AL136" s="130"/>
      <c r="AQ136" s="130"/>
      <c r="AR136" s="130"/>
      <c r="AS136" s="130"/>
      <c r="AT136" s="130"/>
      <c r="AU136" s="130"/>
      <c r="AV136" s="130"/>
      <c r="AW136" s="130"/>
      <c r="AX136" s="130"/>
      <c r="AY136" s="130"/>
      <c r="AZ136" s="130"/>
      <c r="BA136" s="130"/>
      <c r="BB136" s="130"/>
      <c r="BC136" s="250" t="str">
        <f t="shared" si="52"/>
        <v/>
      </c>
      <c r="BD136" s="180" t="str">
        <f t="shared" si="53"/>
        <v/>
      </c>
      <c r="BE136" s="250" t="str">
        <f t="shared" si="49"/>
        <v/>
      </c>
      <c r="BF136" s="198" t="str">
        <f t="array" ref="BF136">INDEX(BE:BE,SMALL(IF($BE$2:$BE$143&lt;&gt;"",ROW($2:$143),144),ROW(BE135)))&amp;""</f>
        <v/>
      </c>
      <c r="BG136" s="130"/>
      <c r="BH136" s="130"/>
      <c r="BI136" s="130"/>
      <c r="BJ136" s="130"/>
      <c r="BK136" s="130"/>
      <c r="BL136" s="130"/>
      <c r="BM136" s="130"/>
      <c r="BN136" s="130"/>
      <c r="BO136" s="130"/>
      <c r="BP136" s="130"/>
      <c r="BQ136" s="130"/>
      <c r="BR136" s="130"/>
      <c r="BS136" s="130"/>
      <c r="BT136" s="130"/>
      <c r="BU136" s="130"/>
      <c r="BV136" s="130"/>
      <c r="BW136" s="130"/>
      <c r="BX136" s="130"/>
      <c r="BY136" s="130"/>
      <c r="BZ136" s="130"/>
    </row>
    <row r="137" spans="1:78" ht="14.4" customHeight="1" x14ac:dyDescent="0.25">
      <c r="A137" s="156">
        <v>121</v>
      </c>
      <c r="B137" s="130"/>
      <c r="C137" s="130"/>
      <c r="D137" s="130"/>
      <c r="E137" s="130"/>
      <c r="F137" s="293" t="s">
        <v>3602</v>
      </c>
      <c r="G137" s="293" t="s">
        <v>3603</v>
      </c>
      <c r="H137" s="130"/>
      <c r="I137" s="130"/>
      <c r="J137" s="130"/>
      <c r="K137" s="130"/>
      <c r="L137" s="130"/>
      <c r="M137" s="130"/>
      <c r="N137" s="130"/>
      <c r="O137" s="130"/>
      <c r="P137" s="130"/>
      <c r="Q137" s="130"/>
      <c r="R137" s="130"/>
      <c r="S137" s="130"/>
      <c r="T137" s="130"/>
      <c r="U137" s="130"/>
      <c r="V137" s="293" t="s">
        <v>3604</v>
      </c>
      <c r="W137" s="293" t="s">
        <v>3605</v>
      </c>
      <c r="X137" s="130"/>
      <c r="Y137" s="130"/>
      <c r="Z137" s="130"/>
      <c r="AA137" s="155"/>
      <c r="AB137" s="130"/>
      <c r="AC137" s="130"/>
      <c r="AD137" s="130"/>
      <c r="AE137" s="130"/>
      <c r="AF137" s="130"/>
      <c r="AG137" s="130"/>
      <c r="AH137" s="130"/>
      <c r="AI137" s="130"/>
      <c r="AJ137" s="130"/>
      <c r="AK137" s="130"/>
      <c r="AL137" s="130"/>
      <c r="AQ137" s="130"/>
      <c r="AR137" s="130"/>
      <c r="AS137" s="130"/>
      <c r="AT137" s="130"/>
      <c r="AU137" s="130"/>
      <c r="AV137" s="130"/>
      <c r="AW137" s="130"/>
      <c r="AX137" s="130"/>
      <c r="AY137" s="130"/>
      <c r="AZ137" s="130"/>
      <c r="BA137" s="130"/>
      <c r="BB137" s="130"/>
      <c r="BC137" s="250" t="str">
        <f t="shared" si="52"/>
        <v/>
      </c>
      <c r="BD137" s="180" t="str">
        <f t="shared" si="53"/>
        <v/>
      </c>
      <c r="BE137" s="250" t="str">
        <f t="shared" si="49"/>
        <v/>
      </c>
      <c r="BF137" s="198" t="str">
        <f t="array" ref="BF137">INDEX(BE:BE,SMALL(IF($BE$2:$BE$143&lt;&gt;"",ROW($2:$143),144),ROW(BE136)))&amp;""</f>
        <v/>
      </c>
      <c r="BG137" s="130"/>
      <c r="BH137" s="130"/>
      <c r="BI137" s="130"/>
      <c r="BJ137" s="130"/>
      <c r="BK137" s="130"/>
      <c r="BL137" s="130"/>
      <c r="BM137" s="130"/>
      <c r="BN137" s="130"/>
      <c r="BO137" s="130"/>
      <c r="BP137" s="130"/>
      <c r="BQ137" s="130"/>
      <c r="BR137" s="130"/>
      <c r="BS137" s="130"/>
      <c r="BT137" s="130"/>
      <c r="BU137" s="130"/>
      <c r="BV137" s="130"/>
      <c r="BW137" s="130"/>
      <c r="BX137" s="130"/>
      <c r="BY137" s="130"/>
      <c r="BZ137" s="130"/>
    </row>
    <row r="138" spans="1:78" ht="14.4" customHeight="1" x14ac:dyDescent="0.25">
      <c r="A138" s="156">
        <v>122</v>
      </c>
      <c r="B138" s="130"/>
      <c r="C138" s="130"/>
      <c r="D138" s="130"/>
      <c r="E138" s="130"/>
      <c r="F138" s="316" t="s">
        <v>3606</v>
      </c>
      <c r="G138" s="316" t="s">
        <v>3607</v>
      </c>
      <c r="H138" s="130"/>
      <c r="I138" s="130"/>
      <c r="J138" s="130"/>
      <c r="K138" s="130"/>
      <c r="L138" s="130"/>
      <c r="M138" s="130"/>
      <c r="N138" s="130"/>
      <c r="O138" s="130"/>
      <c r="P138" s="130"/>
      <c r="Q138" s="130"/>
      <c r="R138" s="130"/>
      <c r="S138" s="130"/>
      <c r="T138" s="130"/>
      <c r="U138" s="130"/>
      <c r="V138" s="293" t="s">
        <v>3608</v>
      </c>
      <c r="W138" s="293" t="s">
        <v>3609</v>
      </c>
      <c r="X138" s="130"/>
      <c r="Y138" s="130"/>
      <c r="Z138" s="130"/>
      <c r="AA138" s="155"/>
      <c r="AB138" s="130"/>
      <c r="AC138" s="130"/>
      <c r="AD138" s="130"/>
      <c r="AE138" s="130"/>
      <c r="AF138" s="130"/>
      <c r="AG138" s="130"/>
      <c r="AH138" s="130"/>
      <c r="AI138" s="130"/>
      <c r="AJ138" s="130"/>
      <c r="AK138" s="130"/>
      <c r="AL138" s="130"/>
      <c r="AQ138" s="130"/>
      <c r="AR138" s="130"/>
      <c r="AS138" s="130"/>
      <c r="AT138" s="130"/>
      <c r="AU138" s="130"/>
      <c r="AV138" s="130"/>
      <c r="AW138" s="130"/>
      <c r="AX138" s="130"/>
      <c r="AY138" s="130"/>
      <c r="AZ138" s="130"/>
      <c r="BA138" s="130"/>
      <c r="BB138" s="130"/>
      <c r="BC138" s="250" t="str">
        <f t="shared" si="52"/>
        <v/>
      </c>
      <c r="BD138" s="180" t="str">
        <f t="shared" si="53"/>
        <v/>
      </c>
      <c r="BE138" s="250" t="str">
        <f t="shared" si="49"/>
        <v/>
      </c>
      <c r="BF138" s="198" t="str">
        <f t="array" ref="BF138">INDEX(BE:BE,SMALL(IF($BE$2:$BE$143&lt;&gt;"",ROW($2:$143),144),ROW(BE137)))&amp;""</f>
        <v/>
      </c>
      <c r="BG138" s="130"/>
      <c r="BH138" s="130"/>
      <c r="BI138" s="130"/>
      <c r="BJ138" s="130"/>
      <c r="BK138" s="130"/>
      <c r="BL138" s="130"/>
      <c r="BM138" s="130"/>
      <c r="BN138" s="130"/>
      <c r="BO138" s="130"/>
      <c r="BP138" s="130"/>
      <c r="BQ138" s="130"/>
      <c r="BR138" s="130"/>
      <c r="BS138" s="130"/>
      <c r="BT138" s="130"/>
      <c r="BU138" s="130"/>
      <c r="BV138" s="130"/>
      <c r="BW138" s="130"/>
      <c r="BX138" s="130"/>
      <c r="BY138" s="130"/>
      <c r="BZ138" s="130"/>
    </row>
    <row r="139" spans="1:78" ht="14.4" customHeight="1" x14ac:dyDescent="0.25">
      <c r="A139" s="156">
        <v>123</v>
      </c>
      <c r="B139" s="130"/>
      <c r="C139" s="130"/>
      <c r="D139" s="130"/>
      <c r="E139" s="130"/>
      <c r="F139" s="316" t="s">
        <v>3610</v>
      </c>
      <c r="G139" s="316" t="s">
        <v>3611</v>
      </c>
      <c r="H139" s="130"/>
      <c r="I139" s="130"/>
      <c r="J139" s="130"/>
      <c r="K139" s="130"/>
      <c r="L139" s="130"/>
      <c r="M139" s="130"/>
      <c r="N139" s="130"/>
      <c r="O139" s="130"/>
      <c r="P139" s="130"/>
      <c r="Q139" s="130"/>
      <c r="R139" s="130"/>
      <c r="S139" s="130"/>
      <c r="T139" s="130"/>
      <c r="U139" s="130"/>
      <c r="V139" s="293" t="s">
        <v>3612</v>
      </c>
      <c r="W139" s="293" t="s">
        <v>3613</v>
      </c>
      <c r="X139" s="130"/>
      <c r="Y139" s="130"/>
      <c r="Z139" s="130"/>
      <c r="AA139" s="155"/>
      <c r="AB139" s="130"/>
      <c r="AC139" s="130"/>
      <c r="AD139" s="130"/>
      <c r="AE139" s="130"/>
      <c r="AF139" s="130"/>
      <c r="AG139" s="130"/>
      <c r="AH139" s="130"/>
      <c r="AI139" s="130"/>
      <c r="AJ139" s="130"/>
      <c r="AK139" s="130"/>
      <c r="AL139" s="130"/>
      <c r="AQ139" s="130"/>
      <c r="AR139" s="130"/>
      <c r="AS139" s="130"/>
      <c r="AT139" s="130"/>
      <c r="AU139" s="130"/>
      <c r="AV139" s="130"/>
      <c r="AW139" s="130"/>
      <c r="AX139" s="130"/>
      <c r="AY139" s="130"/>
      <c r="AZ139" s="130"/>
      <c r="BA139" s="130"/>
      <c r="BB139" s="130"/>
      <c r="BC139" s="250" t="str">
        <f t="shared" si="52"/>
        <v/>
      </c>
      <c r="BD139" s="180" t="str">
        <f t="shared" si="53"/>
        <v/>
      </c>
      <c r="BE139" s="250" t="str">
        <f t="shared" si="49"/>
        <v/>
      </c>
      <c r="BF139" s="198" t="str">
        <f t="array" ref="BF139">INDEX(BE:BE,SMALL(IF($BE$2:$BE$143&lt;&gt;"",ROW($2:$143),144),ROW(BE138)))&amp;""</f>
        <v/>
      </c>
      <c r="BG139" s="130"/>
      <c r="BH139" s="130"/>
      <c r="BI139" s="130"/>
      <c r="BJ139" s="130"/>
      <c r="BK139" s="130"/>
      <c r="BL139" s="130"/>
      <c r="BM139" s="130"/>
      <c r="BN139" s="130"/>
      <c r="BO139" s="130"/>
      <c r="BP139" s="130"/>
      <c r="BQ139" s="130"/>
      <c r="BR139" s="130"/>
      <c r="BS139" s="130"/>
      <c r="BT139" s="130"/>
      <c r="BU139" s="130"/>
      <c r="BV139" s="130"/>
      <c r="BW139" s="130"/>
      <c r="BX139" s="130"/>
      <c r="BY139" s="130"/>
      <c r="BZ139" s="130"/>
    </row>
    <row r="140" spans="1:78" ht="14.4" customHeight="1" x14ac:dyDescent="0.25">
      <c r="A140" s="156">
        <v>124</v>
      </c>
      <c r="B140" s="130"/>
      <c r="C140" s="130"/>
      <c r="D140" s="130"/>
      <c r="E140" s="130"/>
      <c r="F140" s="293" t="str">
        <f>IF(OR(BH55&lt;1,COUNTIF($BG$2:$BG$46,"神圣打击")),"神圣打击","")</f>
        <v>神圣打击</v>
      </c>
      <c r="G140" s="293" t="s">
        <v>3581</v>
      </c>
      <c r="H140" s="130"/>
      <c r="I140" s="130"/>
      <c r="J140" s="130"/>
      <c r="K140" s="130"/>
      <c r="L140" s="130"/>
      <c r="M140" s="130"/>
      <c r="N140" s="130"/>
      <c r="O140" s="130"/>
      <c r="P140" s="130"/>
      <c r="Q140" s="130"/>
      <c r="R140" s="130"/>
      <c r="S140" s="130"/>
      <c r="T140" s="130"/>
      <c r="U140" s="130"/>
      <c r="V140" s="293" t="s">
        <v>3614</v>
      </c>
      <c r="W140" s="293" t="s">
        <v>3615</v>
      </c>
      <c r="X140" s="130"/>
      <c r="Y140" s="130"/>
      <c r="Z140" s="130"/>
      <c r="AA140" s="155"/>
      <c r="AB140" s="130"/>
      <c r="AC140" s="130"/>
      <c r="AD140" s="130"/>
      <c r="AE140" s="130"/>
      <c r="AF140" s="130"/>
      <c r="AG140" s="130"/>
      <c r="AH140" s="130"/>
      <c r="AI140" s="130"/>
      <c r="AJ140" s="130"/>
      <c r="AK140" s="130"/>
      <c r="AL140" s="130"/>
      <c r="AQ140" s="130"/>
      <c r="AR140" s="130"/>
      <c r="AS140" s="130"/>
      <c r="AT140" s="130"/>
      <c r="AU140" s="130"/>
      <c r="AV140" s="130"/>
      <c r="AW140" s="130"/>
      <c r="AX140" s="130"/>
      <c r="AY140" s="130"/>
      <c r="AZ140" s="130"/>
      <c r="BA140" s="130"/>
      <c r="BB140" s="130"/>
      <c r="BC140" s="250" t="str">
        <f t="shared" si="52"/>
        <v/>
      </c>
      <c r="BD140" s="180" t="str">
        <f t="shared" si="53"/>
        <v/>
      </c>
      <c r="BE140" s="250" t="str">
        <f t="shared" si="49"/>
        <v/>
      </c>
      <c r="BF140" s="198" t="str">
        <f t="array" ref="BF140">INDEX(BE:BE,SMALL(IF($BE$2:$BE$143&lt;&gt;"",ROW($2:$143),144),ROW(BE139)))&amp;""</f>
        <v/>
      </c>
      <c r="BG140" s="130"/>
      <c r="BH140" s="130"/>
      <c r="BI140" s="130"/>
      <c r="BJ140" s="130"/>
      <c r="BK140" s="130"/>
      <c r="BL140" s="130"/>
      <c r="BM140" s="130"/>
      <c r="BN140" s="130"/>
      <c r="BO140" s="130"/>
      <c r="BP140" s="130"/>
      <c r="BQ140" s="130"/>
      <c r="BR140" s="130"/>
      <c r="BS140" s="130"/>
      <c r="BT140" s="130"/>
      <c r="BU140" s="130"/>
      <c r="BV140" s="130"/>
      <c r="BW140" s="130"/>
      <c r="BX140" s="130"/>
      <c r="BY140" s="130"/>
      <c r="BZ140" s="130"/>
    </row>
    <row r="141" spans="1:78" ht="14.4" customHeight="1" x14ac:dyDescent="0.25">
      <c r="A141" s="156">
        <v>125</v>
      </c>
      <c r="B141" s="130"/>
      <c r="C141" s="130"/>
      <c r="D141" s="130"/>
      <c r="E141" s="130"/>
      <c r="F141" s="293" t="s">
        <v>3034</v>
      </c>
      <c r="G141" s="293" t="s">
        <v>3616</v>
      </c>
      <c r="H141" s="130"/>
      <c r="I141" s="130"/>
      <c r="J141" s="130"/>
      <c r="K141" s="130"/>
      <c r="L141" s="130"/>
      <c r="M141" s="130"/>
      <c r="N141" s="130"/>
      <c r="O141" s="130"/>
      <c r="P141" s="130"/>
      <c r="Q141" s="130"/>
      <c r="R141" s="130"/>
      <c r="S141" s="130"/>
      <c r="T141" s="130"/>
      <c r="U141" s="130"/>
      <c r="V141" s="293" t="s">
        <v>3617</v>
      </c>
      <c r="W141" s="293" t="s">
        <v>3618</v>
      </c>
      <c r="X141" s="130"/>
      <c r="Y141" s="130"/>
      <c r="Z141" s="130"/>
      <c r="AA141" s="155"/>
      <c r="AB141" s="130"/>
      <c r="AC141" s="130"/>
      <c r="AD141" s="130"/>
      <c r="AE141" s="130"/>
      <c r="AF141" s="130"/>
      <c r="AG141" s="130"/>
      <c r="AH141" s="130"/>
      <c r="AI141" s="130"/>
      <c r="AJ141" s="130"/>
      <c r="AK141" s="130"/>
      <c r="AL141" s="130"/>
      <c r="AQ141" s="130"/>
      <c r="AR141" s="130"/>
      <c r="AS141" s="130"/>
      <c r="AT141" s="130"/>
      <c r="AU141" s="130"/>
      <c r="AV141" s="130"/>
      <c r="AW141" s="130"/>
      <c r="AX141" s="130"/>
      <c r="AY141" s="130"/>
      <c r="AZ141" s="130"/>
      <c r="BA141" s="130"/>
      <c r="BB141" s="130"/>
      <c r="BC141" s="250" t="str">
        <f t="shared" si="52"/>
        <v/>
      </c>
      <c r="BD141" s="180" t="str">
        <f t="shared" si="53"/>
        <v/>
      </c>
      <c r="BE141" s="250" t="str">
        <f t="shared" si="49"/>
        <v/>
      </c>
      <c r="BF141" s="198" t="str">
        <f t="array" ref="BF141">INDEX(BE:BE,SMALL(IF($BE$2:$BE$143&lt;&gt;"",ROW($2:$143),144),ROW(BE140)))&amp;""</f>
        <v/>
      </c>
      <c r="BG141" s="130"/>
      <c r="BH141" s="130"/>
      <c r="BI141" s="130"/>
      <c r="BJ141" s="130"/>
      <c r="BK141" s="130"/>
      <c r="BL141" s="130"/>
      <c r="BM141" s="130"/>
      <c r="BN141" s="130"/>
      <c r="BO141" s="130"/>
      <c r="BP141" s="130"/>
      <c r="BQ141" s="130"/>
      <c r="BR141" s="130"/>
      <c r="BS141" s="130"/>
      <c r="BT141" s="130"/>
      <c r="BU141" s="130"/>
      <c r="BV141" s="130"/>
      <c r="BW141" s="130"/>
      <c r="BX141" s="130"/>
      <c r="BY141" s="130"/>
      <c r="BZ141" s="130"/>
    </row>
    <row r="142" spans="1:78" ht="14.4" customHeight="1" x14ac:dyDescent="0.25">
      <c r="A142" s="156">
        <v>126</v>
      </c>
      <c r="B142" s="130"/>
      <c r="C142" s="130"/>
      <c r="D142" s="130"/>
      <c r="E142" s="130"/>
      <c r="F142" s="297" t="s">
        <v>3619</v>
      </c>
      <c r="G142" s="297" t="s">
        <v>3620</v>
      </c>
      <c r="H142" s="130"/>
      <c r="I142" s="130"/>
      <c r="J142" s="130"/>
      <c r="K142" s="130"/>
      <c r="L142" s="130"/>
      <c r="M142" s="130"/>
      <c r="N142" s="130"/>
      <c r="O142" s="130"/>
      <c r="P142" s="130"/>
      <c r="Q142" s="130"/>
      <c r="R142" s="130"/>
      <c r="S142" s="130"/>
      <c r="T142" s="130"/>
      <c r="U142" s="130"/>
      <c r="V142" s="130"/>
      <c r="W142" s="130"/>
      <c r="X142" s="130"/>
      <c r="Y142" s="130"/>
      <c r="Z142" s="130"/>
      <c r="AA142" s="155"/>
      <c r="AB142" s="130"/>
      <c r="AC142" s="130"/>
      <c r="AD142" s="130"/>
      <c r="AE142" s="130"/>
      <c r="AF142" s="130"/>
      <c r="AG142" s="130"/>
      <c r="AH142" s="130"/>
      <c r="AI142" s="130"/>
      <c r="AJ142" s="130"/>
      <c r="AK142" s="130"/>
      <c r="AL142" s="130"/>
      <c r="AQ142" s="130"/>
      <c r="AR142" s="130"/>
      <c r="AS142" s="130"/>
      <c r="AT142" s="130"/>
      <c r="AU142" s="130"/>
      <c r="AV142" s="130"/>
      <c r="AW142" s="130"/>
      <c r="AX142" s="130"/>
      <c r="AY142" s="130"/>
      <c r="AZ142" s="130"/>
      <c r="BA142" s="130"/>
      <c r="BB142" s="130"/>
      <c r="BC142" s="250" t="str">
        <f t="shared" si="52"/>
        <v/>
      </c>
      <c r="BD142" s="180" t="str">
        <f t="shared" si="53"/>
        <v/>
      </c>
      <c r="BE142" s="250" t="str">
        <f>IFERROR(IF(OR(#REF!="",COUNTIF($BG$2:$BG$46,#REF!)),"",#REF!),"")</f>
        <v/>
      </c>
      <c r="BF142" s="198" t="str">
        <f t="array" ref="BF142">INDEX(BE:BE,SMALL(IF($BE$2:$BE$143&lt;&gt;"",ROW($2:$143),144),ROW(BE141)))&amp;""</f>
        <v/>
      </c>
      <c r="BG142" s="130"/>
      <c r="BH142" s="130"/>
      <c r="BI142" s="130"/>
      <c r="BJ142" s="130"/>
      <c r="BK142" s="130"/>
      <c r="BL142" s="130"/>
      <c r="BM142" s="130"/>
      <c r="BN142" s="130"/>
      <c r="BO142" s="130"/>
      <c r="BP142" s="130"/>
      <c r="BQ142" s="130"/>
      <c r="BR142" s="130"/>
      <c r="BS142" s="130"/>
      <c r="BT142" s="130"/>
      <c r="BU142" s="130"/>
      <c r="BV142" s="130"/>
      <c r="BW142" s="130"/>
      <c r="BX142" s="130"/>
      <c r="BY142" s="130"/>
      <c r="BZ142" s="130"/>
    </row>
    <row r="143" spans="1:78" ht="14.4" customHeight="1" x14ac:dyDescent="0.25">
      <c r="A143" s="156">
        <v>127</v>
      </c>
      <c r="B143" s="130"/>
      <c r="C143" s="130"/>
      <c r="D143" s="130"/>
      <c r="E143" s="130"/>
      <c r="F143" s="297" t="s">
        <v>2334</v>
      </c>
      <c r="G143" s="297" t="s">
        <v>3621</v>
      </c>
      <c r="H143" s="130"/>
      <c r="I143" s="130"/>
      <c r="J143" s="130"/>
      <c r="K143" s="130"/>
      <c r="L143" s="130"/>
      <c r="M143" s="130"/>
      <c r="N143" s="130"/>
      <c r="O143" s="130"/>
      <c r="P143" s="130"/>
      <c r="Q143" s="130"/>
      <c r="R143" s="130"/>
      <c r="S143" s="130"/>
      <c r="T143" s="130"/>
      <c r="U143" s="130"/>
      <c r="V143" s="130"/>
      <c r="W143" s="130"/>
      <c r="X143" s="130"/>
      <c r="Y143" s="130"/>
      <c r="Z143" s="130"/>
      <c r="AA143" s="155"/>
      <c r="AB143" s="130"/>
      <c r="AC143" s="130"/>
      <c r="AD143" s="130"/>
      <c r="AE143" s="130"/>
      <c r="AF143" s="130"/>
      <c r="AG143" s="130"/>
      <c r="AH143" s="130"/>
      <c r="AI143" s="130"/>
      <c r="AJ143" s="130"/>
      <c r="AK143" s="130"/>
      <c r="AL143" s="130"/>
      <c r="AQ143" s="130"/>
      <c r="AR143" s="130"/>
      <c r="AS143" s="130"/>
      <c r="AT143" s="130"/>
      <c r="AU143" s="130"/>
      <c r="AV143" s="130"/>
      <c r="AW143" s="130"/>
      <c r="AX143" s="130"/>
      <c r="AY143" s="130"/>
      <c r="AZ143" s="130"/>
      <c r="BA143" s="130"/>
      <c r="BB143" s="130"/>
      <c r="BC143" s="339" t="str">
        <f t="shared" si="52"/>
        <v/>
      </c>
      <c r="BD143" s="235" t="str">
        <f t="shared" si="53"/>
        <v/>
      </c>
      <c r="BE143" s="339" t="str">
        <f>IFERROR(IF(OR(#REF!="",COUNTIF($BG$2:$BG$46,#REF!)),"",#REF!),"")</f>
        <v/>
      </c>
      <c r="BF143" s="280" t="str">
        <f t="array" ref="BF143">INDEX(BE:BE,SMALL(IF($BE$2:$BE$143&lt;&gt;"",ROW($2:$143),144),ROW(BE142)))&amp;""</f>
        <v/>
      </c>
      <c r="BG143" s="130"/>
      <c r="BH143" s="130"/>
      <c r="BI143" s="130"/>
      <c r="BJ143" s="130"/>
      <c r="BK143" s="130"/>
      <c r="BL143" s="130"/>
      <c r="BM143" s="130"/>
      <c r="BN143" s="130"/>
      <c r="BO143" s="130"/>
      <c r="BP143" s="130"/>
      <c r="BQ143" s="130"/>
      <c r="BR143" s="130"/>
      <c r="BS143" s="130"/>
      <c r="BT143" s="130"/>
      <c r="BU143" s="130"/>
      <c r="BV143" s="130"/>
      <c r="BW143" s="130"/>
      <c r="BX143" s="130"/>
      <c r="BY143" s="130"/>
      <c r="BZ143" s="130"/>
    </row>
    <row r="144" spans="1:78" ht="14.4" customHeight="1" x14ac:dyDescent="0.25">
      <c r="A144" s="156">
        <v>128</v>
      </c>
      <c r="B144" s="130"/>
      <c r="C144" s="130"/>
      <c r="D144" s="130"/>
      <c r="E144" s="130"/>
      <c r="F144" s="324" t="s">
        <v>2816</v>
      </c>
      <c r="G144" s="324" t="s">
        <v>3622</v>
      </c>
      <c r="H144" s="130"/>
      <c r="I144" s="130"/>
      <c r="J144" s="130"/>
      <c r="K144" s="130"/>
      <c r="L144" s="130"/>
      <c r="M144" s="130"/>
      <c r="N144" s="130"/>
      <c r="O144" s="130"/>
      <c r="P144" s="130"/>
      <c r="Q144" s="130"/>
      <c r="R144" s="130"/>
      <c r="S144" s="130"/>
      <c r="T144" s="130"/>
      <c r="U144" s="130"/>
      <c r="V144" s="130"/>
      <c r="W144" s="130"/>
      <c r="X144" s="130"/>
      <c r="Y144" s="130"/>
      <c r="Z144" s="130"/>
      <c r="AA144" s="155"/>
      <c r="AB144" s="130"/>
      <c r="AC144" s="130"/>
      <c r="AD144" s="130"/>
      <c r="AE144" s="130"/>
      <c r="AF144" s="130"/>
      <c r="AG144" s="130"/>
      <c r="AH144" s="130"/>
      <c r="AI144" s="130"/>
      <c r="AJ144" s="130"/>
      <c r="AK144" s="130"/>
      <c r="AL144" s="130"/>
      <c r="BJ144" s="130"/>
      <c r="BK144" s="130"/>
      <c r="BL144" s="130"/>
      <c r="BM144" s="130"/>
      <c r="BN144" s="130"/>
      <c r="BO144" s="130"/>
      <c r="BP144" s="130"/>
      <c r="BQ144" s="130"/>
      <c r="BR144" s="130"/>
      <c r="BS144" s="130"/>
      <c r="BT144" s="130"/>
      <c r="BU144" s="130"/>
      <c r="BV144" s="130"/>
      <c r="BW144" s="130"/>
      <c r="BX144" s="130"/>
      <c r="BY144" s="130"/>
      <c r="BZ144" s="130"/>
    </row>
    <row r="145" spans="1:78" ht="14.4" customHeight="1" x14ac:dyDescent="0.25">
      <c r="A145" s="156">
        <v>129</v>
      </c>
      <c r="B145" s="130"/>
      <c r="C145" s="130"/>
      <c r="D145" s="130"/>
      <c r="E145" s="130"/>
      <c r="F145" s="324" t="s">
        <v>2841</v>
      </c>
      <c r="G145" s="324" t="s">
        <v>3623</v>
      </c>
      <c r="H145" s="130"/>
      <c r="I145" s="130"/>
      <c r="J145" s="130"/>
      <c r="K145" s="130"/>
      <c r="L145" s="130"/>
      <c r="M145" s="130"/>
      <c r="N145" s="130"/>
      <c r="O145" s="130"/>
      <c r="P145" s="130"/>
      <c r="Q145" s="130"/>
      <c r="R145" s="130"/>
      <c r="S145" s="130"/>
      <c r="T145" s="130"/>
      <c r="U145" s="130"/>
      <c r="V145" s="130"/>
      <c r="W145" s="130"/>
      <c r="X145" s="130"/>
      <c r="Y145" s="130"/>
      <c r="Z145" s="130"/>
      <c r="AA145" s="155"/>
      <c r="AB145" s="130"/>
      <c r="AC145" s="130"/>
      <c r="AD145" s="130"/>
      <c r="AE145" s="130"/>
      <c r="AF145" s="130"/>
      <c r="AG145" s="130"/>
      <c r="AH145" s="130"/>
      <c r="AI145" s="130"/>
      <c r="AJ145" s="130"/>
      <c r="AK145" s="130"/>
      <c r="AL145" s="130"/>
      <c r="BJ145" s="130"/>
      <c r="BK145" s="130"/>
      <c r="BL145" s="130"/>
      <c r="BM145" s="130"/>
      <c r="BN145" s="130"/>
      <c r="BO145" s="130"/>
      <c r="BP145" s="130"/>
      <c r="BQ145" s="130"/>
      <c r="BR145" s="130"/>
      <c r="BS145" s="130"/>
      <c r="BT145" s="130"/>
      <c r="BU145" s="130"/>
      <c r="BV145" s="130"/>
      <c r="BW145" s="130"/>
      <c r="BX145" s="130"/>
      <c r="BY145" s="130"/>
      <c r="BZ145" s="130"/>
    </row>
    <row r="146" spans="1:78" ht="14.4" customHeight="1" x14ac:dyDescent="0.25">
      <c r="A146" s="156">
        <v>130</v>
      </c>
      <c r="B146" s="130"/>
      <c r="C146" s="130"/>
      <c r="D146" s="130"/>
      <c r="E146" s="130"/>
      <c r="F146" s="297" t="str">
        <f>IF(OR(BH55&lt;1,COUNTIF($BG$2:$BG$46,"强力施法")),"强力施法","")</f>
        <v>强力施法</v>
      </c>
      <c r="G146" s="297" t="s">
        <v>2102</v>
      </c>
      <c r="H146" s="130"/>
      <c r="I146" s="130"/>
      <c r="J146" s="130"/>
      <c r="K146" s="130"/>
      <c r="L146" s="130"/>
      <c r="M146" s="130"/>
      <c r="N146" s="130"/>
      <c r="O146" s="130"/>
      <c r="P146" s="130"/>
      <c r="Q146" s="130"/>
      <c r="R146" s="130"/>
      <c r="S146" s="130"/>
      <c r="T146" s="130"/>
      <c r="U146" s="130"/>
      <c r="V146" s="130"/>
      <c r="W146" s="130"/>
      <c r="X146" s="130"/>
      <c r="Y146" s="130"/>
      <c r="Z146" s="130"/>
      <c r="AA146" s="155"/>
      <c r="AB146" s="130"/>
      <c r="AC146" s="130"/>
      <c r="AD146" s="130"/>
      <c r="AE146" s="130"/>
      <c r="AF146" s="130"/>
      <c r="AG146" s="130"/>
      <c r="AH146" s="130"/>
      <c r="AI146" s="130"/>
      <c r="AJ146" s="130"/>
      <c r="AK146" s="130"/>
      <c r="AL146" s="130"/>
      <c r="BK146" s="130"/>
      <c r="BL146" s="130"/>
      <c r="BM146" s="130"/>
      <c r="BN146" s="130"/>
      <c r="BO146" s="130"/>
      <c r="BP146" s="130"/>
      <c r="BQ146" s="130"/>
      <c r="BR146" s="130"/>
      <c r="BS146" s="130"/>
      <c r="BT146" s="130"/>
      <c r="BU146" s="130"/>
      <c r="BV146" s="130"/>
      <c r="BW146" s="130"/>
      <c r="BX146" s="130"/>
      <c r="BY146" s="130"/>
      <c r="BZ146" s="130"/>
    </row>
    <row r="147" spans="1:78" ht="14.4" customHeight="1" x14ac:dyDescent="0.25">
      <c r="A147" s="156">
        <v>131</v>
      </c>
      <c r="B147" s="130"/>
      <c r="C147" s="130"/>
      <c r="D147" s="130"/>
      <c r="E147" s="130"/>
      <c r="F147" s="297" t="s">
        <v>3624</v>
      </c>
      <c r="G147" s="297" t="s">
        <v>3625</v>
      </c>
      <c r="H147" s="130"/>
      <c r="I147" s="130"/>
      <c r="J147" s="130"/>
      <c r="K147" s="130"/>
      <c r="L147" s="130"/>
      <c r="M147" s="130"/>
      <c r="N147" s="130"/>
      <c r="O147" s="130"/>
      <c r="P147" s="130"/>
      <c r="Q147" s="130"/>
      <c r="R147" s="130"/>
      <c r="S147" s="130"/>
      <c r="T147" s="130"/>
      <c r="U147" s="130"/>
      <c r="V147" s="130"/>
      <c r="W147" s="130"/>
      <c r="X147" s="130"/>
      <c r="Y147" s="130"/>
      <c r="Z147" s="130"/>
      <c r="AA147" s="155"/>
      <c r="AB147" s="130"/>
      <c r="AC147" s="130"/>
      <c r="AD147" s="130"/>
      <c r="AE147" s="130"/>
      <c r="AF147" s="130"/>
      <c r="AG147" s="130"/>
      <c r="AH147" s="130"/>
      <c r="AI147" s="130"/>
      <c r="AJ147" s="130"/>
      <c r="AK147" s="130"/>
      <c r="AL147" s="130"/>
      <c r="BJ147" s="130"/>
      <c r="BK147" s="130"/>
      <c r="BL147" s="130"/>
      <c r="BM147" s="130"/>
      <c r="BN147" s="130"/>
      <c r="BO147" s="130"/>
      <c r="BP147" s="130"/>
      <c r="BQ147" s="130"/>
      <c r="BR147" s="130"/>
      <c r="BS147" s="130"/>
      <c r="BT147" s="130"/>
      <c r="BU147" s="130"/>
      <c r="BV147" s="130"/>
      <c r="BW147" s="130"/>
      <c r="BX147" s="130"/>
      <c r="BY147" s="130"/>
      <c r="BZ147" s="130"/>
    </row>
    <row r="148" spans="1:78" ht="14.4" customHeight="1" x14ac:dyDescent="0.25">
      <c r="A148" s="156">
        <v>132</v>
      </c>
      <c r="B148" s="130"/>
      <c r="C148" s="130"/>
      <c r="D148" s="130"/>
      <c r="E148" s="130"/>
      <c r="F148" s="302" t="s">
        <v>3626</v>
      </c>
      <c r="G148" s="302" t="s">
        <v>3627</v>
      </c>
      <c r="H148" s="130"/>
      <c r="I148" s="130"/>
      <c r="J148" s="130"/>
      <c r="K148" s="130"/>
      <c r="L148" s="130"/>
      <c r="M148" s="130"/>
      <c r="N148" s="130"/>
      <c r="O148" s="130"/>
      <c r="P148" s="130"/>
      <c r="Q148" s="130"/>
      <c r="R148" s="130"/>
      <c r="S148" s="130"/>
      <c r="T148" s="130"/>
      <c r="U148" s="130"/>
      <c r="V148" s="130"/>
      <c r="W148" s="130"/>
      <c r="X148" s="130"/>
      <c r="Y148" s="130"/>
      <c r="Z148" s="130"/>
      <c r="AA148" s="155"/>
      <c r="AB148" s="130"/>
      <c r="AC148" s="130"/>
      <c r="AD148" s="130"/>
      <c r="AE148" s="130"/>
      <c r="AF148" s="130"/>
      <c r="AG148" s="130"/>
      <c r="AH148" s="130"/>
      <c r="AI148" s="130"/>
      <c r="AJ148" s="130"/>
      <c r="AK148" s="130"/>
      <c r="AL148" s="130"/>
      <c r="BJ148" s="130"/>
      <c r="BK148" s="130"/>
      <c r="BL148" s="130"/>
      <c r="BM148" s="130"/>
      <c r="BN148" s="130"/>
      <c r="BO148" s="130"/>
      <c r="BP148" s="130"/>
      <c r="BQ148" s="130"/>
      <c r="BR148" s="130"/>
      <c r="BS148" s="130"/>
      <c r="BT148" s="130"/>
      <c r="BU148" s="130"/>
      <c r="BV148" s="130"/>
      <c r="BW148" s="130"/>
      <c r="BX148" s="130"/>
      <c r="BY148" s="130"/>
      <c r="BZ148" s="130"/>
    </row>
    <row r="149" spans="1:78" ht="14.4" customHeight="1" x14ac:dyDescent="0.25">
      <c r="A149" s="156">
        <v>133</v>
      </c>
      <c r="B149" s="130"/>
      <c r="C149" s="130"/>
      <c r="D149" s="130"/>
      <c r="E149" s="130"/>
      <c r="F149" s="302" t="s">
        <v>2161</v>
      </c>
      <c r="G149" s="302" t="s">
        <v>2629</v>
      </c>
      <c r="H149" s="130"/>
      <c r="I149" s="130"/>
      <c r="J149" s="130"/>
      <c r="K149" s="130"/>
      <c r="L149" s="130"/>
      <c r="M149" s="130"/>
      <c r="N149" s="130"/>
      <c r="O149" s="130"/>
      <c r="P149" s="130"/>
      <c r="Q149" s="130"/>
      <c r="R149" s="130"/>
      <c r="S149" s="130"/>
      <c r="T149" s="130"/>
      <c r="U149" s="130"/>
      <c r="V149" s="130"/>
      <c r="W149" s="130"/>
      <c r="X149" s="130"/>
      <c r="Y149" s="130"/>
      <c r="Z149" s="130"/>
      <c r="AA149" s="155"/>
      <c r="AB149" s="130"/>
      <c r="AC149" s="130"/>
      <c r="AD149" s="130"/>
      <c r="AE149" s="130"/>
      <c r="AF149" s="130"/>
      <c r="AG149" s="130"/>
      <c r="AH149" s="130"/>
      <c r="AI149" s="130"/>
      <c r="AJ149" s="130"/>
      <c r="AK149" s="130"/>
      <c r="AL149" s="130"/>
      <c r="BJ149" s="130"/>
      <c r="BK149" s="130"/>
      <c r="BL149" s="130"/>
      <c r="BM149" s="130"/>
      <c r="BN149" s="130"/>
      <c r="BO149" s="130"/>
      <c r="BP149" s="130"/>
      <c r="BQ149" s="130"/>
      <c r="BR149" s="130"/>
      <c r="BS149" s="130"/>
      <c r="BT149" s="130"/>
      <c r="BU149" s="130"/>
      <c r="BV149" s="130"/>
      <c r="BW149" s="130"/>
      <c r="BX149" s="130"/>
      <c r="BY149" s="130"/>
      <c r="BZ149" s="130"/>
    </row>
    <row r="150" spans="1:78" ht="14.4" customHeight="1" x14ac:dyDescent="0.25">
      <c r="A150" s="156">
        <v>134</v>
      </c>
      <c r="B150" s="130"/>
      <c r="C150" s="130"/>
      <c r="D150" s="130"/>
      <c r="E150" s="130"/>
      <c r="F150" s="302" t="s">
        <v>3628</v>
      </c>
      <c r="G150" s="302" t="s">
        <v>3629</v>
      </c>
      <c r="H150" s="130"/>
      <c r="I150" s="130"/>
      <c r="J150" s="130"/>
      <c r="K150" s="130"/>
      <c r="L150" s="130"/>
      <c r="M150" s="130"/>
      <c r="N150" s="130"/>
      <c r="O150" s="130"/>
      <c r="P150" s="130"/>
      <c r="Q150" s="130"/>
      <c r="R150" s="130"/>
      <c r="S150" s="130"/>
      <c r="T150" s="130"/>
      <c r="U150" s="130"/>
      <c r="V150" s="130"/>
      <c r="W150" s="130"/>
      <c r="X150" s="130"/>
      <c r="Y150" s="130"/>
      <c r="Z150" s="130"/>
      <c r="AA150" s="155"/>
      <c r="AB150" s="130"/>
      <c r="AC150" s="130"/>
      <c r="AD150" s="130"/>
      <c r="AE150" s="130"/>
      <c r="AF150" s="130"/>
      <c r="AG150" s="130"/>
      <c r="AH150" s="130"/>
      <c r="AI150" s="130"/>
      <c r="AJ150" s="130"/>
      <c r="AK150" s="130"/>
      <c r="AL150" s="130"/>
      <c r="BJ150" s="130"/>
      <c r="BK150" s="130"/>
      <c r="BL150" s="130"/>
      <c r="BM150" s="130"/>
      <c r="BN150" s="130"/>
      <c r="BO150" s="130"/>
      <c r="BP150" s="130"/>
      <c r="BQ150" s="130"/>
      <c r="BR150" s="130"/>
      <c r="BS150" s="130"/>
      <c r="BT150" s="130"/>
      <c r="BU150" s="130"/>
      <c r="BV150" s="130"/>
      <c r="BW150" s="130"/>
      <c r="BX150" s="130"/>
      <c r="BY150" s="130"/>
      <c r="BZ150" s="130"/>
    </row>
    <row r="151" spans="1:78" ht="14.4" customHeight="1" x14ac:dyDescent="0.25">
      <c r="A151" s="156">
        <v>135</v>
      </c>
      <c r="B151" s="130"/>
      <c r="C151" s="130"/>
      <c r="D151" s="130"/>
      <c r="E151" s="130"/>
      <c r="F151" s="326" t="s">
        <v>3630</v>
      </c>
      <c r="G151" s="326" t="s">
        <v>3631</v>
      </c>
      <c r="H151" s="130"/>
      <c r="I151" s="130"/>
      <c r="J151" s="130"/>
      <c r="K151" s="130"/>
      <c r="L151" s="130"/>
      <c r="M151" s="130"/>
      <c r="N151" s="130"/>
      <c r="O151" s="130"/>
      <c r="P151" s="130"/>
      <c r="Q151" s="130"/>
      <c r="R151" s="130"/>
      <c r="S151" s="130"/>
      <c r="T151" s="130"/>
      <c r="U151" s="130"/>
      <c r="V151" s="130"/>
      <c r="W151" s="130"/>
      <c r="X151" s="130"/>
      <c r="Y151" s="130"/>
      <c r="Z151" s="130"/>
      <c r="AA151" s="155"/>
      <c r="AB151" s="130"/>
      <c r="AC151" s="130"/>
      <c r="AD151" s="130"/>
      <c r="AE151" s="130"/>
      <c r="AF151" s="130"/>
      <c r="AG151" s="130"/>
      <c r="AH151" s="130"/>
      <c r="AI151" s="130"/>
      <c r="AJ151" s="130"/>
      <c r="AK151" s="130"/>
      <c r="AL151" s="130"/>
      <c r="BJ151" s="130"/>
      <c r="BK151" s="130"/>
      <c r="BL151" s="130"/>
      <c r="BM151" s="130"/>
      <c r="BN151" s="130"/>
      <c r="BO151" s="130"/>
      <c r="BP151" s="130"/>
      <c r="BQ151" s="130"/>
      <c r="BR151" s="130"/>
      <c r="BS151" s="130"/>
      <c r="BT151" s="130"/>
      <c r="BU151" s="130"/>
      <c r="BV151" s="130"/>
      <c r="BW151" s="130"/>
      <c r="BX151" s="130"/>
      <c r="BY151" s="130"/>
      <c r="BZ151" s="130"/>
    </row>
    <row r="152" spans="1:78" ht="14.4" customHeight="1" x14ac:dyDescent="0.25">
      <c r="A152" s="156">
        <v>136</v>
      </c>
      <c r="B152" s="130"/>
      <c r="C152" s="130"/>
      <c r="D152" s="130"/>
      <c r="E152" s="130"/>
      <c r="F152" s="302" t="s">
        <v>3632</v>
      </c>
      <c r="G152" s="302" t="s">
        <v>3633</v>
      </c>
      <c r="H152" s="130"/>
      <c r="I152" s="130"/>
      <c r="J152" s="130"/>
      <c r="K152" s="130"/>
      <c r="L152" s="130"/>
      <c r="M152" s="130"/>
      <c r="N152" s="130"/>
      <c r="O152" s="130"/>
      <c r="P152" s="130"/>
      <c r="Q152" s="130"/>
      <c r="R152" s="130"/>
      <c r="S152" s="130"/>
      <c r="T152" s="130"/>
      <c r="U152" s="130"/>
      <c r="V152" s="130"/>
      <c r="W152" s="130"/>
      <c r="X152" s="130"/>
      <c r="Y152" s="130"/>
      <c r="Z152" s="130"/>
      <c r="AA152" s="155"/>
      <c r="AB152" s="130"/>
      <c r="AC152" s="130"/>
      <c r="AD152" s="130"/>
      <c r="AE152" s="130"/>
      <c r="AF152" s="130"/>
      <c r="AG152" s="130"/>
      <c r="AH152" s="130"/>
      <c r="AI152" s="130"/>
      <c r="AJ152" s="130"/>
      <c r="AK152" s="130"/>
      <c r="AL152" s="130"/>
      <c r="BJ152" s="130"/>
      <c r="BK152" s="130"/>
      <c r="BL152" s="130"/>
      <c r="BM152" s="130"/>
      <c r="BN152" s="130"/>
      <c r="BO152" s="130"/>
      <c r="BP152" s="130"/>
      <c r="BQ152" s="130"/>
      <c r="BR152" s="130"/>
      <c r="BS152" s="130"/>
      <c r="BT152" s="130"/>
      <c r="BU152" s="130"/>
      <c r="BV152" s="130"/>
      <c r="BW152" s="130"/>
      <c r="BX152" s="130"/>
      <c r="BY152" s="130"/>
      <c r="BZ152" s="130"/>
    </row>
    <row r="153" spans="1:78" ht="14.4" customHeight="1" x14ac:dyDescent="0.25">
      <c r="A153" s="156">
        <v>137</v>
      </c>
      <c r="B153" s="130"/>
      <c r="C153" s="130"/>
      <c r="D153" s="130"/>
      <c r="E153" s="130"/>
      <c r="F153" s="302" t="str">
        <f>IF(OR(BH55&lt;1,COUNTIF($BG$2:$BG$46,"神圣打击")),"神圣打击","")</f>
        <v>神圣打击</v>
      </c>
      <c r="G153" s="302" t="s">
        <v>3581</v>
      </c>
      <c r="H153" s="130"/>
      <c r="I153" s="130"/>
      <c r="J153" s="130"/>
      <c r="K153" s="130"/>
      <c r="L153" s="130"/>
      <c r="M153" s="130"/>
      <c r="N153" s="130"/>
      <c r="O153" s="130"/>
      <c r="P153" s="130"/>
      <c r="Q153" s="130"/>
      <c r="R153" s="130"/>
      <c r="S153" s="130"/>
      <c r="T153" s="130"/>
      <c r="U153" s="130"/>
      <c r="V153" s="130"/>
      <c r="W153" s="130"/>
      <c r="X153" s="130"/>
      <c r="Y153" s="130"/>
      <c r="Z153" s="130"/>
      <c r="AA153" s="155"/>
      <c r="AB153" s="130"/>
      <c r="AC153" s="130"/>
      <c r="AD153" s="130"/>
      <c r="AE153" s="130"/>
      <c r="AF153" s="130"/>
      <c r="AG153" s="130"/>
      <c r="AH153" s="130"/>
      <c r="AI153" s="130"/>
      <c r="AJ153" s="130"/>
      <c r="AK153" s="130"/>
      <c r="AL153" s="130"/>
      <c r="BJ153" s="130"/>
      <c r="BK153" s="130"/>
      <c r="BL153" s="130"/>
      <c r="BM153" s="130"/>
      <c r="BN153" s="130"/>
      <c r="BO153" s="130"/>
      <c r="BP153" s="130"/>
      <c r="BQ153" s="130"/>
      <c r="BR153" s="130"/>
      <c r="BS153" s="130"/>
      <c r="BT153" s="130"/>
      <c r="BU153" s="130"/>
      <c r="BV153" s="130"/>
      <c r="BW153" s="130"/>
      <c r="BX153" s="130"/>
      <c r="BY153" s="130"/>
      <c r="BZ153" s="130"/>
    </row>
    <row r="154" spans="1:78" ht="14.4" customHeight="1" x14ac:dyDescent="0.25">
      <c r="A154" s="171">
        <v>138</v>
      </c>
      <c r="B154" s="175"/>
      <c r="C154" s="175"/>
      <c r="D154" s="175"/>
      <c r="E154" s="175"/>
      <c r="F154" s="347" t="s">
        <v>3634</v>
      </c>
      <c r="G154" s="347" t="s">
        <v>3635</v>
      </c>
      <c r="H154" s="175"/>
      <c r="I154" s="175"/>
      <c r="J154" s="175"/>
      <c r="K154" s="175"/>
      <c r="L154" s="175"/>
      <c r="M154" s="175"/>
      <c r="N154" s="175"/>
      <c r="O154" s="175"/>
      <c r="P154" s="175"/>
      <c r="Q154" s="175"/>
      <c r="R154" s="175"/>
      <c r="S154" s="175"/>
      <c r="T154" s="175"/>
      <c r="U154" s="175"/>
      <c r="V154" s="175"/>
      <c r="W154" s="175"/>
      <c r="X154" s="175"/>
      <c r="Y154" s="175"/>
      <c r="Z154" s="175"/>
      <c r="AA154" s="183"/>
      <c r="AB154" s="130"/>
      <c r="AC154" s="130"/>
      <c r="AD154" s="130"/>
      <c r="AE154" s="130"/>
      <c r="AF154" s="130"/>
      <c r="AG154" s="130"/>
      <c r="AH154" s="130"/>
      <c r="AI154" s="130"/>
      <c r="AJ154" s="130"/>
      <c r="AK154" s="130"/>
      <c r="AL154" s="130"/>
      <c r="BJ154" s="130"/>
      <c r="BK154" s="130"/>
      <c r="BL154" s="130"/>
      <c r="BM154" s="130"/>
      <c r="BN154" s="130"/>
      <c r="BO154" s="130"/>
      <c r="BP154" s="130"/>
      <c r="BQ154" s="130"/>
      <c r="BR154" s="130"/>
      <c r="BS154" s="130"/>
      <c r="BT154" s="130"/>
      <c r="BU154" s="130"/>
      <c r="BV154" s="130"/>
      <c r="BW154" s="130"/>
      <c r="BX154" s="130"/>
      <c r="BY154" s="130"/>
      <c r="BZ154" s="130"/>
    </row>
    <row r="155" spans="1:78" ht="14.4" customHeight="1" x14ac:dyDescent="0.25">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BJ155" s="130"/>
      <c r="BK155" s="130"/>
      <c r="BL155" s="130"/>
      <c r="BM155" s="130"/>
      <c r="BN155" s="130"/>
      <c r="BO155" s="130"/>
      <c r="BP155" s="130"/>
      <c r="BQ155" s="130"/>
      <c r="BR155" s="130"/>
      <c r="BS155" s="130"/>
      <c r="BT155" s="130"/>
      <c r="BU155" s="130"/>
      <c r="BV155" s="130"/>
      <c r="BW155" s="130"/>
      <c r="BX155" s="130"/>
      <c r="BY155" s="130"/>
      <c r="BZ155" s="130"/>
    </row>
    <row r="156" spans="1:78" ht="14.4" customHeight="1" x14ac:dyDescent="0.25">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BJ156" s="130"/>
      <c r="BK156" s="130"/>
      <c r="BL156" s="130"/>
      <c r="BM156" s="130"/>
      <c r="BN156" s="130"/>
      <c r="BO156" s="130"/>
      <c r="BP156" s="130"/>
      <c r="BQ156" s="130"/>
      <c r="BR156" s="130"/>
      <c r="BS156" s="130"/>
      <c r="BT156" s="130"/>
      <c r="BU156" s="130"/>
      <c r="BV156" s="130"/>
      <c r="BW156" s="130"/>
      <c r="BX156" s="130"/>
      <c r="BY156" s="130"/>
      <c r="BZ156" s="130"/>
    </row>
    <row r="157" spans="1:78" ht="14.4" customHeight="1" x14ac:dyDescent="0.25">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BJ157" s="130"/>
      <c r="BK157" s="130"/>
      <c r="BL157" s="130"/>
      <c r="BM157" s="130"/>
      <c r="BN157" s="130"/>
      <c r="BO157" s="130"/>
      <c r="BP157" s="130"/>
      <c r="BQ157" s="130"/>
      <c r="BR157" s="130"/>
      <c r="BS157" s="130"/>
      <c r="BT157" s="130"/>
      <c r="BU157" s="130"/>
      <c r="BV157" s="130"/>
      <c r="BW157" s="130"/>
      <c r="BX157" s="130"/>
      <c r="BY157" s="130"/>
      <c r="BZ157" s="130"/>
    </row>
    <row r="158" spans="1:78" ht="14.4" customHeight="1" x14ac:dyDescent="0.25">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BJ158" s="130"/>
      <c r="BK158" s="130"/>
      <c r="BL158" s="130"/>
      <c r="BM158" s="130"/>
      <c r="BN158" s="130"/>
      <c r="BO158" s="130"/>
      <c r="BP158" s="130"/>
      <c r="BQ158" s="130"/>
      <c r="BR158" s="130"/>
      <c r="BS158" s="130"/>
      <c r="BT158" s="130"/>
      <c r="BU158" s="130"/>
      <c r="BV158" s="130"/>
      <c r="BW158" s="130"/>
      <c r="BX158" s="130"/>
      <c r="BY158" s="130"/>
      <c r="BZ158" s="130"/>
    </row>
  </sheetData>
  <sheetProtection sheet="1" objects="1" scenarios="1"/>
  <mergeCells count="21">
    <mergeCell ref="BG1:BI1"/>
    <mergeCell ref="B16:C16"/>
    <mergeCell ref="X16:Y16"/>
    <mergeCell ref="AB23:AD23"/>
    <mergeCell ref="D16:E16"/>
    <mergeCell ref="AG16:AH16"/>
    <mergeCell ref="Z16:AA16"/>
    <mergeCell ref="H16:I16"/>
    <mergeCell ref="F16:G16"/>
    <mergeCell ref="V16:W16"/>
    <mergeCell ref="T16:U16"/>
    <mergeCell ref="N16:O16"/>
    <mergeCell ref="P16:Q16"/>
    <mergeCell ref="L16:M16"/>
    <mergeCell ref="J16:K16"/>
    <mergeCell ref="R16:S16"/>
    <mergeCell ref="AQ1:AT1"/>
    <mergeCell ref="AU1:AX1"/>
    <mergeCell ref="AY1:BB1"/>
    <mergeCell ref="BC1:BD1"/>
    <mergeCell ref="BE1:BF1"/>
  </mergeCells>
  <phoneticPr fontId="8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249"/>
  <sheetViews>
    <sheetView workbookViewId="0">
      <selection activeCell="C4" sqref="C4"/>
    </sheetView>
  </sheetViews>
  <sheetFormatPr defaultColWidth="9" defaultRowHeight="14.4" customHeight="1" x14ac:dyDescent="0.25"/>
  <cols>
    <col min="5" max="5" width="8.90625" style="348"/>
    <col min="10" max="10" width="8.90625" style="349"/>
    <col min="19" max="19" width="8.90625" style="164"/>
    <col min="22" max="22" width="8.90625" style="349"/>
  </cols>
  <sheetData>
    <row r="1" spans="1:49" ht="14.4" customHeight="1" x14ac:dyDescent="0.25">
      <c r="A1" s="1047" t="s">
        <v>119</v>
      </c>
      <c r="B1" s="1049"/>
      <c r="C1" s="1049"/>
      <c r="D1" s="1049"/>
      <c r="E1" s="1049"/>
      <c r="F1" s="1049"/>
      <c r="G1" s="1049"/>
      <c r="H1" s="1048"/>
      <c r="I1" s="1027" t="s">
        <v>107</v>
      </c>
      <c r="J1" s="1027"/>
      <c r="K1" s="1027"/>
      <c r="L1" s="1027"/>
      <c r="M1" s="1027"/>
      <c r="N1" s="1027"/>
      <c r="O1" s="1027"/>
      <c r="P1" s="1027"/>
      <c r="Q1" s="1028"/>
      <c r="R1" s="107" t="s">
        <v>3636</v>
      </c>
      <c r="S1" s="1026" t="s">
        <v>3637</v>
      </c>
      <c r="T1" s="1027"/>
      <c r="U1" s="1027"/>
      <c r="V1" s="1027"/>
      <c r="W1" s="1028"/>
      <c r="X1" s="1026" t="s">
        <v>3638</v>
      </c>
      <c r="Y1" s="1027"/>
      <c r="Z1" s="1028"/>
      <c r="AA1" s="277" t="s">
        <v>3639</v>
      </c>
      <c r="AB1" s="277" t="s">
        <v>3640</v>
      </c>
      <c r="AC1" s="277" t="s">
        <v>3641</v>
      </c>
      <c r="AD1" s="245">
        <f>SUM(AD2:AD6)</f>
        <v>0</v>
      </c>
      <c r="AE1" s="1047" t="s">
        <v>3642</v>
      </c>
      <c r="AF1" s="1049"/>
      <c r="AG1" s="1049"/>
      <c r="AH1" s="277" t="s">
        <v>3643</v>
      </c>
      <c r="AI1" s="245" t="s">
        <v>1414</v>
      </c>
      <c r="AJ1" s="110" t="s">
        <v>3644</v>
      </c>
      <c r="AK1" s="110" t="s">
        <v>3645</v>
      </c>
      <c r="AL1" s="350" t="s">
        <v>107</v>
      </c>
      <c r="AM1" s="108" t="s">
        <v>85</v>
      </c>
      <c r="AN1" s="108" t="s">
        <v>3646</v>
      </c>
      <c r="AO1" s="108" t="s">
        <v>113</v>
      </c>
      <c r="AP1" s="108" t="s">
        <v>3647</v>
      </c>
      <c r="AQ1" s="108" t="s">
        <v>111</v>
      </c>
      <c r="AR1" s="109" t="s">
        <v>3648</v>
      </c>
      <c r="AS1" s="114" t="s">
        <v>1450</v>
      </c>
      <c r="AT1" s="350" t="s">
        <v>3649</v>
      </c>
      <c r="AU1" s="193">
        <f>IF(COUNTIF(J34:J45,AL2),AU4,IF(COUNTIF(J16:J33,AL2),AU3,IF(COUNTIF(J7:J15,AL2),AU2,0)))</f>
        <v>0</v>
      </c>
      <c r="AV1" s="107" t="s">
        <v>3650</v>
      </c>
      <c r="AW1" s="113" t="b">
        <v>0</v>
      </c>
    </row>
    <row r="2" spans="1:49" ht="14.4" customHeight="1" x14ac:dyDescent="0.25">
      <c r="A2" s="118"/>
      <c r="B2" s="119"/>
      <c r="C2" s="119" t="s">
        <v>3651</v>
      </c>
      <c r="D2" s="119" t="s">
        <v>3652</v>
      </c>
      <c r="E2" s="351" t="s">
        <v>111</v>
      </c>
      <c r="F2" s="119" t="s">
        <v>63</v>
      </c>
      <c r="G2" s="119" t="s">
        <v>3653</v>
      </c>
      <c r="H2" s="120" t="s">
        <v>3654</v>
      </c>
      <c r="I2" s="130"/>
      <c r="J2" s="180"/>
      <c r="K2" s="106" t="s">
        <v>85</v>
      </c>
      <c r="L2" s="106" t="s">
        <v>3646</v>
      </c>
      <c r="M2" s="106" t="s">
        <v>113</v>
      </c>
      <c r="N2" s="106" t="s">
        <v>3647</v>
      </c>
      <c r="O2" s="106" t="s">
        <v>111</v>
      </c>
      <c r="P2" s="106" t="s">
        <v>3653</v>
      </c>
      <c r="Q2" s="116" t="s">
        <v>3648</v>
      </c>
      <c r="R2" s="156">
        <v>5</v>
      </c>
      <c r="S2" s="115" t="s">
        <v>109</v>
      </c>
      <c r="T2" s="106" t="s">
        <v>3653</v>
      </c>
      <c r="U2" s="106" t="s">
        <v>111</v>
      </c>
      <c r="V2" s="119" t="s">
        <v>3648</v>
      </c>
      <c r="W2" s="116" t="s">
        <v>3655</v>
      </c>
      <c r="X2" s="156">
        <f>主要!P47</f>
        <v>0</v>
      </c>
      <c r="Y2" s="130" t="str">
        <f t="shared" ref="Y2:Y10" si="0">IFERROR(VLOOKUP(X2,S:V,4,0),"")</f>
        <v/>
      </c>
      <c r="Z2" s="155" t="str">
        <f t="shared" ref="Z2:Z10" si="1">IFERROR(VLOOKUP(X2,S:U,3,0),"")</f>
        <v/>
      </c>
      <c r="AA2" s="119" t="s">
        <v>128</v>
      </c>
      <c r="AB2" s="119">
        <v>1</v>
      </c>
      <c r="AC2" s="119">
        <v>20</v>
      </c>
      <c r="AD2" s="120">
        <f>IFERROR(INT(主要!AR41/AC2)*AB2,0)</f>
        <v>0</v>
      </c>
      <c r="AE2" s="1052" t="s">
        <v>3656</v>
      </c>
      <c r="AF2" s="119" t="s">
        <v>3657</v>
      </c>
      <c r="AG2" s="119" t="s">
        <v>3658</v>
      </c>
      <c r="AH2" s="349" t="str">
        <f>IF(COUNTIF($AL$12:$AL$20,AF2),"",AF2)</f>
        <v>工匠工具-炼金</v>
      </c>
      <c r="AI2" s="352" t="str">
        <f t="array" ref="AI2">INDEX(AH:AH,SMALL(IF($AH$2:$AH$40&lt;&gt;"",ROW($2:$40),41),ROW(AH1)))&amp;""</f>
        <v>工匠工具-炼金</v>
      </c>
      <c r="AJ2" s="157" t="str">
        <f t="array" ref="AJ2">INDEX(J:J,SMALL(IF($J$3:$J$45&lt;&gt;"",ROW($3:$45),46),ROW(J1)))&amp;""</f>
        <v>无甲</v>
      </c>
      <c r="AK2" s="157" t="str">
        <f t="array" ref="AK2">INDEX(B:B,SMALL(IF($B$3:$B$177&lt;&gt;"",ROW($3:$177),178),ROW(J1)))&amp;""</f>
        <v>徒手打击</v>
      </c>
      <c r="AL2" s="270">
        <f>IF(主要!L39="",0,主要!L39)</f>
        <v>0</v>
      </c>
      <c r="AM2" s="130">
        <f>IFERROR(VLOOKUP(AL2,J:K,2,0),10)</f>
        <v>10</v>
      </c>
      <c r="AN2" s="130">
        <f>IFERROR(VLOOKUP(AL2,J:L,3,0),0)</f>
        <v>0</v>
      </c>
      <c r="AO2" s="130" t="str">
        <f>IFERROR(VLOOKUP(AL2,J:M,4,0),"")</f>
        <v/>
      </c>
      <c r="AP2" s="130">
        <f>IFERROR(VLOOKUP(AL2,J:N,5,0),0)</f>
        <v>0</v>
      </c>
      <c r="AQ2" s="130" t="str">
        <f>IFERROR(VLOOKUP(AL2,J:O,6,0),"")</f>
        <v/>
      </c>
      <c r="AR2" s="198" t="str">
        <f>IFERROR(VLOOKUP(AL2,J:Q,8,0),"")</f>
        <v/>
      </c>
      <c r="AS2" s="353" t="b">
        <v>0</v>
      </c>
      <c r="AT2" s="164" t="s">
        <v>1475</v>
      </c>
      <c r="AU2" s="116">
        <f>IF(OR(COUNTIF(职业数据!BD5,"轻甲*"),COUNTIF(职业数据!BD5,"全部*"),COUNTIF(职业数据!AD16:AD18,职业数据!J13),种族数据!V4=种族数据!C2,种族数据!V4=种族数据!C18,种族数据!V4=种族数据!B22,COUNTIF(专长数据!E2:E7,专长数据!A14)),1,0)</f>
        <v>0</v>
      </c>
      <c r="AV2" s="107" t="s">
        <v>3659</v>
      </c>
      <c r="AW2" s="193">
        <f>IF(OR(AL2=0,AL2=J3),0,1)</f>
        <v>0</v>
      </c>
    </row>
    <row r="3" spans="1:49" ht="14.4" customHeight="1" x14ac:dyDescent="0.25">
      <c r="A3" s="250"/>
      <c r="B3" s="119" t="str">
        <f>IF(B4="","徒手打击","")</f>
        <v>徒手打击</v>
      </c>
      <c r="C3" s="180" t="str">
        <f>IF(OR(AU6=1,COUNTIF(职业数据!BG2:BG44,职业数据!J28)),"1D","")&amp;MAX(IF(AU6=1,IF(职业数据!AG7&gt;=17,10,IF(职业数据!AG7&gt;=11,8,IF(职业数据!AG7&gt;=5,6,IF(职业数据!AG7&gt;=1,4,1)))),1),IF(COUNTIF(职业数据!BG2:BG44,职业数据!J28),IF(AS2=FALSE,8,6),1))</f>
        <v>1</v>
      </c>
      <c r="D3" s="119" t="s">
        <v>127</v>
      </c>
      <c r="E3" s="354"/>
      <c r="F3" s="180" t="str">
        <f>""</f>
        <v/>
      </c>
      <c r="G3" s="180"/>
      <c r="H3" s="198">
        <f>IF(AU6=1,MAX(主要!R15,主要!R14),主要!R14)</f>
        <v>-1</v>
      </c>
      <c r="I3" s="130"/>
      <c r="J3" s="119" t="str">
        <f>IF(COUNTIF(J4:J5,"")=2,"无甲","")</f>
        <v>无甲</v>
      </c>
      <c r="K3" s="130">
        <v>10</v>
      </c>
      <c r="L3" s="130"/>
      <c r="M3" s="130" t="str">
        <f t="shared" ref="M3:M15" si="2">""</f>
        <v/>
      </c>
      <c r="N3" s="130"/>
      <c r="O3" s="106"/>
      <c r="P3" s="130"/>
      <c r="Q3" s="155" t="str">
        <f>""</f>
        <v/>
      </c>
      <c r="R3" s="171">
        <v>15</v>
      </c>
      <c r="S3" s="115" t="s">
        <v>3660</v>
      </c>
      <c r="T3" s="130">
        <v>2</v>
      </c>
      <c r="U3" s="180">
        <v>2</v>
      </c>
      <c r="V3" s="180" t="str">
        <f>""</f>
        <v/>
      </c>
      <c r="W3" s="155"/>
      <c r="X3" s="156">
        <f>主要!P48</f>
        <v>0</v>
      </c>
      <c r="Y3" s="130" t="str">
        <f t="shared" si="0"/>
        <v/>
      </c>
      <c r="Z3" s="155" t="str">
        <f t="shared" si="1"/>
        <v/>
      </c>
      <c r="AA3" s="119" t="s">
        <v>130</v>
      </c>
      <c r="AB3" s="119">
        <v>1</v>
      </c>
      <c r="AC3" s="119">
        <v>50</v>
      </c>
      <c r="AD3" s="120">
        <f>IFERROR(INT(主要!AR42/AC3)*AB3,0)</f>
        <v>0</v>
      </c>
      <c r="AE3" s="1055"/>
      <c r="AF3" s="119" t="s">
        <v>3661</v>
      </c>
      <c r="AG3" s="119" t="s">
        <v>3662</v>
      </c>
      <c r="AH3" s="349" t="str">
        <f t="shared" ref="AH3:AH40" si="3">IF(COUNTIF($AL$12:$AL$20,AF3),"",AF3)</f>
        <v>工匠工具-酿酒</v>
      </c>
      <c r="AI3" s="352" t="str">
        <f t="array" ref="AI3">INDEX(AH:AH,SMALL(IF($AH$2:$AH$40&lt;&gt;"",ROW($2:$40),41),ROW(AH2)))&amp;""</f>
        <v>工匠工具-酿酒</v>
      </c>
      <c r="AJ3" s="157" t="str">
        <f t="array" ref="AJ3">INDEX(J:J,SMALL(IF($J$3:$J$45&lt;&gt;"",ROW($3:$45),46),ROW(J2)))&amp;""</f>
        <v>法师护甲</v>
      </c>
      <c r="AK3" s="157" t="str">
        <f t="array" ref="AK3">INDEX(B:B,SMALL(IF($B$3:$B$177&lt;&gt;"",ROW($3:$177),178),ROW(J2)))&amp;""</f>
        <v>短棒</v>
      </c>
      <c r="AL3" s="126" t="s">
        <v>1450</v>
      </c>
      <c r="AM3" s="175" t="str">
        <f>IF(主要!AJ39=AL3,2,"")</f>
        <v/>
      </c>
      <c r="AN3" s="355"/>
      <c r="AO3" s="355"/>
      <c r="AP3" s="175"/>
      <c r="AQ3" s="126" t="str">
        <f>IF(主要!AJ39=AL3,6,"")</f>
        <v/>
      </c>
      <c r="AR3" s="183"/>
      <c r="AT3" s="356" t="s">
        <v>3663</v>
      </c>
      <c r="AU3" s="116">
        <f>IF(OR(COUNTIF(职业数据!BD5,"*中甲*"),COUNTIF(职业数据!BD5,"全部*"),COUNTIF(职业数据!AD16:AD18,职业数据!D3),COUNTIF(职业数据!AD16:AD18,职业数据!E3),COUNTIF(职业数据!AD16:AD18,职业数据!G12),种族数据!V4=种族数据!C2,种族数据!V4=种族数据!B22,COUNTIF(专长数据!E2:E7,"中甲运用")),1,0)</f>
        <v>0</v>
      </c>
      <c r="AV3" s="123" t="s">
        <v>3664</v>
      </c>
      <c r="AW3" s="183">
        <f>COUNTIF(J3:J45,AL2)</f>
        <v>0</v>
      </c>
    </row>
    <row r="4" spans="1:49" ht="14.4" customHeight="1" x14ac:dyDescent="0.25">
      <c r="A4" s="250"/>
      <c r="B4" s="180" t="str">
        <f>IF(OR(种族数据!V4=种族数据!C9,种族数据!V3=种族数据!A15,种族数据!V3=种族数据!A16,种族数据!V3=种族数据!A23,种族数据!V3=种族数据!A24,COUNTIF(种族数据!AB2:AB15,种族数据!G100),种族数据!V3=种族数据!A36,种族数据!V3=种族数据!A37,种族数据!V3=种族数据!A32,种族数据!V3=种族数据!A34,种族数据!V3=种族数据!A42,COUNTIF(专长数据!E2:E7,专长数据!A56),COUNTIF(专长数据!E2:E7,专长数据!A105)),"天生武器","")</f>
        <v/>
      </c>
      <c r="C4" s="180" t="str">
        <f>"1D"&amp;MAX(IF(AU6=1,IF(职业数据!AG7&gt;=17,10,IF(职业数据!AG7&gt;=11,8,IF(职业数据!AG7&gt;=5,6,IF(职业数据!AG7&gt;=1,4,1)))),1),IF(COUNTIF(职业数据!BG2:BG44,职业数据!J28),IF(AS2=FALSE,8,6),1),IF(OR(种族数据!V3=种族数据!C9,种族数据!V3=种族数据!A15,种族数据!V3=种族数据!A16,种族数据!V3=种族数据!A23,种族数据!V3=种族数据!A24,种族数据!V3=种族数据!A32,种族数据!V3=种族数据!A34,种族数据!V3=种族数据!A37,COUNTIF(种族数据!AB5:AB15,种族数据!G100),COUNTIF(专长数据!E2:E7,专长数据!A105)),6,4))</f>
        <v>1D4</v>
      </c>
      <c r="D4" s="119" t="str">
        <f>IF(OR(种族数据!V3=种族数据!A24,种族数据!V3=种族数据!A42,COUNTIF(专长数据!E2:E7,专长数据!A105)),"穿刺",IF(OR(种族数据!V3=种族数据!A15,种族数据!V3=种族数据!A16,种族数据!V3=种族数据!A32,种族数据!V3=种族数据!A34,COUNTIF(专长数据!E2:E7,专长数据!A56)),"挥砍","钝击"))</f>
        <v>钝击</v>
      </c>
      <c r="E4" s="354"/>
      <c r="F4" s="180" t="str">
        <f>""</f>
        <v/>
      </c>
      <c r="G4" s="180"/>
      <c r="H4" s="120">
        <f>H$3</f>
        <v>-1</v>
      </c>
      <c r="I4" s="130"/>
      <c r="J4" s="119" t="str">
        <f>IF(OR(职业数据!AG2&gt;=1,AND(职业数据!AG7&gt;=1,AS2=FALSE),COUNTIF(职业数据!AD16:AD18,职业数据!B11)),"无甲防御","")</f>
        <v/>
      </c>
      <c r="K4" s="130">
        <f>IF(OR(COUNTIF(职业数据!AD16:AD18,职业数据!B11)=0,AND(职业数据!AG2&gt;=1,主要!R16&gt;=3),AND(职业数据!AG7&gt;=1,主要!R18&gt;=3,AS2=FALSE)),10,13)</f>
        <v>10</v>
      </c>
      <c r="L4" s="130"/>
      <c r="M4" s="130" t="str">
        <f t="shared" si="2"/>
        <v/>
      </c>
      <c r="N4" s="130"/>
      <c r="O4" s="106"/>
      <c r="P4" s="130"/>
      <c r="Q4" s="155" t="str">
        <f>""</f>
        <v/>
      </c>
      <c r="R4" s="107" t="s">
        <v>3665</v>
      </c>
      <c r="S4" s="115" t="s">
        <v>3666</v>
      </c>
      <c r="T4" s="130">
        <v>25</v>
      </c>
      <c r="U4" s="180">
        <v>1</v>
      </c>
      <c r="V4" s="119" t="s">
        <v>3667</v>
      </c>
      <c r="W4" s="155"/>
      <c r="X4" s="156">
        <f>主要!P49</f>
        <v>0</v>
      </c>
      <c r="Y4" s="130" t="str">
        <f t="shared" si="0"/>
        <v/>
      </c>
      <c r="Z4" s="155" t="str">
        <f t="shared" si="1"/>
        <v/>
      </c>
      <c r="AA4" s="119" t="s">
        <v>132</v>
      </c>
      <c r="AB4" s="119">
        <v>1.5</v>
      </c>
      <c r="AC4" s="119">
        <v>20</v>
      </c>
      <c r="AD4" s="120">
        <f>IFERROR(INT(主要!AR43/AC4)*AB4,0)</f>
        <v>0</v>
      </c>
      <c r="AE4" s="1055"/>
      <c r="AF4" s="119" t="s">
        <v>3668</v>
      </c>
      <c r="AG4" s="119" t="s">
        <v>3669</v>
      </c>
      <c r="AH4" s="349" t="str">
        <f t="shared" si="3"/>
        <v>工匠工具-书法</v>
      </c>
      <c r="AI4" s="352" t="str">
        <f t="array" ref="AI4">INDEX(AH:AH,SMALL(IF($AH$2:$AH$40&lt;&gt;"",ROW($2:$40),41),ROW(AH3)))&amp;""</f>
        <v>工匠工具-书法</v>
      </c>
      <c r="AJ4" s="157" t="str">
        <f t="array" ref="AJ4">INDEX(J:J,SMALL(IF($J$3:$J$45&lt;&gt;"",ROW($3:$45),46),ROW(J3)))&amp;""</f>
        <v>布甲</v>
      </c>
      <c r="AK4" s="157" t="str">
        <f t="array" ref="AK4">INDEX(B:B,SMALL(IF($B$3:$B$177&lt;&gt;"",ROW($3:$177),178),ROW(J3)))&amp;""</f>
        <v>匕首</v>
      </c>
      <c r="AT4" s="356" t="s">
        <v>3670</v>
      </c>
      <c r="AU4" s="116">
        <f>IF(OR(COUNTIF(职业数据!BD5,"全部*"),COUNTIF(职业数据!AD16:AD18,职业数据!C4),COUNTIF(职业数据!AD16:AD18,职业数据!E4),COUNTIF(职业数据!AD16:AD18,职业数据!H4),COUNTIF(职业数据!AD16:AD18,职业数据!K4),COUNTIF(职业数据!AD16:AD18,职业数据!M4),COUNTIF(职业数据!AD16:AD18,职业数据!O4),COUNTIF(职业数据!AD16:AD18,职业数据!C4),COUNTIF(职业数据!AD16:AD18,职业数据!P4),COUNTIF(职业数据!AD16:AD18,职业数据!Q4),COUNTIF(职业数据!AD16:AD18,职业数据!S4),COUNTIF(职业数据!AD16:AD18,职业数据!E14),COUNTIF(专长数据!E2:E7,"重甲运用")),1,0)</f>
        <v>0</v>
      </c>
    </row>
    <row r="5" spans="1:49" ht="14.4" customHeight="1" x14ac:dyDescent="0.25">
      <c r="A5" s="250"/>
      <c r="B5" s="119" t="str">
        <f>IF(种族数据!V3=种族数据!A42,"纠缠","")</f>
        <v/>
      </c>
      <c r="C5" s="119" t="s">
        <v>3671</v>
      </c>
      <c r="D5" s="119" t="s">
        <v>127</v>
      </c>
      <c r="E5" s="354"/>
      <c r="F5" s="180" t="str">
        <f>""</f>
        <v/>
      </c>
      <c r="G5" s="180"/>
      <c r="H5" s="198">
        <f>H$3</f>
        <v>-1</v>
      </c>
      <c r="I5" s="130"/>
      <c r="J5" s="119" t="str">
        <f>IF(OR(种族数据!V3=种族数据!A15,种族数据!V3=种族数据!A25,种族数据!V3=种族数据!A41,种族数据!V3=种族数据!A34,种族数据!V3=种族数据!E18,COUNTIF(专长数据!E2:E7,专长数据!A94),COUNTIF(专长数据!E2:E7,专长数据!A56)),"天生护甲","")</f>
        <v/>
      </c>
      <c r="K5" s="130">
        <f>IF(OR(种族数据!V3=种族数据!A15,COUNTIF(专长数据!E2:E7,专长数据!A94),COUNTIF(专长数据!E2:E7,专长数据!A56)),13,IF(OR(种族数据!V3=种族数据!A25,种族数据!V3=种族数据!A41),12,IF(种族数据!V3=种族数据!E18,11,IF(种族数据!V3=种族数据!A34,IF(COUNTIF(专长数据!E2:E7,专长数据!A106),18,17),10))))</f>
        <v>10</v>
      </c>
      <c r="L5" s="130"/>
      <c r="M5" s="130" t="str">
        <f t="shared" si="2"/>
        <v/>
      </c>
      <c r="N5" s="130"/>
      <c r="O5" s="130"/>
      <c r="P5" s="130"/>
      <c r="Q5" s="155" t="str">
        <f>""</f>
        <v/>
      </c>
      <c r="R5" s="156" t="s">
        <v>3672</v>
      </c>
      <c r="S5" s="357" t="s">
        <v>3673</v>
      </c>
      <c r="T5" s="130">
        <v>50</v>
      </c>
      <c r="U5" s="180">
        <v>1</v>
      </c>
      <c r="V5" s="119" t="s">
        <v>3674</v>
      </c>
      <c r="W5" s="155"/>
      <c r="X5" s="156">
        <f>主要!P50</f>
        <v>0</v>
      </c>
      <c r="Y5" s="130" t="str">
        <f t="shared" si="0"/>
        <v/>
      </c>
      <c r="Z5" s="155" t="str">
        <f t="shared" si="1"/>
        <v/>
      </c>
      <c r="AA5" s="119" t="s">
        <v>134</v>
      </c>
      <c r="AB5" s="119">
        <v>1.5</v>
      </c>
      <c r="AC5" s="119">
        <v>20</v>
      </c>
      <c r="AD5" s="120">
        <f>IFERROR(INT(主要!AR44/AC5)*AB5,0)</f>
        <v>0</v>
      </c>
      <c r="AE5" s="1055"/>
      <c r="AF5" s="119" t="s">
        <v>3675</v>
      </c>
      <c r="AG5" s="119" t="s">
        <v>3676</v>
      </c>
      <c r="AH5" s="349" t="str">
        <f t="shared" si="3"/>
        <v>工匠工具-木匠</v>
      </c>
      <c r="AI5" s="352" t="str">
        <f t="array" ref="AI5">INDEX(AH:AH,SMALL(IF($AH$2:$AH$40&lt;&gt;"",ROW($2:$40),41),ROW(AH4)))&amp;""</f>
        <v>工匠工具-木匠</v>
      </c>
      <c r="AJ5" s="157" t="str">
        <f t="array" ref="AJ5">INDEX(J:J,SMALL(IF($J$3:$J$45&lt;&gt;"",ROW($3:$45),46),ROW(J4)))&amp;""</f>
        <v>皮甲</v>
      </c>
      <c r="AK5" s="157" t="str">
        <f t="array" ref="AK5">INDEX(B:B,SMALL(IF($B$3:$B$177&lt;&gt;"",ROW($3:$177),178),ROW(J4)))&amp;""</f>
        <v>巨棒</v>
      </c>
      <c r="AL5" s="108" t="s">
        <v>3677</v>
      </c>
      <c r="AM5" s="108" t="s">
        <v>122</v>
      </c>
      <c r="AN5" s="108" t="s">
        <v>3652</v>
      </c>
      <c r="AO5" s="108" t="s">
        <v>111</v>
      </c>
      <c r="AP5" s="108" t="s">
        <v>63</v>
      </c>
      <c r="AQ5" s="108" t="s">
        <v>55</v>
      </c>
      <c r="AR5" s="108" t="s">
        <v>3678</v>
      </c>
      <c r="AS5" s="108" t="s">
        <v>3679</v>
      </c>
      <c r="AT5" s="107" t="s">
        <v>3680</v>
      </c>
      <c r="AU5" s="109">
        <f>IF(OR(COUNTIF(职业数据!BD6,"*军用*"),COUNTIF(职业数据!AD16:AD18,职业数据!C3),COUNTIF(职业数据!AD16:AD18,职业数据!F4),COUNTIF(职业数据!AD16:AD18,职业数据!H4),COUNTIF(职业数据!AD16:AD18,职业数据!I4),COUNTIF(职业数据!AD16:AD18,职业数据!O4),COUNTIF(职业数据!AD16:AD18,职业数据!S4),COUNTIF(职业数据!AD16:AD18,职业数据!G12),COUNTIF(职业数据!AD16:AD18,职业数据!D14)),1,0)</f>
        <v>0</v>
      </c>
    </row>
    <row r="6" spans="1:49" ht="14.4" customHeight="1" x14ac:dyDescent="0.25">
      <c r="A6" s="250"/>
      <c r="B6" s="119" t="str">
        <f>IF(COUNTIF(职业数据!AD16:AD18,职业数据!J7),"星我之臂","")</f>
        <v/>
      </c>
      <c r="C6" s="119" t="str">
        <f>C3</f>
        <v>1</v>
      </c>
      <c r="D6" s="119" t="s">
        <v>3681</v>
      </c>
      <c r="E6" s="354"/>
      <c r="F6" s="119" t="s">
        <v>3682</v>
      </c>
      <c r="G6" s="180"/>
      <c r="H6" s="198">
        <f>MAX(主要!R18,IF(AU6=1,MAX(主要!R14,主要!R15),主要!R14))</f>
        <v>3</v>
      </c>
      <c r="I6" s="130"/>
      <c r="J6" s="119" t="s">
        <v>3683</v>
      </c>
      <c r="K6" s="130">
        <v>13</v>
      </c>
      <c r="L6" s="130"/>
      <c r="M6" s="130" t="str">
        <f t="shared" si="2"/>
        <v/>
      </c>
      <c r="N6" s="130"/>
      <c r="O6" s="130"/>
      <c r="P6" s="130"/>
      <c r="Q6" s="155" t="str">
        <f>""</f>
        <v/>
      </c>
      <c r="R6" s="156" t="s">
        <v>3684</v>
      </c>
      <c r="S6" s="115" t="s">
        <v>3685</v>
      </c>
      <c r="T6" s="130">
        <v>50</v>
      </c>
      <c r="U6" s="180">
        <v>0</v>
      </c>
      <c r="V6" s="119" t="s">
        <v>3686</v>
      </c>
      <c r="W6" s="155"/>
      <c r="X6" s="156">
        <f>主要!P51</f>
        <v>0</v>
      </c>
      <c r="Y6" s="130" t="str">
        <f t="shared" si="0"/>
        <v/>
      </c>
      <c r="Z6" s="155" t="str">
        <f t="shared" si="1"/>
        <v/>
      </c>
      <c r="AA6" s="129" t="s">
        <v>136</v>
      </c>
      <c r="AB6" s="129">
        <v>2</v>
      </c>
      <c r="AC6" s="129">
        <v>10</v>
      </c>
      <c r="AD6" s="294">
        <f>IFERROR(INT(主要!AR45/AC6)*AB6,0)</f>
        <v>0</v>
      </c>
      <c r="AE6" s="1055"/>
      <c r="AF6" s="119" t="s">
        <v>3687</v>
      </c>
      <c r="AG6" s="119" t="s">
        <v>3688</v>
      </c>
      <c r="AH6" s="349" t="str">
        <f t="shared" si="3"/>
        <v>工匠工具-制图</v>
      </c>
      <c r="AI6" s="352" t="str">
        <f t="array" ref="AI6">INDEX(AH:AH,SMALL(IF($AH$2:$AH$40&lt;&gt;"",ROW($2:$40),41),ROW(AH5)))&amp;""</f>
        <v>工匠工具-制图</v>
      </c>
      <c r="AJ6" s="157" t="str">
        <f t="array" ref="AJ6">INDEX(J:J,SMALL(IF($J$3:$J$45&lt;&gt;"",ROW($3:$45),46),ROW(J5)))&amp;""</f>
        <v>镶钉皮甲</v>
      </c>
      <c r="AK6" s="157" t="str">
        <f t="array" ref="AK6">INDEX(B:B,SMALL(IF($B$3:$B$177&lt;&gt;"",ROW($3:$177),178),ROW(J5)))&amp;""</f>
        <v>手斧</v>
      </c>
      <c r="AL6" s="270" t="str">
        <f>IF(主要!L41="",0,主要!L41)</f>
        <v>魔杖</v>
      </c>
      <c r="AM6" s="130" t="str">
        <f>IFERROR(IF(OR(AL6="",COUNTIF($B$160:$B$162,AL6)),"",VLOOKUP(AL6,B:C,2,0)&amp;IF(AS6&gt;0,"+","")&amp;IF(AS6&lt;&gt;0,AS6,"")),"")</f>
        <v/>
      </c>
      <c r="AN6" s="130" t="str">
        <f>IFERROR(VLOOKUP(AL6,B:D,3,0),"")</f>
        <v/>
      </c>
      <c r="AO6" s="130" t="str">
        <f>IFERROR(VLOOKUP(AL6,B:E,4,0),"")</f>
        <v/>
      </c>
      <c r="AP6" s="180" t="str">
        <f>IFERROR(VLOOKUP(AL6,B:F,5,0),"")</f>
        <v/>
      </c>
      <c r="AQ6" s="358" t="b">
        <v>0</v>
      </c>
      <c r="AR6" s="130">
        <f>IF(AQ6=TRUE,主要!$U$9,0)+AS6</f>
        <v>0</v>
      </c>
      <c r="AS6" s="130">
        <f>IFERROR(VLOOKUP(AL6,B:H,7,0),0)</f>
        <v>0</v>
      </c>
      <c r="AT6" s="115" t="s">
        <v>3689</v>
      </c>
      <c r="AU6" s="155">
        <f>IF(AND(职业数据!AG7&gt;=1,AS2=FALSE,COUNTIF(J3:J6,AL2)),1,0)</f>
        <v>0</v>
      </c>
    </row>
    <row r="7" spans="1:49" ht="14.4" customHeight="1" x14ac:dyDescent="0.25">
      <c r="A7" s="250"/>
      <c r="B7" s="180" t="str">
        <f>IF(COUNTIF(职业数据!BG2:BG44,职业数据!L53),"火蛇利牙","")</f>
        <v/>
      </c>
      <c r="C7" s="180" t="str">
        <f>IF(B4="",C3,C4)</f>
        <v>1</v>
      </c>
      <c r="D7" s="119" t="s">
        <v>3690</v>
      </c>
      <c r="E7" s="354"/>
      <c r="F7" s="119" t="s">
        <v>3691</v>
      </c>
      <c r="G7" s="180"/>
      <c r="H7" s="198">
        <f>H$3</f>
        <v>-1</v>
      </c>
      <c r="I7" s="1054" t="s">
        <v>1475</v>
      </c>
      <c r="J7" s="119" t="str">
        <f>IF(OR(种族数据!V3=种族数据!A34,COUNTIF(职业数据!AD16:AD18,职业数据!E14)),"","布甲")</f>
        <v>布甲</v>
      </c>
      <c r="K7" s="106">
        <v>11</v>
      </c>
      <c r="L7" s="130"/>
      <c r="M7" s="106" t="str">
        <f t="shared" si="2"/>
        <v/>
      </c>
      <c r="N7" s="130">
        <v>1</v>
      </c>
      <c r="O7" s="130">
        <v>8</v>
      </c>
      <c r="P7" s="130">
        <v>5</v>
      </c>
      <c r="Q7" s="120" t="s">
        <v>3692</v>
      </c>
      <c r="R7" s="156" t="s">
        <v>3693</v>
      </c>
      <c r="S7" s="115" t="s">
        <v>3694</v>
      </c>
      <c r="T7" s="130">
        <v>1</v>
      </c>
      <c r="U7" s="180">
        <v>2</v>
      </c>
      <c r="V7" s="119" t="s">
        <v>3695</v>
      </c>
      <c r="W7" s="155"/>
      <c r="X7" s="156">
        <f>主要!P52</f>
        <v>0</v>
      </c>
      <c r="Y7" s="130" t="str">
        <f t="shared" si="0"/>
        <v/>
      </c>
      <c r="Z7" s="155" t="str">
        <f t="shared" si="1"/>
        <v/>
      </c>
      <c r="AC7" s="130"/>
      <c r="AD7" s="244" t="s">
        <v>3652</v>
      </c>
      <c r="AE7" s="1055"/>
      <c r="AF7" s="119" t="s">
        <v>3696</v>
      </c>
      <c r="AG7" s="119" t="s">
        <v>3697</v>
      </c>
      <c r="AH7" s="349" t="str">
        <f t="shared" si="3"/>
        <v>工匠工具-鞋匠</v>
      </c>
      <c r="AI7" s="352" t="str">
        <f t="array" ref="AI7">INDEX(AH:AH,SMALL(IF($AH$2:$AH$40&lt;&gt;"",ROW($2:$40),41),ROW(AH6)))&amp;""</f>
        <v>工匠工具-鞋匠</v>
      </c>
      <c r="AJ7" s="157" t="str">
        <f t="array" ref="AJ7">INDEX(J:J,SMALL(IF($J$3:$J$45&lt;&gt;"",ROW($3:$45),46),ROW(J6)))&amp;""</f>
        <v>兽皮甲</v>
      </c>
      <c r="AK7" s="157" t="str">
        <f t="array" ref="AK7">INDEX(B:B,SMALL(IF($B$3:$B$177&lt;&gt;"",ROW($3:$177),178),ROW(J6)))&amp;""</f>
        <v>标枪</v>
      </c>
      <c r="AL7" s="270">
        <f>IF(主要!L42="",0,主要!L42)</f>
        <v>0</v>
      </c>
      <c r="AM7" s="130" t="str">
        <f>IFERROR(IF(OR(AL7="",COUNTIF($B$160:$B$162,AL7)),"",VLOOKUP(AL7,B:C,2,0)&amp;IF(AS7&gt;0,"+","")&amp;IF(AS7&lt;&gt;0,AS7,"")),"")</f>
        <v/>
      </c>
      <c r="AN7" s="130" t="str">
        <f>IFERROR(VLOOKUP(AL7,B:D,3,0),"")</f>
        <v/>
      </c>
      <c r="AO7" s="130" t="str">
        <f>IFERROR(VLOOKUP(AL7,B:E,4,0),"")</f>
        <v/>
      </c>
      <c r="AP7" s="180" t="str">
        <f>IFERROR(VLOOKUP(AL7,B:F,5,0),"")</f>
        <v/>
      </c>
      <c r="AQ7" s="358" t="b">
        <v>0</v>
      </c>
      <c r="AR7" s="130">
        <f>IF(AQ7=TRUE,主要!$U$9,0)+AS7</f>
        <v>0</v>
      </c>
      <c r="AS7" s="130">
        <f>IFERROR(VLOOKUP(AL7,B:H,7,0),0)</f>
        <v>0</v>
      </c>
      <c r="AT7" s="356" t="s">
        <v>3060</v>
      </c>
      <c r="AU7" s="155">
        <f>IF(AND(职业数据!AG7&gt;=3,COUNTIF(职业数据!AD16:AD18,职业数据!G7)),2,IF(AND(综合数据!B14=TRUE,职业数据!AG7&gt;=2),1,0))</f>
        <v>0</v>
      </c>
    </row>
    <row r="8" spans="1:49" ht="14.4" customHeight="1" x14ac:dyDescent="0.25">
      <c r="A8" s="250"/>
      <c r="B8" s="119" t="str">
        <f>IF(COUNTIF(法术数据!AK2:AK301,法术数据!B128),"变身术","")</f>
        <v/>
      </c>
      <c r="C8" s="119" t="str">
        <f>"1D"&amp;MAX(IF(AU6=1,IF(职业数据!AG7&gt;=17,10,IF(职业数据!AG7&gt;=11,8,6)),6),IF(AND(COUNTIF(职业数据!BG2:BG44,职业数据!J28),AS2=FALSE),8,6))</f>
        <v>1D6</v>
      </c>
      <c r="D8" s="180" t="str">
        <f>""</f>
        <v/>
      </c>
      <c r="E8" s="354"/>
      <c r="F8" s="180" t="str">
        <f>""</f>
        <v/>
      </c>
      <c r="G8" s="180"/>
      <c r="H8" s="198">
        <f>H$3</f>
        <v>-1</v>
      </c>
      <c r="I8" s="1054"/>
      <c r="J8" s="119" t="str">
        <f>IF(AND(COUNTIF(职业数据!AD16:AD18,职业数据!E14),种族数据!V3&lt;&gt;种族数据!A34),"守护布甲","")</f>
        <v/>
      </c>
      <c r="K8" s="130">
        <v>11</v>
      </c>
      <c r="L8" s="130"/>
      <c r="M8" s="106" t="str">
        <f t="shared" si="2"/>
        <v/>
      </c>
      <c r="N8" s="130">
        <v>1</v>
      </c>
      <c r="O8" s="130">
        <v>8</v>
      </c>
      <c r="P8" s="130"/>
      <c r="Q8" s="120" t="s">
        <v>3698</v>
      </c>
      <c r="R8" s="156" t="s">
        <v>3699</v>
      </c>
      <c r="S8" s="115" t="s">
        <v>3700</v>
      </c>
      <c r="T8" s="130">
        <v>1</v>
      </c>
      <c r="U8" s="180">
        <v>7</v>
      </c>
      <c r="V8" s="180" t="str">
        <f>""</f>
        <v/>
      </c>
      <c r="W8" s="155"/>
      <c r="X8" s="156">
        <f>主要!P53</f>
        <v>0</v>
      </c>
      <c r="Y8" s="130" t="str">
        <f t="shared" si="0"/>
        <v/>
      </c>
      <c r="Z8" s="155" t="str">
        <f t="shared" si="1"/>
        <v/>
      </c>
      <c r="AC8" s="130"/>
      <c r="AD8" s="156" t="s">
        <v>127</v>
      </c>
      <c r="AE8" s="1055"/>
      <c r="AF8" s="119" t="s">
        <v>3701</v>
      </c>
      <c r="AG8" s="119" t="s">
        <v>3702</v>
      </c>
      <c r="AH8" s="349" t="str">
        <f t="shared" si="3"/>
        <v>工匠工具-厨师</v>
      </c>
      <c r="AI8" s="352" t="str">
        <f t="array" ref="AI8">INDEX(AH:AH,SMALL(IF($AH$2:$AH$40&lt;&gt;"",ROW($2:$40),41),ROW(AH7)))&amp;""</f>
        <v>工匠工具-厨师</v>
      </c>
      <c r="AJ8" s="157" t="str">
        <f t="array" ref="AJ8">INDEX(J:J,SMALL(IF($J$3:$J$45&lt;&gt;"",ROW($3:$45),46),ROW(J7)))&amp;""</f>
        <v>链甲衫</v>
      </c>
      <c r="AK8" s="157" t="str">
        <f t="array" ref="AK8">INDEX(B:B,SMALL(IF($B$3:$B$177&lt;&gt;"",ROW($3:$177),178),ROW(J7)))&amp;""</f>
        <v>轻锤</v>
      </c>
      <c r="AL8" s="270">
        <f>IF(主要!L43="",0,主要!L43)</f>
        <v>0</v>
      </c>
      <c r="AM8" s="130" t="str">
        <f>IFERROR(IF(OR(AL8="",COUNTIF($B$160:$B$162,AL8)),"",VLOOKUP(AL8,B:C,2,0)&amp;IF(AS8&gt;0,"+","")&amp;IF(AS8&lt;&gt;0,AS8,"")),"")</f>
        <v/>
      </c>
      <c r="AN8" s="130" t="str">
        <f>IFERROR(VLOOKUP(AL8,B:D,3,0),"")</f>
        <v/>
      </c>
      <c r="AO8" s="130" t="str">
        <f>IFERROR(VLOOKUP(AL8,B:E,4,0),"")</f>
        <v/>
      </c>
      <c r="AP8" s="180" t="str">
        <f>IFERROR(VLOOKUP(AL8,B:F,5,0),"")</f>
        <v/>
      </c>
      <c r="AQ8" s="358" t="b">
        <v>0</v>
      </c>
      <c r="AR8" s="130">
        <f>IF(AQ8=TRUE,主要!$U$9,0)+AS8</f>
        <v>0</v>
      </c>
      <c r="AS8" s="130">
        <f>IFERROR(VLOOKUP(AL8,B:H,7,0),0)</f>
        <v>0</v>
      </c>
      <c r="AT8" s="115" t="s">
        <v>3703</v>
      </c>
      <c r="AU8" s="116">
        <f>IF(COUNTIF(职业数据!AD16:AD18,职业数据!G12),IF(COUNTIF(职业数据!BG2:BG44,职业数据!V44),2,1),0)</f>
        <v>0</v>
      </c>
    </row>
    <row r="9" spans="1:49" ht="14.4" customHeight="1" x14ac:dyDescent="0.25">
      <c r="A9" s="359"/>
      <c r="B9" t="str">
        <f>IF(种族数据!V4=种族数据!T13,"吸血啃咬","")</f>
        <v/>
      </c>
      <c r="C9" s="106" t="str">
        <f>C11</f>
        <v>1D4</v>
      </c>
      <c r="D9" s="180" t="s">
        <v>3704</v>
      </c>
      <c r="F9" s="180" t="str">
        <f>""</f>
        <v/>
      </c>
      <c r="H9" s="198">
        <f>MAX(主要!R16,IF(AU6=1,MAX(主要!R14,主要!R15),主要!R14))</f>
        <v>1</v>
      </c>
      <c r="I9" s="1054"/>
      <c r="J9" s="119" t="str">
        <f>IF(AND(COUNTIF(职业数据!AD16:AD18,职业数据!E14),种族数据!V3&lt;&gt;种族数据!A34),"渗透布甲","")</f>
        <v/>
      </c>
      <c r="K9" s="130">
        <v>11</v>
      </c>
      <c r="L9" s="130"/>
      <c r="M9" s="106" t="str">
        <f t="shared" si="2"/>
        <v/>
      </c>
      <c r="N9" s="130"/>
      <c r="O9" s="130">
        <v>8</v>
      </c>
      <c r="P9" s="130"/>
      <c r="Q9" s="120" t="s">
        <v>3705</v>
      </c>
      <c r="R9" s="156" t="s">
        <v>3706</v>
      </c>
      <c r="S9" s="115" t="s">
        <v>3707</v>
      </c>
      <c r="T9" s="130">
        <v>1</v>
      </c>
      <c r="U9" s="180">
        <v>0</v>
      </c>
      <c r="V9" s="180" t="str">
        <f>""</f>
        <v/>
      </c>
      <c r="W9" s="155"/>
      <c r="X9" s="156">
        <f>主要!P54</f>
        <v>0</v>
      </c>
      <c r="Y9" s="130" t="str">
        <f t="shared" si="0"/>
        <v/>
      </c>
      <c r="Z9" s="155" t="str">
        <f t="shared" si="1"/>
        <v/>
      </c>
      <c r="AC9" s="130"/>
      <c r="AD9" s="156" t="s">
        <v>3704</v>
      </c>
      <c r="AE9" s="1055"/>
      <c r="AF9" s="119" t="s">
        <v>3708</v>
      </c>
      <c r="AG9" s="119" t="s">
        <v>3709</v>
      </c>
      <c r="AH9" s="349" t="str">
        <f t="shared" si="3"/>
        <v>工匠工具-玻璃匠</v>
      </c>
      <c r="AI9" s="352" t="str">
        <f t="array" ref="AI9">INDEX(AH:AH,SMALL(IF($AH$2:$AH$40&lt;&gt;"",ROW($2:$40),41),ROW(AH8)))&amp;""</f>
        <v>工匠工具-玻璃匠</v>
      </c>
      <c r="AJ9" s="157" t="str">
        <f t="array" ref="AJ9">INDEX(J:J,SMALL(IF($J$3:$J$45&lt;&gt;"",ROW($3:$45),46),ROW(J8)))&amp;""</f>
        <v>鳞甲</v>
      </c>
      <c r="AK9" s="157" t="str">
        <f t="array" ref="AK9">INDEX(B:B,SMALL(IF($B$3:$B$177&lt;&gt;"",ROW($3:$177),178),ROW(J8)))&amp;""</f>
        <v>硬头锤</v>
      </c>
      <c r="AL9" s="270">
        <f>IF(主要!L44="",0,主要!L44)</f>
        <v>0</v>
      </c>
      <c r="AM9" s="130" t="str">
        <f>IFERROR(IF(OR(AL9="",COUNTIF($B$160:$B$162,AL9)),"",VLOOKUP(AL9,B:C,2,0)&amp;IF(AS9&gt;0,"+","")&amp;IF(AS9&lt;&gt;0,AS9,"")),"")</f>
        <v/>
      </c>
      <c r="AN9" s="130" t="str">
        <f>IFERROR(VLOOKUP(AL9,B:D,3,0),"")</f>
        <v/>
      </c>
      <c r="AO9" s="130" t="str">
        <f>IFERROR(VLOOKUP(AL9,B:E,4,0),"")</f>
        <v/>
      </c>
      <c r="AP9" s="180" t="str">
        <f>IFERROR(VLOOKUP(AL9,B:F,5,0),"")</f>
        <v/>
      </c>
      <c r="AQ9" s="358" t="b">
        <v>0</v>
      </c>
      <c r="AR9" s="130">
        <f>IF(AQ9=TRUE,主要!$U$9,0)+AS9</f>
        <v>0</v>
      </c>
      <c r="AS9" s="130">
        <f>IFERROR(VLOOKUP(AL9,B:H,7,0),0)</f>
        <v>0</v>
      </c>
      <c r="AT9" s="360" t="s">
        <v>3710</v>
      </c>
      <c r="AU9" s="183">
        <f>IF(AND(COUNTIF(职业数据!AD16:AD18,职业数据!D14)=1,职业数据!AG14&gt;=3),1,0)</f>
        <v>0</v>
      </c>
    </row>
    <row r="10" spans="1:49" ht="14.4" customHeight="1" x14ac:dyDescent="0.25">
      <c r="A10" s="359"/>
      <c r="B10" t="str">
        <f>IF(COUNTIF(种族数据!AB2:AB15,种族数据!F108),"长牙","")</f>
        <v/>
      </c>
      <c r="C10" s="130" t="str">
        <f>C5</f>
        <v>1D6</v>
      </c>
      <c r="D10" s="130" t="str">
        <f>D9</f>
        <v>穿刺</v>
      </c>
      <c r="F10" s="180" t="str">
        <f>""</f>
        <v/>
      </c>
      <c r="H10" s="155">
        <f>H$3</f>
        <v>-1</v>
      </c>
      <c r="I10" s="1054"/>
      <c r="J10" s="119" t="str">
        <f>IF(OR(种族数据!V3=种族数据!A34,COUNTIF(职业数据!AD16:AD18,职业数据!E14)),"","皮甲")</f>
        <v>皮甲</v>
      </c>
      <c r="K10" s="106">
        <v>11</v>
      </c>
      <c r="L10" s="130"/>
      <c r="M10" s="106" t="str">
        <f t="shared" si="2"/>
        <v/>
      </c>
      <c r="N10" s="130"/>
      <c r="O10" s="130">
        <v>10</v>
      </c>
      <c r="P10" s="130">
        <v>10</v>
      </c>
      <c r="Q10" s="120" t="s">
        <v>3711</v>
      </c>
      <c r="R10" s="156" t="s">
        <v>140</v>
      </c>
      <c r="S10" s="115" t="s">
        <v>3712</v>
      </c>
      <c r="T10" s="130">
        <v>0.5</v>
      </c>
      <c r="U10" s="180">
        <v>3</v>
      </c>
      <c r="V10" s="180" t="str">
        <f>""</f>
        <v/>
      </c>
      <c r="W10" s="155"/>
      <c r="X10" s="156">
        <f>主要!P55</f>
        <v>0</v>
      </c>
      <c r="Y10" s="130" t="str">
        <f t="shared" si="0"/>
        <v/>
      </c>
      <c r="Z10" s="155" t="str">
        <f t="shared" si="1"/>
        <v/>
      </c>
      <c r="AC10" s="130"/>
      <c r="AD10" s="156" t="s">
        <v>3713</v>
      </c>
      <c r="AE10" s="1055"/>
      <c r="AF10" s="119" t="s">
        <v>3714</v>
      </c>
      <c r="AG10" s="119" t="s">
        <v>3715</v>
      </c>
      <c r="AH10" s="349" t="str">
        <f t="shared" si="3"/>
        <v>工匠工具-珠宝匠</v>
      </c>
      <c r="AI10" s="352" t="str">
        <f t="array" ref="AI10">INDEX(AH:AH,SMALL(IF($AH$2:$AH$40&lt;&gt;"",ROW($2:$40),41),ROW(AH9)))&amp;""</f>
        <v>工匠工具-珠宝匠</v>
      </c>
      <c r="AJ10" s="157" t="str">
        <f t="array" ref="AJ10">INDEX(J:J,SMALL(IF($J$3:$J$45&lt;&gt;"",ROW($3:$45),46),ROW(J9)))&amp;""</f>
        <v>胸甲</v>
      </c>
      <c r="AK10" s="157" t="str">
        <f t="array" ref="AK10">INDEX(B:B,SMALL(IF($B$3:$B$177&lt;&gt;"",ROW($3:$177),178),ROW(J9)))&amp;""</f>
        <v>长棍</v>
      </c>
      <c r="AL10" s="361">
        <f>IF(主要!L45="",0,主要!L45)</f>
        <v>0</v>
      </c>
      <c r="AM10" s="175" t="str">
        <f>IFERROR(IF(OR(AL10="",COUNTIF($B$160:$B$162,AL10)),"",VLOOKUP(AL10,B:C,2,0)&amp;IF(AS10&gt;0,"+","")&amp;IF(AS10&lt;&gt;0,AS10,"")),"")</f>
        <v/>
      </c>
      <c r="AN10" s="175" t="str">
        <f>IFERROR(VLOOKUP(AL10,B:D,3,0),"")</f>
        <v/>
      </c>
      <c r="AO10" s="175" t="str">
        <f>IFERROR(VLOOKUP(AL10,B:E,4,0),"")</f>
        <v/>
      </c>
      <c r="AP10" s="235" t="str">
        <f>IFERROR(VLOOKUP(AL10,B:F,5,0),"")</f>
        <v/>
      </c>
      <c r="AQ10" s="362" t="b">
        <v>0</v>
      </c>
      <c r="AR10" s="175">
        <f>IF(AQ10=TRUE,主要!$U$9,0)+AS10</f>
        <v>0</v>
      </c>
      <c r="AS10" s="183">
        <f>IFERROR(VLOOKUP(AL10,B:H,7,0),0)</f>
        <v>0</v>
      </c>
    </row>
    <row r="11" spans="1:49" ht="14.4" customHeight="1" x14ac:dyDescent="0.25">
      <c r="A11" s="1052" t="s">
        <v>3716</v>
      </c>
      <c r="B11" s="119" t="s">
        <v>3717</v>
      </c>
      <c r="C11" s="119" t="str">
        <f>"1D"&amp;IF(AU6=1,IF(职业数据!AG7&gt;=17,10,IF(职业数据!AG7&gt;=11,8,IF(职业数据!AG7&gt;=5,6,4))),4)</f>
        <v>1D4</v>
      </c>
      <c r="D11" s="119" t="s">
        <v>127</v>
      </c>
      <c r="E11" s="354">
        <v>2</v>
      </c>
      <c r="F11" s="119" t="s">
        <v>3718</v>
      </c>
      <c r="G11" s="180">
        <v>0.1</v>
      </c>
      <c r="H11" s="120">
        <f>H$3</f>
        <v>-1</v>
      </c>
      <c r="I11" s="1054"/>
      <c r="J11" s="119" t="str">
        <f>IF(AND(COUNTIF(职业数据!AD16:AD18,职业数据!E14),种族数据!V3&lt;&gt;种族数据!A34),"守护皮甲","")</f>
        <v/>
      </c>
      <c r="K11" s="130">
        <v>11</v>
      </c>
      <c r="L11" s="130"/>
      <c r="M11" s="106" t="str">
        <f t="shared" si="2"/>
        <v/>
      </c>
      <c r="N11" s="130"/>
      <c r="O11" s="130">
        <v>10</v>
      </c>
      <c r="P11" s="130"/>
      <c r="Q11"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11" s="156" t="s">
        <v>3719</v>
      </c>
      <c r="S11" s="115" t="s">
        <v>3720</v>
      </c>
      <c r="T11" s="130">
        <v>5</v>
      </c>
      <c r="U11" s="180">
        <v>5</v>
      </c>
      <c r="V11" s="119" t="s">
        <v>3721</v>
      </c>
      <c r="W11" s="155"/>
      <c r="X11" s="115" t="str">
        <f>背包!B3</f>
        <v>背包</v>
      </c>
      <c r="Y11" s="130">
        <f>IFERROR(VLOOKUP(X11,S:W,5,0),"")</f>
        <v>30</v>
      </c>
      <c r="Z11" s="155">
        <f>IFERROR(VLOOKUP(X11,S:U,3,0),0)</f>
        <v>5</v>
      </c>
      <c r="AC11" s="130"/>
      <c r="AD11" s="156" t="s">
        <v>3722</v>
      </c>
      <c r="AE11" s="1055"/>
      <c r="AF11" s="119" t="s">
        <v>3723</v>
      </c>
      <c r="AG11" s="119" t="s">
        <v>3724</v>
      </c>
      <c r="AH11" s="349" t="str">
        <f t="shared" si="3"/>
        <v>工匠工具-皮匠</v>
      </c>
      <c r="AI11" s="352" t="str">
        <f t="array" ref="AI11">INDEX(AH:AH,SMALL(IF($AH$2:$AH$40&lt;&gt;"",ROW($2:$40),41),ROW(AH10)))&amp;""</f>
        <v>工匠工具-皮匠</v>
      </c>
      <c r="AJ11" s="157" t="str">
        <f t="array" ref="AJ11">INDEX(J:J,SMALL(IF($J$3:$J$45&lt;&gt;"",ROW($3:$45),46),ROW(J10)))&amp;""</f>
        <v>半身板甲</v>
      </c>
      <c r="AK11" s="157" t="str">
        <f t="array" ref="AK11">INDEX(B:B,SMALL(IF($B$3:$B$177&lt;&gt;"",ROW($3:$177),178),ROW(J10)))&amp;""</f>
        <v>镰刀</v>
      </c>
      <c r="AL11" s="1026" t="s">
        <v>3642</v>
      </c>
      <c r="AM11" s="1029"/>
      <c r="AN11" s="1053"/>
    </row>
    <row r="12" spans="1:49" ht="14.4" customHeight="1" x14ac:dyDescent="0.25">
      <c r="A12" s="1052"/>
      <c r="B12" s="180" t="str">
        <f>IF(AU$7=2,"剑圣"&amp;B11,"")</f>
        <v/>
      </c>
      <c r="C12" s="180" t="str">
        <f>C$11</f>
        <v>1D4</v>
      </c>
      <c r="D12" s="180" t="str">
        <f>D11</f>
        <v>钝击</v>
      </c>
      <c r="E12" s="354">
        <f>E11</f>
        <v>2</v>
      </c>
      <c r="F12" s="180" t="str">
        <f>F11</f>
        <v>轻型</v>
      </c>
      <c r="G12" s="180"/>
      <c r="H12" s="120">
        <f>H$3</f>
        <v>-1</v>
      </c>
      <c r="I12" s="1054"/>
      <c r="J12" s="119" t="str">
        <f>IF(AND(COUNTIF(职业数据!AD16:AD18,职业数据!E14),种族数据!V3&lt;&gt;种族数据!A34),"渗透皮甲","")</f>
        <v/>
      </c>
      <c r="K12" s="130">
        <v>11</v>
      </c>
      <c r="L12" s="130"/>
      <c r="M12" s="106" t="str">
        <f t="shared" si="2"/>
        <v/>
      </c>
      <c r="N12" s="130"/>
      <c r="O12" s="130">
        <v>10</v>
      </c>
      <c r="P12" s="130"/>
      <c r="Q12" s="120" t="s">
        <v>3725</v>
      </c>
      <c r="R12" s="156" t="s">
        <v>3726</v>
      </c>
      <c r="S12" s="115" t="s">
        <v>3727</v>
      </c>
      <c r="T12" s="130">
        <v>28</v>
      </c>
      <c r="U12" s="180">
        <v>5</v>
      </c>
      <c r="V12" s="119" t="s">
        <v>3728</v>
      </c>
      <c r="W12" s="155"/>
      <c r="X12" s="156">
        <f>背包!B5</f>
        <v>0</v>
      </c>
      <c r="Y12" s="130" t="str">
        <f t="shared" ref="Y12:Y31" si="4">IFERROR(VLOOKUP(X12,S:V,4,0),"")</f>
        <v/>
      </c>
      <c r="Z12" s="155" t="str">
        <f t="shared" ref="Z12:Z31" si="5">IFERROR(VLOOKUP(X12,S:U,3,0),"")</f>
        <v/>
      </c>
      <c r="AC12" s="130"/>
      <c r="AD12" s="156" t="s">
        <v>3729</v>
      </c>
      <c r="AE12" s="1055"/>
      <c r="AF12" s="119" t="s">
        <v>3730</v>
      </c>
      <c r="AG12" s="119" t="s">
        <v>3731</v>
      </c>
      <c r="AH12" s="349" t="str">
        <f t="shared" si="3"/>
        <v>工匠工具-泥瓦匠</v>
      </c>
      <c r="AI12" s="352" t="str">
        <f t="array" ref="AI12">INDEX(AH:AH,SMALL(IF($AH$2:$AH$40&lt;&gt;"",ROW($2:$40),41),ROW(AH11)))&amp;""</f>
        <v>工匠工具-泥瓦匠</v>
      </c>
      <c r="AJ12" s="157" t="str">
        <f t="array" ref="AJ12">INDEX(J:J,SMALL(IF($J$3:$J$45&lt;&gt;"",ROW($3:$45),46),ROW(J11)))&amp;""</f>
        <v>钉刺甲</v>
      </c>
      <c r="AK12" s="157" t="str">
        <f t="array" ref="AK12">INDEX(B:B,SMALL(IF($B$3:$B$177&lt;&gt;"",ROW($3:$177),178),ROW(J11)))&amp;""</f>
        <v>矛</v>
      </c>
      <c r="AL12" s="156" t="str">
        <f>主要!Z121</f>
        <v>草药工具</v>
      </c>
      <c r="AM12" s="130" t="str">
        <f t="shared" ref="AM12:AM20" si="6">IFERROR(VLOOKUP(AL12,AF:AG,2,0),"")</f>
        <v>草药工具熟练项允许你辨认植物并安全地提取有效成分
奥秘：你对药材的性味归经和功能主治的了解，使你在对植物进行魔法研究或试图鉴定药剂时具有额外的洞察力
调查：当你调查一个长有植物的区域时，草药工具熟练项能帮助你发现那些其他人可能会忽视的细节或线索
医药：你对草药医学的掌握有助于提高你使用药用植物治疗疾病和创伤的水平
自然、求生：当你在野外旅行时，你的草药技能有助于辨认植物和找到一般人不知道的食物来源
辨认植物：仅仅通过外观和气味，你就能快速辨认出大部分植物</v>
      </c>
      <c r="AN12" s="363">
        <f t="shared" ref="AN12:AN20" si="7">IF(AL12=0,"",COUNTIF($AL$12:$AL$20,AL12))</f>
        <v>1</v>
      </c>
    </row>
    <row r="13" spans="1:49" ht="14.4" customHeight="1" x14ac:dyDescent="0.25">
      <c r="A13" s="1052"/>
      <c r="B13" s="119" t="str">
        <f>IF(AU$8&gt;=1,"咒剑"&amp;B11,"")</f>
        <v/>
      </c>
      <c r="C13" s="180" t="str">
        <f>C$11</f>
        <v>1D4</v>
      </c>
      <c r="D13" s="180" t="str">
        <f>D11</f>
        <v>钝击</v>
      </c>
      <c r="E13" s="354">
        <f>E11</f>
        <v>2</v>
      </c>
      <c r="F13" s="180" t="str">
        <f>F11</f>
        <v>轻型</v>
      </c>
      <c r="G13" s="180"/>
      <c r="H13" s="198">
        <f>MAX(主要!R$19,装备数据!H11)</f>
        <v>0</v>
      </c>
      <c r="I13" s="1054"/>
      <c r="J13" s="119" t="str">
        <f>IF(OR(种族数据!V3=种族数据!A34,COUNTIF(职业数据!AD16:AD18,职业数据!E14)),"","镶钉皮甲")</f>
        <v>镶钉皮甲</v>
      </c>
      <c r="K13" s="106">
        <v>12</v>
      </c>
      <c r="L13" s="130"/>
      <c r="M13" s="106" t="str">
        <f t="shared" si="2"/>
        <v/>
      </c>
      <c r="N13" s="130"/>
      <c r="O13" s="130">
        <v>13</v>
      </c>
      <c r="P13" s="130">
        <v>45</v>
      </c>
      <c r="Q13" s="120" t="s">
        <v>3732</v>
      </c>
      <c r="R13" s="156" t="s">
        <v>3733</v>
      </c>
      <c r="S13" s="115" t="s">
        <v>3734</v>
      </c>
      <c r="T13" s="130">
        <v>1</v>
      </c>
      <c r="U13" s="180">
        <v>2</v>
      </c>
      <c r="V13" s="119" t="s">
        <v>3735</v>
      </c>
      <c r="W13" s="155"/>
      <c r="X13" s="156">
        <f>背包!B6</f>
        <v>0</v>
      </c>
      <c r="Y13" s="130" t="str">
        <f t="shared" si="4"/>
        <v/>
      </c>
      <c r="Z13" s="155" t="str">
        <f t="shared" si="5"/>
        <v/>
      </c>
      <c r="AC13" s="130"/>
      <c r="AD13" s="156" t="s">
        <v>3690</v>
      </c>
      <c r="AE13" s="1055"/>
      <c r="AF13" s="119" t="s">
        <v>3736</v>
      </c>
      <c r="AG13" s="119" t="s">
        <v>3737</v>
      </c>
      <c r="AH13" s="349" t="str">
        <f t="shared" si="3"/>
        <v>工匠工具-画家</v>
      </c>
      <c r="AI13" s="352" t="str">
        <f t="array" ref="AI13">INDEX(AH:AH,SMALL(IF($AH$2:$AH$40&lt;&gt;"",ROW($2:$40),41),ROW(AH12)))&amp;""</f>
        <v>工匠工具-画家</v>
      </c>
      <c r="AJ13" s="157" t="str">
        <f t="array" ref="AJ13">INDEX(J:J,SMALL(IF($J$3:$J$45&lt;&gt;"",ROW($3:$45),46),ROW(J12)))&amp;""</f>
        <v>环甲</v>
      </c>
      <c r="AK13" s="157" t="str">
        <f t="array" ref="AK13">INDEX(B:B,SMALL(IF($B$3:$B$177&lt;&gt;"",ROW($3:$177),178),ROW(J12)))&amp;""</f>
        <v>轻弩</v>
      </c>
      <c r="AL13" s="156">
        <f>主要!Z122</f>
        <v>0</v>
      </c>
      <c r="AM13" s="130" t="str">
        <f t="shared" si="6"/>
        <v/>
      </c>
      <c r="AN13" s="363" t="str">
        <f t="shared" si="7"/>
        <v/>
      </c>
    </row>
    <row r="14" spans="1:49" ht="14.4" customHeight="1" x14ac:dyDescent="0.25">
      <c r="A14" s="1052"/>
      <c r="B14" s="119" t="str">
        <f>IF(AU$9=1,"匠师"&amp;B11,"")</f>
        <v/>
      </c>
      <c r="C14" s="180" t="str">
        <f>C$11</f>
        <v>1D4</v>
      </c>
      <c r="D14" s="180" t="str">
        <f>D11</f>
        <v>钝击</v>
      </c>
      <c r="E14" s="354">
        <f>E11</f>
        <v>2</v>
      </c>
      <c r="F14" s="180" t="str">
        <f>F11</f>
        <v>轻型</v>
      </c>
      <c r="G14" s="180"/>
      <c r="H14" s="198">
        <f>MAX(主要!R$17,装备数据!H11)</f>
        <v>4</v>
      </c>
      <c r="I14" s="1054"/>
      <c r="J14" s="119" t="str">
        <f>IF(AND(COUNTIF(职业数据!AD16:AD18,职业数据!E14),种族数据!V3&lt;&gt;种族数据!A34),"守护镶钉皮甲","")</f>
        <v/>
      </c>
      <c r="K14" s="130">
        <v>12</v>
      </c>
      <c r="L14" s="130"/>
      <c r="M14" s="106" t="str">
        <f t="shared" si="2"/>
        <v/>
      </c>
      <c r="N14" s="130"/>
      <c r="O14" s="130">
        <v>13</v>
      </c>
      <c r="P14" s="130"/>
      <c r="Q14"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14" s="156" t="s">
        <v>3738</v>
      </c>
      <c r="S14" s="115" t="s">
        <v>3739</v>
      </c>
      <c r="T14" s="130">
        <v>0.01</v>
      </c>
      <c r="U14" s="180">
        <v>0</v>
      </c>
      <c r="V14" s="119" t="s">
        <v>3740</v>
      </c>
      <c r="W14" s="155"/>
      <c r="X14" s="156">
        <f>背包!B7</f>
        <v>0</v>
      </c>
      <c r="Y14" s="130" t="str">
        <f t="shared" si="4"/>
        <v/>
      </c>
      <c r="Z14" s="155" t="str">
        <f t="shared" si="5"/>
        <v/>
      </c>
      <c r="AB14" s="130"/>
      <c r="AC14" s="130"/>
      <c r="AD14" s="156" t="s">
        <v>3681</v>
      </c>
      <c r="AE14" s="1055"/>
      <c r="AF14" s="119" t="s">
        <v>3741</v>
      </c>
      <c r="AG14" s="119" t="s">
        <v>3742</v>
      </c>
      <c r="AH14" s="349" t="str">
        <f t="shared" si="3"/>
        <v>工匠工具-陶匠</v>
      </c>
      <c r="AI14" s="352" t="str">
        <f t="array" ref="AI14">INDEX(AH:AH,SMALL(IF($AH$2:$AH$40&lt;&gt;"",ROW($2:$40),41),ROW(AH13)))&amp;""</f>
        <v>工匠工具-陶匠</v>
      </c>
      <c r="AJ14" s="157" t="str">
        <f t="array" ref="AJ14">INDEX(J:J,SMALL(IF($J$3:$J$45&lt;&gt;"",ROW($3:$45),46),ROW(J13)))&amp;""</f>
        <v>链甲</v>
      </c>
      <c r="AK14" s="157" t="str">
        <f t="array" ref="AK14">INDEX(B:B,SMALL(IF($B$3:$B$177&lt;&gt;"",ROW($3:$177),178),ROW(J13)))&amp;""</f>
        <v>飞镖</v>
      </c>
      <c r="AL14" s="156">
        <f>主要!Z123</f>
        <v>0</v>
      </c>
      <c r="AM14" s="130" t="str">
        <f t="shared" si="6"/>
        <v/>
      </c>
      <c r="AN14" s="363" t="str">
        <f t="shared" si="7"/>
        <v/>
      </c>
    </row>
    <row r="15" spans="1:49" ht="14.4" customHeight="1" x14ac:dyDescent="0.25">
      <c r="A15" s="1052"/>
      <c r="B15" s="180" t="str">
        <f>IF(COUNTIF(法术数据!AK2:AK301,法术数据!B23)&gt;=1,"橡棍"&amp;B11,"")</f>
        <v/>
      </c>
      <c r="C15" s="180" t="str">
        <f>"1D"&amp;IF(AU6=1,IF(职业数据!AG7&gt;=17,10,8),8)</f>
        <v>1D8</v>
      </c>
      <c r="D15" s="180" t="str">
        <f>D11</f>
        <v>钝击</v>
      </c>
      <c r="E15" s="354">
        <f>E11</f>
        <v>2</v>
      </c>
      <c r="F15" s="180" t="str">
        <f>F11</f>
        <v>轻型</v>
      </c>
      <c r="G15" s="180"/>
      <c r="H15" s="198">
        <f>MAX(主要!R$18,H11)</f>
        <v>3</v>
      </c>
      <c r="I15" s="1054"/>
      <c r="J15" s="119" t="str">
        <f>IF(AND(COUNTIF(职业数据!AD16:AD18,职业数据!E14),种族数据!V3&lt;&gt;种族数据!A34),"渗透镶钉皮甲","")</f>
        <v/>
      </c>
      <c r="K15" s="130">
        <v>12</v>
      </c>
      <c r="L15" s="130"/>
      <c r="M15" s="106" t="str">
        <f t="shared" si="2"/>
        <v/>
      </c>
      <c r="N15" s="130"/>
      <c r="O15" s="130">
        <v>13</v>
      </c>
      <c r="P15" s="130"/>
      <c r="Q15" s="120" t="str">
        <f>Q12</f>
        <v>步行速度增加5尺，你在敏捷（隐匿）检定中具有优势</v>
      </c>
      <c r="R15" s="156" t="s">
        <v>3743</v>
      </c>
      <c r="S15" s="115" t="s">
        <v>3744</v>
      </c>
      <c r="T15" s="130">
        <v>5</v>
      </c>
      <c r="U15" s="180">
        <v>10</v>
      </c>
      <c r="V15" s="119" t="s">
        <v>3745</v>
      </c>
      <c r="W15" s="155"/>
      <c r="X15" s="156">
        <f>背包!B8</f>
        <v>0</v>
      </c>
      <c r="Y15" s="130" t="str">
        <f t="shared" si="4"/>
        <v/>
      </c>
      <c r="Z15" s="155" t="str">
        <f t="shared" si="5"/>
        <v/>
      </c>
      <c r="AB15" s="130"/>
      <c r="AC15" s="130"/>
      <c r="AD15" s="156" t="s">
        <v>3746</v>
      </c>
      <c r="AE15" s="1055"/>
      <c r="AF15" s="119" t="s">
        <v>3747</v>
      </c>
      <c r="AG15" s="119" t="s">
        <v>3748</v>
      </c>
      <c r="AH15" s="349" t="str">
        <f t="shared" si="3"/>
        <v>工匠工具-铁匠</v>
      </c>
      <c r="AI15" s="352" t="str">
        <f t="array" ref="AI15">INDEX(AH:AH,SMALL(IF($AH$2:$AH$40&lt;&gt;"",ROW($2:$40),41),ROW(AH14)))&amp;""</f>
        <v>工匠工具-铁匠</v>
      </c>
      <c r="AJ15" s="155" t="str">
        <f t="array" ref="AJ15">INDEX(J:J,SMALL(IF($J$3:$J$45&lt;&gt;"",ROW($3:$45),46),ROW(J14)))&amp;""</f>
        <v>板条甲</v>
      </c>
      <c r="AK15" s="157" t="str">
        <f t="array" ref="AK15">INDEX(B:B,SMALL(IF($B$3:$B$177&lt;&gt;"",ROW($3:$177),178),ROW(J14)))&amp;""</f>
        <v>短弓</v>
      </c>
      <c r="AL15" s="156">
        <f>主要!Z124</f>
        <v>0</v>
      </c>
      <c r="AM15" s="130" t="str">
        <f t="shared" si="6"/>
        <v/>
      </c>
      <c r="AN15" s="363" t="str">
        <f t="shared" si="7"/>
        <v/>
      </c>
    </row>
    <row r="16" spans="1:49" ht="14.4" customHeight="1" x14ac:dyDescent="0.25">
      <c r="A16" s="1052"/>
      <c r="B16" s="119" t="s">
        <v>3749</v>
      </c>
      <c r="C16" s="119" t="str">
        <f>C11</f>
        <v>1D4</v>
      </c>
      <c r="D16" s="119" t="s">
        <v>3704</v>
      </c>
      <c r="E16" s="354">
        <v>1</v>
      </c>
      <c r="F16" s="119" t="s">
        <v>3750</v>
      </c>
      <c r="G16" s="180">
        <v>2</v>
      </c>
      <c r="H16" s="120">
        <f>MAX(主要!R15,主要!R14)</f>
        <v>2</v>
      </c>
      <c r="I16" s="1054" t="s">
        <v>3663</v>
      </c>
      <c r="J16" s="119" t="str">
        <f>IF(OR(种族数据!V3=种族数据!A34,COUNTIF(职业数据!AD16:AD18,职业数据!E14)),"","兽皮甲")</f>
        <v>兽皮甲</v>
      </c>
      <c r="K16" s="106">
        <v>12</v>
      </c>
      <c r="L16" s="130"/>
      <c r="M16" s="130">
        <f>IF(COUNTIF(专长数据!E2:E7,"中甲大师"),3,2)</f>
        <v>2</v>
      </c>
      <c r="N16" s="130"/>
      <c r="O16" s="130">
        <v>12</v>
      </c>
      <c r="P16" s="130">
        <v>10</v>
      </c>
      <c r="Q16" s="120" t="s">
        <v>3751</v>
      </c>
      <c r="R16" s="156" t="s">
        <v>3752</v>
      </c>
      <c r="S16" s="115" t="s">
        <v>3753</v>
      </c>
      <c r="T16" s="130">
        <v>0.01</v>
      </c>
      <c r="U16" s="180">
        <v>0</v>
      </c>
      <c r="V16" s="180" t="str">
        <f>""</f>
        <v/>
      </c>
      <c r="W16" s="155"/>
      <c r="X16" s="156">
        <f>背包!B9</f>
        <v>0</v>
      </c>
      <c r="Y16" s="130" t="str">
        <f t="shared" si="4"/>
        <v/>
      </c>
      <c r="Z16" s="155" t="str">
        <f t="shared" si="5"/>
        <v/>
      </c>
      <c r="AB16" s="130"/>
      <c r="AC16" s="130"/>
      <c r="AD16" s="156" t="s">
        <v>3754</v>
      </c>
      <c r="AE16" s="1055"/>
      <c r="AF16" s="119" t="s">
        <v>3755</v>
      </c>
      <c r="AG16" s="119" t="s">
        <v>3756</v>
      </c>
      <c r="AH16" s="349" t="str">
        <f t="shared" si="3"/>
        <v>工匠工具-修理</v>
      </c>
      <c r="AI16" s="352" t="str">
        <f t="array" ref="AI16">INDEX(AH:AH,SMALL(IF($AH$2:$AH$40&lt;&gt;"",ROW($2:$40),41),ROW(AH15)))&amp;""</f>
        <v>工匠工具-修理</v>
      </c>
      <c r="AJ16" s="155" t="str">
        <f t="array" ref="AJ16">INDEX(J:J,SMALL(IF($J$3:$J$45&lt;&gt;"",ROW($3:$45),46),ROW(J15)))&amp;""</f>
        <v>板甲</v>
      </c>
      <c r="AK16" s="157" t="str">
        <f t="array" ref="AK16">INDEX(B:B,SMALL(IF($B$3:$B$177&lt;&gt;"",ROW($3:$177),178),ROW(J15)))&amp;""</f>
        <v>投石索</v>
      </c>
      <c r="AL16" s="156">
        <f>主要!Z125</f>
        <v>0</v>
      </c>
      <c r="AM16" s="130" t="str">
        <f t="shared" si="6"/>
        <v/>
      </c>
      <c r="AN16" s="363" t="str">
        <f t="shared" si="7"/>
        <v/>
      </c>
    </row>
    <row r="17" spans="1:40" ht="14.4" customHeight="1" x14ac:dyDescent="0.25">
      <c r="A17" s="1052"/>
      <c r="B17" s="180" t="str">
        <f>IF(AU$7=2,"剑圣"&amp;B16,"")</f>
        <v/>
      </c>
      <c r="C17" s="180" t="str">
        <f>C16</f>
        <v>1D4</v>
      </c>
      <c r="D17" s="180" t="str">
        <f>D16</f>
        <v>穿刺</v>
      </c>
      <c r="E17" s="354">
        <f>E16</f>
        <v>1</v>
      </c>
      <c r="F17" s="180" t="str">
        <f>F16</f>
        <v>灵巧，轻型，投掷（射程20/60）</v>
      </c>
      <c r="G17" s="180"/>
      <c r="H17" s="198">
        <f>H$16</f>
        <v>2</v>
      </c>
      <c r="I17" s="1054"/>
      <c r="J17" s="119" t="str">
        <f>IF(AND(COUNTIF(职业数据!AD16:AD18,职业数据!E14),种族数据!V3&lt;&gt;种族数据!A34),"守护兽皮甲","")</f>
        <v/>
      </c>
      <c r="K17" s="130">
        <v>12</v>
      </c>
      <c r="L17" s="130"/>
      <c r="M17" s="130">
        <f>M16</f>
        <v>2</v>
      </c>
      <c r="N17" s="130"/>
      <c r="O17" s="130">
        <v>12</v>
      </c>
      <c r="P17" s="130"/>
      <c r="Q17"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17" s="156" t="s">
        <v>3757</v>
      </c>
      <c r="S17" s="115" t="s">
        <v>3758</v>
      </c>
      <c r="T17" s="130">
        <v>25</v>
      </c>
      <c r="U17" s="180">
        <v>12</v>
      </c>
      <c r="V17" s="119" t="s">
        <v>3759</v>
      </c>
      <c r="W17" s="155"/>
      <c r="X17" s="156">
        <f>背包!B10</f>
        <v>0</v>
      </c>
      <c r="Y17" s="130" t="str">
        <f t="shared" si="4"/>
        <v/>
      </c>
      <c r="Z17" s="155" t="str">
        <f t="shared" si="5"/>
        <v/>
      </c>
      <c r="AB17" s="130"/>
      <c r="AC17" s="130"/>
      <c r="AD17" s="156" t="s">
        <v>3760</v>
      </c>
      <c r="AE17" s="1055"/>
      <c r="AF17" s="119" t="s">
        <v>3761</v>
      </c>
      <c r="AG17" s="119" t="s">
        <v>3762</v>
      </c>
      <c r="AH17" s="349" t="str">
        <f t="shared" si="3"/>
        <v>工匠工具-织布</v>
      </c>
      <c r="AI17" s="352" t="str">
        <f t="array" ref="AI17">INDEX(AH:AH,SMALL(IF($AH$2:$AH$40&lt;&gt;"",ROW($2:$40),41),ROW(AH16)))&amp;""</f>
        <v>工匠工具-织布</v>
      </c>
      <c r="AJ17" s="155" t="str">
        <f t="array" ref="AJ17">INDEX(J:J,SMALL(IF($J$3:$J$45&lt;&gt;"",ROW($3:$45),46),ROW(J16)))&amp;""</f>
        <v/>
      </c>
      <c r="AK17" s="157" t="str">
        <f t="array" ref="AK17">INDEX(B:B,SMALL(IF($B$3:$B$177&lt;&gt;"",ROW($3:$177),178),ROW(J16)))&amp;""</f>
        <v>战斧</v>
      </c>
      <c r="AL17" s="156">
        <f>主要!Z126</f>
        <v>0</v>
      </c>
      <c r="AM17" s="130" t="str">
        <f t="shared" si="6"/>
        <v/>
      </c>
      <c r="AN17" s="363" t="str">
        <f t="shared" si="7"/>
        <v/>
      </c>
    </row>
    <row r="18" spans="1:40" ht="14.4" customHeight="1" x14ac:dyDescent="0.25">
      <c r="A18" s="1052"/>
      <c r="B18" s="119" t="str">
        <f>IF(AU$8&gt;=1,"咒剑"&amp;B16,"")</f>
        <v/>
      </c>
      <c r="C18" s="180" t="str">
        <f>C16</f>
        <v>1D4</v>
      </c>
      <c r="D18" s="180" t="str">
        <f>D16</f>
        <v>穿刺</v>
      </c>
      <c r="E18" s="354">
        <f>E16</f>
        <v>1</v>
      </c>
      <c r="F18" s="180" t="str">
        <f>F16</f>
        <v>灵巧，轻型，投掷（射程20/60）</v>
      </c>
      <c r="G18" s="180"/>
      <c r="H18" s="198">
        <f>MAX(主要!R$19,装备数据!H16)</f>
        <v>2</v>
      </c>
      <c r="I18" s="1054"/>
      <c r="J18" s="119" t="str">
        <f>IF(AND(COUNTIF(职业数据!AD16:AD18,职业数据!E14),种族数据!V3&lt;&gt;种族数据!A34),"渗透兽皮甲","")</f>
        <v/>
      </c>
      <c r="K18" s="130">
        <v>12</v>
      </c>
      <c r="L18" s="130"/>
      <c r="M18" s="130">
        <f>M16</f>
        <v>2</v>
      </c>
      <c r="N18" s="130"/>
      <c r="O18" s="130">
        <v>12</v>
      </c>
      <c r="P18" s="130"/>
      <c r="Q18" s="120" t="str">
        <f>Q12</f>
        <v>步行速度增加5尺，你在敏捷（隐匿）检定中具有优势</v>
      </c>
      <c r="R18" s="156" t="s">
        <v>3763</v>
      </c>
      <c r="S18" s="115" t="s">
        <v>3764</v>
      </c>
      <c r="T18" s="130">
        <v>25</v>
      </c>
      <c r="U18" s="180">
        <v>2</v>
      </c>
      <c r="V18" s="119" t="s">
        <v>3765</v>
      </c>
      <c r="W18" s="155"/>
      <c r="X18" s="156">
        <f>背包!B11</f>
        <v>0</v>
      </c>
      <c r="Y18" s="130" t="str">
        <f t="shared" si="4"/>
        <v/>
      </c>
      <c r="Z18" s="155" t="str">
        <f t="shared" si="5"/>
        <v/>
      </c>
      <c r="AB18" s="130"/>
      <c r="AC18" s="130"/>
      <c r="AD18" s="156" t="s">
        <v>3766</v>
      </c>
      <c r="AE18" s="1055"/>
      <c r="AF18" s="119" t="s">
        <v>3767</v>
      </c>
      <c r="AG18" s="119" t="s">
        <v>3768</v>
      </c>
      <c r="AH18" s="349" t="str">
        <f t="shared" si="3"/>
        <v>工匠工具-木雕</v>
      </c>
      <c r="AI18" s="352" t="str">
        <f t="array" ref="AI18">INDEX(AH:AH,SMALL(IF($AH$2:$AH$40&lt;&gt;"",ROW($2:$40),41),ROW(AH17)))&amp;""</f>
        <v>工匠工具-木雕</v>
      </c>
      <c r="AJ18" s="155" t="str">
        <f t="array" ref="AJ18">INDEX(J:J,SMALL(IF($J$3:$J$45&lt;&gt;"",ROW($3:$45),46),ROW(J17)))&amp;""</f>
        <v/>
      </c>
      <c r="AK18" s="157" t="str">
        <f t="array" ref="AK18">INDEX(B:B,SMALL(IF($B$3:$B$177&lt;&gt;"",ROW($3:$177),178),ROW(J17)))&amp;""</f>
        <v>链枷</v>
      </c>
      <c r="AL18" s="156">
        <f>主要!Z127</f>
        <v>0</v>
      </c>
      <c r="AM18" s="130" t="str">
        <f t="shared" si="6"/>
        <v/>
      </c>
      <c r="AN18" s="363" t="str">
        <f t="shared" si="7"/>
        <v/>
      </c>
    </row>
    <row r="19" spans="1:40" ht="14.4" customHeight="1" x14ac:dyDescent="0.25">
      <c r="A19" s="1052"/>
      <c r="B19" s="119" t="str">
        <f>IF(AU$9=1,"匠师"&amp;B16,"")</f>
        <v/>
      </c>
      <c r="C19" s="180" t="str">
        <f>C16</f>
        <v>1D4</v>
      </c>
      <c r="D19" s="180" t="str">
        <f>D16</f>
        <v>穿刺</v>
      </c>
      <c r="E19" s="354">
        <f>E16</f>
        <v>1</v>
      </c>
      <c r="F19" s="180" t="str">
        <f>F16</f>
        <v>灵巧，轻型，投掷（射程20/60）</v>
      </c>
      <c r="G19" s="180"/>
      <c r="H19" s="198">
        <f>MAX(主要!R$17,装备数据!H16)</f>
        <v>4</v>
      </c>
      <c r="I19" s="1054"/>
      <c r="J19" s="119" t="str">
        <f>IF(OR(种族数据!V3=种族数据!A34,COUNTIF(职业数据!AD16:AD18,职业数据!E14)),"","链甲衫")</f>
        <v>链甲衫</v>
      </c>
      <c r="K19" s="106">
        <v>13</v>
      </c>
      <c r="L19" s="130"/>
      <c r="M19" s="130">
        <f>IF(COUNTIF(专长数据!E2:E7,"中甲大师"),3,2)</f>
        <v>2</v>
      </c>
      <c r="N19" s="130"/>
      <c r="O19" s="130">
        <v>20</v>
      </c>
      <c r="P19" s="130">
        <v>50</v>
      </c>
      <c r="Q19" s="120" t="s">
        <v>3769</v>
      </c>
      <c r="R19" s="156" t="s">
        <v>3770</v>
      </c>
      <c r="S19" s="115" t="s">
        <v>3771</v>
      </c>
      <c r="T19" s="130">
        <v>2</v>
      </c>
      <c r="U19" s="180">
        <v>5</v>
      </c>
      <c r="V19" s="119" t="s">
        <v>3772</v>
      </c>
      <c r="W19" s="155"/>
      <c r="X19" s="156">
        <f>背包!B12</f>
        <v>0</v>
      </c>
      <c r="Y19" s="130" t="str">
        <f t="shared" si="4"/>
        <v/>
      </c>
      <c r="Z19" s="155" t="str">
        <f t="shared" si="5"/>
        <v/>
      </c>
      <c r="AB19" s="130"/>
      <c r="AD19" s="156" t="s">
        <v>3773</v>
      </c>
      <c r="AE19" s="250"/>
      <c r="AF19" s="119" t="s">
        <v>3774</v>
      </c>
      <c r="AG19" s="119" t="s">
        <v>3775</v>
      </c>
      <c r="AH19" s="349" t="str">
        <f t="shared" si="3"/>
        <v>易容工具</v>
      </c>
      <c r="AI19" s="352" t="str">
        <f t="array" ref="AI19">INDEX(AH:AH,SMALL(IF($AH$2:$AH$40&lt;&gt;"",ROW($2:$40),41),ROW(AH18)))&amp;""</f>
        <v>易容工具</v>
      </c>
      <c r="AJ19" s="155" t="str">
        <f t="array" ref="AJ19">INDEX(J:J,SMALL(IF($J$3:$J$45&lt;&gt;"",ROW($3:$45),46),ROW(J18)))&amp;""</f>
        <v/>
      </c>
      <c r="AK19" s="157" t="str">
        <f t="array" ref="AK19">INDEX(B:B,SMALL(IF($B$3:$B$177&lt;&gt;"",ROW($3:$177),178),ROW(J18)))&amp;""</f>
        <v>长柄刀</v>
      </c>
      <c r="AL19" s="156">
        <f>主要!Z128</f>
        <v>0</v>
      </c>
      <c r="AM19" s="130" t="str">
        <f t="shared" si="6"/>
        <v/>
      </c>
      <c r="AN19" s="363" t="str">
        <f t="shared" si="7"/>
        <v/>
      </c>
    </row>
    <row r="20" spans="1:40" ht="14.4" customHeight="1" x14ac:dyDescent="0.25">
      <c r="A20" s="1052"/>
      <c r="B20" s="119" t="s">
        <v>3776</v>
      </c>
      <c r="C20" s="119" t="s">
        <v>3777</v>
      </c>
      <c r="D20" s="119" t="s">
        <v>127</v>
      </c>
      <c r="E20" s="354">
        <v>10</v>
      </c>
      <c r="F20" s="119" t="s">
        <v>3778</v>
      </c>
      <c r="G20" s="180">
        <v>0.2</v>
      </c>
      <c r="H20" s="198">
        <f>主要!R14</f>
        <v>-1</v>
      </c>
      <c r="I20" s="1054"/>
      <c r="J20" s="119" t="str">
        <f>IF(AND(COUNTIF(职业数据!AD16:AD18,职业数据!E14),种族数据!V3&lt;&gt;种族数据!A34),"守护链甲衫","")</f>
        <v/>
      </c>
      <c r="K20" s="130">
        <v>13</v>
      </c>
      <c r="L20" s="130"/>
      <c r="M20" s="130">
        <f>M19</f>
        <v>2</v>
      </c>
      <c r="N20" s="130"/>
      <c r="O20" s="130">
        <v>20</v>
      </c>
      <c r="P20" s="130"/>
      <c r="Q20"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20" s="156" t="s">
        <v>3779</v>
      </c>
      <c r="S20" s="115" t="s">
        <v>3780</v>
      </c>
      <c r="T20" s="130">
        <v>1</v>
      </c>
      <c r="U20" s="180">
        <v>4</v>
      </c>
      <c r="V20" s="119" t="s">
        <v>3781</v>
      </c>
      <c r="W20" s="155"/>
      <c r="X20" s="156">
        <f>背包!B13</f>
        <v>0</v>
      </c>
      <c r="Y20" s="130" t="str">
        <f t="shared" si="4"/>
        <v/>
      </c>
      <c r="Z20" s="155" t="str">
        <f t="shared" si="5"/>
        <v/>
      </c>
      <c r="AB20" s="130"/>
      <c r="AD20" s="171" t="s">
        <v>3782</v>
      </c>
      <c r="AE20" s="250"/>
      <c r="AF20" s="119" t="s">
        <v>3783</v>
      </c>
      <c r="AG20" s="119" t="s">
        <v>3784</v>
      </c>
      <c r="AH20" s="349" t="str">
        <f t="shared" si="3"/>
        <v>文书伪造工具</v>
      </c>
      <c r="AI20" s="352" t="str">
        <f t="array" ref="AI20">INDEX(AH:AH,SMALL(IF($AH$2:$AH$40&lt;&gt;"",ROW($2:$40),41),ROW(AH19)))&amp;""</f>
        <v>文书伪造工具</v>
      </c>
      <c r="AJ20" s="155" t="str">
        <f t="array" ref="AJ20">INDEX(J:J,SMALL(IF($J$3:$J$45&lt;&gt;"",ROW($3:$45),46),ROW(J19)))&amp;""</f>
        <v/>
      </c>
      <c r="AK20" s="157" t="str">
        <f t="array" ref="AK20">INDEX(B:B,SMALL(IF($B$3:$B$177&lt;&gt;"",ROW($3:$177),178),ROW(J19)))&amp;""</f>
        <v>巨斧</v>
      </c>
      <c r="AL20" s="156">
        <f>主要!Z117</f>
        <v>0</v>
      </c>
      <c r="AM20" s="130" t="str">
        <f t="shared" si="6"/>
        <v/>
      </c>
      <c r="AN20" s="363" t="str">
        <f t="shared" si="7"/>
        <v/>
      </c>
    </row>
    <row r="21" spans="1:40" ht="14.4" customHeight="1" x14ac:dyDescent="0.25">
      <c r="A21" s="1052"/>
      <c r="B21" s="180" t="str">
        <f>IF(AU$7=2,"剑圣"&amp;B20,IF(AU$7&gt;=1,"专用"&amp;B20,""))</f>
        <v/>
      </c>
      <c r="C21" s="180" t="str">
        <f>C$15</f>
        <v>1D8</v>
      </c>
      <c r="D21" s="180" t="str">
        <f>D20</f>
        <v>钝击</v>
      </c>
      <c r="E21" s="354">
        <f>E20</f>
        <v>10</v>
      </c>
      <c r="F21" s="180" t="str">
        <f>F20</f>
        <v>双手</v>
      </c>
      <c r="G21" s="180"/>
      <c r="H21" s="198">
        <f>H$3</f>
        <v>-1</v>
      </c>
      <c r="I21" s="1054"/>
      <c r="J21" s="119" t="str">
        <f>IF(AND(COUNTIF(职业数据!AD16:AD18,职业数据!E14),种族数据!V3&lt;&gt;种族数据!A34),"渗透链甲衫","")</f>
        <v/>
      </c>
      <c r="K21" s="130">
        <v>13</v>
      </c>
      <c r="L21" s="130"/>
      <c r="M21" s="130">
        <f>M19</f>
        <v>2</v>
      </c>
      <c r="N21" s="130"/>
      <c r="O21" s="130">
        <v>20</v>
      </c>
      <c r="P21" s="130"/>
      <c r="Q21" s="120" t="str">
        <f>Q12</f>
        <v>步行速度增加5尺，你在敏捷（隐匿）检定中具有优势</v>
      </c>
      <c r="R21" s="156" t="s">
        <v>3785</v>
      </c>
      <c r="S21" s="115" t="s">
        <v>3786</v>
      </c>
      <c r="T21" s="130">
        <v>2</v>
      </c>
      <c r="U21" s="180">
        <v>4</v>
      </c>
      <c r="V21" s="180" t="str">
        <f>""</f>
        <v/>
      </c>
      <c r="W21" s="155"/>
      <c r="X21" s="156">
        <f>背包!B14</f>
        <v>0</v>
      </c>
      <c r="Y21" s="130" t="str">
        <f t="shared" si="4"/>
        <v/>
      </c>
      <c r="Z21" s="155" t="str">
        <f t="shared" si="5"/>
        <v/>
      </c>
      <c r="AB21" s="130"/>
      <c r="AE21" s="1052" t="s">
        <v>3787</v>
      </c>
      <c r="AF21" s="119" t="s">
        <v>3788</v>
      </c>
      <c r="AG21" s="119" t="s">
        <v>3789</v>
      </c>
      <c r="AH21" s="349" t="str">
        <f t="shared" si="3"/>
        <v>赌具-骰子</v>
      </c>
      <c r="AI21" s="352" t="str">
        <f t="array" ref="AI21">INDEX(AH:AH,SMALL(IF($AH$2:$AH$40&lt;&gt;"",ROW($2:$40),41),ROW(AH20)))&amp;""</f>
        <v>赌具-骰子</v>
      </c>
      <c r="AJ21" s="155" t="str">
        <f t="array" ref="AJ21">INDEX(J:J,SMALL(IF($J$3:$J$45&lt;&gt;"",ROW($3:$45),46),ROW(J20)))&amp;""</f>
        <v/>
      </c>
      <c r="AK21" s="157" t="str">
        <f t="array" ref="AK21">INDEX(B:B,SMALL(IF($B$3:$B$177&lt;&gt;"",ROW($3:$177),178),ROW(J20)))&amp;""</f>
        <v>巨剑</v>
      </c>
      <c r="AL21" s="123" t="s">
        <v>3790</v>
      </c>
      <c r="AM21" s="175">
        <f>COUNTIF(AN12:AN20,"&gt;1")</f>
        <v>0</v>
      </c>
      <c r="AN21" s="183"/>
    </row>
    <row r="22" spans="1:40" ht="14.4" customHeight="1" x14ac:dyDescent="0.25">
      <c r="A22" s="1052"/>
      <c r="B22" s="119" t="str">
        <f>IF(AU$8=2,"咒剑"&amp;B20,"")</f>
        <v/>
      </c>
      <c r="C22" s="180" t="str">
        <f>C20</f>
        <v>1D8</v>
      </c>
      <c r="D22" s="180" t="str">
        <f>D20</f>
        <v>钝击</v>
      </c>
      <c r="E22" s="354">
        <f>E20</f>
        <v>10</v>
      </c>
      <c r="F22" s="180" t="str">
        <f>F20</f>
        <v>双手</v>
      </c>
      <c r="G22" s="180"/>
      <c r="H22" s="198">
        <f>H$13</f>
        <v>0</v>
      </c>
      <c r="I22" s="1054"/>
      <c r="J22" s="119" t="str">
        <f>IF(OR(种族数据!V3=种族数据!A34,COUNTIF(职业数据!AD16:AD18,职业数据!E14)),"","鳞甲")</f>
        <v>鳞甲</v>
      </c>
      <c r="K22" s="106">
        <v>14</v>
      </c>
      <c r="L22" s="130"/>
      <c r="M22" s="130">
        <f>IF(COUNTIF(专长数据!E2:E7,"中甲大师"),3,2)</f>
        <v>2</v>
      </c>
      <c r="N22" s="106">
        <f>IF(COUNTIF(专长数据!E2:E7,"中甲大师"),0,1)</f>
        <v>1</v>
      </c>
      <c r="O22" s="106">
        <v>45</v>
      </c>
      <c r="P22" s="130">
        <v>50</v>
      </c>
      <c r="Q22" s="120" t="s">
        <v>3791</v>
      </c>
      <c r="R22" s="156" t="s">
        <v>3792</v>
      </c>
      <c r="S22" s="115" t="s">
        <v>3793</v>
      </c>
      <c r="T22" s="130">
        <v>1</v>
      </c>
      <c r="U22" s="180">
        <v>3</v>
      </c>
      <c r="V22" s="180" t="str">
        <f>""</f>
        <v/>
      </c>
      <c r="W22" s="155"/>
      <c r="X22" s="156">
        <f>背包!B16</f>
        <v>0</v>
      </c>
      <c r="Y22" s="130" t="str">
        <f t="shared" si="4"/>
        <v/>
      </c>
      <c r="Z22" s="155" t="str">
        <f t="shared" si="5"/>
        <v/>
      </c>
      <c r="AA22" s="130"/>
      <c r="AB22" s="130"/>
      <c r="AE22" s="1055"/>
      <c r="AF22" s="119" t="s">
        <v>3794</v>
      </c>
      <c r="AG22" s="180" t="str">
        <f>AG21</f>
        <v>历史：你对赌博的掌握包括对它历史的了解，以及与它有关的重要事件或与之相关的历史名人的知识
洞悉：和某人赌上一把是了解他们个性的好方法，可以让你更好地分辨他们的谎言，了解他们的情绪
巧手：想出老千的话，巧手是个很有用的技能，比如你可以棋子换位、掌中藏牌、控制骰点。亦或者，对沉浸于赌局的目标进行扒窃也是不错的选择</v>
      </c>
      <c r="AH22" s="349" t="str">
        <f t="shared" si="3"/>
        <v>赌具-龙棋</v>
      </c>
      <c r="AI22" s="352" t="str">
        <f t="array" ref="AI22">INDEX(AH:AH,SMALL(IF($AH$2:$AH$40&lt;&gt;"",ROW($2:$40),41),ROW(AH21)))&amp;""</f>
        <v>赌具-龙棋</v>
      </c>
      <c r="AJ22" s="155" t="str">
        <f t="array" ref="AJ22">INDEX(J:J,SMALL(IF($J$3:$J$45&lt;&gt;"",ROW($3:$45),46),ROW(J21)))&amp;""</f>
        <v/>
      </c>
      <c r="AK22" s="157" t="str">
        <f t="array" ref="AK22">INDEX(B:B,SMALL(IF($B$3:$B$177&lt;&gt;"",ROW($3:$177),178),ROW(J21)))&amp;""</f>
        <v>戟</v>
      </c>
    </row>
    <row r="23" spans="1:40" ht="14.4" customHeight="1" x14ac:dyDescent="0.25">
      <c r="A23" s="1052"/>
      <c r="B23" s="119" t="str">
        <f>IF(AU$9=1,"匠师"&amp;B20,"")</f>
        <v/>
      </c>
      <c r="C23" s="180" t="str">
        <f>C20</f>
        <v>1D8</v>
      </c>
      <c r="D23" s="180" t="str">
        <f>D20</f>
        <v>钝击</v>
      </c>
      <c r="E23" s="354">
        <f>E20</f>
        <v>10</v>
      </c>
      <c r="F23" s="180" t="str">
        <f>F20</f>
        <v>双手</v>
      </c>
      <c r="G23" s="180"/>
      <c r="H23" s="198">
        <f>H$14</f>
        <v>4</v>
      </c>
      <c r="I23" s="1054"/>
      <c r="J23" s="119" t="str">
        <f>IF(AND(COUNTIF(职业数据!AD16:AD18,职业数据!E14),种族数据!V3&lt;&gt;种族数据!A34),"守护鳞甲","")</f>
        <v/>
      </c>
      <c r="K23" s="130">
        <v>14</v>
      </c>
      <c r="L23" s="130"/>
      <c r="M23" s="130">
        <f>M22</f>
        <v>2</v>
      </c>
      <c r="N23" s="130">
        <f>N22</f>
        <v>1</v>
      </c>
      <c r="O23" s="130">
        <v>45</v>
      </c>
      <c r="P23" s="130"/>
      <c r="Q23"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23" s="156" t="s">
        <v>3795</v>
      </c>
      <c r="S23" s="115" t="s">
        <v>3796</v>
      </c>
      <c r="T23" s="130">
        <v>2</v>
      </c>
      <c r="U23" s="180">
        <v>10</v>
      </c>
      <c r="V23" s="180" t="str">
        <f>""</f>
        <v/>
      </c>
      <c r="W23" s="155"/>
      <c r="X23" s="156">
        <f>背包!B17</f>
        <v>0</v>
      </c>
      <c r="Y23" s="130" t="str">
        <f t="shared" si="4"/>
        <v/>
      </c>
      <c r="Z23" s="155" t="str">
        <f t="shared" si="5"/>
        <v/>
      </c>
      <c r="AA23" s="130"/>
      <c r="AB23" s="130"/>
      <c r="AE23" s="1055"/>
      <c r="AF23" s="119" t="s">
        <v>3797</v>
      </c>
      <c r="AG23" s="180" t="str">
        <f>AG21</f>
        <v>历史：你对赌博的掌握包括对它历史的了解，以及与它有关的重要事件或与之相关的历史名人的知识
洞悉：和某人赌上一把是了解他们个性的好方法，可以让你更好地分辨他们的谎言，了解他们的情绪
巧手：想出老千的话，巧手是个很有用的技能，比如你可以棋子换位、掌中藏牌、控制骰点。亦或者，对沉浸于赌局的目标进行扒窃也是不错的选择</v>
      </c>
      <c r="AH23" s="349" t="str">
        <f t="shared" si="3"/>
        <v>赌具-纸牌</v>
      </c>
      <c r="AI23" s="352" t="str">
        <f t="array" ref="AI23">INDEX(AH:AH,SMALL(IF($AH$2:$AH$40&lt;&gt;"",ROW($2:$40),41),ROW(AH22)))&amp;""</f>
        <v>赌具-纸牌</v>
      </c>
      <c r="AJ23" s="155" t="str">
        <f t="array" ref="AJ23">INDEX(J:J,SMALL(IF($J$3:$J$45&lt;&gt;"",ROW($3:$45),46),ROW(J22)))&amp;""</f>
        <v/>
      </c>
      <c r="AK23" s="157" t="str">
        <f t="array" ref="AK23">INDEX(B:B,SMALL(IF($B$3:$B$177&lt;&gt;"",ROW($3:$177),178),ROW(J22)))&amp;""</f>
        <v>骑枪</v>
      </c>
    </row>
    <row r="24" spans="1:40" ht="14.4" customHeight="1" x14ac:dyDescent="0.25">
      <c r="A24" s="1052"/>
      <c r="B24" s="119" t="s">
        <v>3798</v>
      </c>
      <c r="C24" s="119" t="str">
        <f>"1D"&amp;IF(AU6=1,IF(职业数据!AG7&gt;=17,10,IF(职业数据!AG7&gt;=11,8,6)),6)</f>
        <v>1D6</v>
      </c>
      <c r="D24" s="119" t="s">
        <v>3713</v>
      </c>
      <c r="E24" s="354">
        <v>2</v>
      </c>
      <c r="F24" s="119" t="s">
        <v>3799</v>
      </c>
      <c r="G24" s="180">
        <v>5</v>
      </c>
      <c r="H24" s="198">
        <f>H$3</f>
        <v>-1</v>
      </c>
      <c r="I24" s="1054"/>
      <c r="J24" s="119" t="str">
        <f>IF(AND(COUNTIF(职业数据!AD16:AD18,职业数据!E14),种族数据!V3&lt;&gt;种族数据!A34),"渗透鳞甲","")</f>
        <v/>
      </c>
      <c r="K24" s="130">
        <v>14</v>
      </c>
      <c r="L24" s="130"/>
      <c r="M24" s="130">
        <f>M22</f>
        <v>2</v>
      </c>
      <c r="N24" s="130"/>
      <c r="O24" s="130">
        <v>45</v>
      </c>
      <c r="P24" s="130"/>
      <c r="Q24" s="120" t="str">
        <f>Q9</f>
        <v>步行速度增加5尺</v>
      </c>
      <c r="R24" s="156" t="s">
        <v>3778</v>
      </c>
      <c r="S24" s="115" t="s">
        <v>3800</v>
      </c>
      <c r="T24" s="130">
        <v>5</v>
      </c>
      <c r="U24" s="180">
        <v>3</v>
      </c>
      <c r="V24" s="119" t="s">
        <v>3801</v>
      </c>
      <c r="W24" s="155"/>
      <c r="X24" s="156">
        <f>背包!B18</f>
        <v>0</v>
      </c>
      <c r="Y24" s="130" t="str">
        <f t="shared" si="4"/>
        <v/>
      </c>
      <c r="Z24" s="155" t="str">
        <f t="shared" si="5"/>
        <v/>
      </c>
      <c r="AA24" s="130"/>
      <c r="AB24" s="130"/>
      <c r="AC24" s="130"/>
      <c r="AE24" s="1055"/>
      <c r="AF24" s="119" t="s">
        <v>3802</v>
      </c>
      <c r="AG24" s="180" t="str">
        <f>AG21</f>
        <v>历史：你对赌博的掌握包括对它历史的了解，以及与它有关的重要事件或与之相关的历史名人的知识
洞悉：和某人赌上一把是了解他们个性的好方法，可以让你更好地分辨他们的谎言，了解他们的情绪
巧手：想出老千的话，巧手是个很有用的技能，比如你可以棋子换位、掌中藏牌、控制骰点。亦或者，对沉浸于赌局的目标进行扒窃也是不错的选择</v>
      </c>
      <c r="AH24" s="349" t="str">
        <f t="shared" si="3"/>
        <v>赌具-三龙牌</v>
      </c>
      <c r="AI24" s="352" t="str">
        <f t="array" ref="AI24">INDEX(AH:AH,SMALL(IF($AH$2:$AH$40&lt;&gt;"",ROW($2:$40),41),ROW(AH23)))&amp;""</f>
        <v>赌具-三龙牌</v>
      </c>
      <c r="AJ24" s="155" t="str">
        <f t="array" ref="AJ24">INDEX(J:J,SMALL(IF($J$3:$J$45&lt;&gt;"",ROW($3:$45),46),ROW(J23)))&amp;""</f>
        <v/>
      </c>
      <c r="AK24" s="157" t="str">
        <f t="array" ref="AK24">INDEX(B:B,SMALL(IF($B$3:$B$177&lt;&gt;"",ROW($3:$177),178),ROW(J23)))&amp;""</f>
        <v>长剑</v>
      </c>
    </row>
    <row r="25" spans="1:40" ht="14.4" customHeight="1" x14ac:dyDescent="0.25">
      <c r="A25" s="1052"/>
      <c r="B25" s="180" t="str">
        <f>IF(AU$7=2,"剑圣"&amp;B24,"")</f>
        <v/>
      </c>
      <c r="C25" s="180" t="str">
        <f>C$24</f>
        <v>1D6</v>
      </c>
      <c r="D25" s="180" t="str">
        <f>D24</f>
        <v>挥砍</v>
      </c>
      <c r="E25" s="354">
        <f>E24</f>
        <v>2</v>
      </c>
      <c r="F25" s="180" t="str">
        <f>F24</f>
        <v>轻型，投掷（射程20/60）</v>
      </c>
      <c r="G25" s="180"/>
      <c r="H25" s="198">
        <f>H$3</f>
        <v>-1</v>
      </c>
      <c r="I25" s="1054"/>
      <c r="J25" s="119" t="str">
        <f>IF(OR(种族数据!V3=种族数据!A34,COUNTIF(职业数据!AD16:AD18,职业数据!E14)),"","胸甲")</f>
        <v>胸甲</v>
      </c>
      <c r="K25" s="106">
        <v>14</v>
      </c>
      <c r="L25" s="130"/>
      <c r="M25" s="130">
        <f>IF(COUNTIF(专长数据!E2:E7,"中甲大师"),3,2)</f>
        <v>2</v>
      </c>
      <c r="N25" s="130"/>
      <c r="O25" s="106">
        <v>20</v>
      </c>
      <c r="P25" s="106">
        <v>400</v>
      </c>
      <c r="Q25" s="120" t="s">
        <v>3803</v>
      </c>
      <c r="R25" s="156" t="s">
        <v>3804</v>
      </c>
      <c r="S25" s="115" t="s">
        <v>3805</v>
      </c>
      <c r="T25" s="130">
        <v>25</v>
      </c>
      <c r="U25" s="180">
        <v>1</v>
      </c>
      <c r="V25" s="119" t="s">
        <v>3806</v>
      </c>
      <c r="W25" s="155"/>
      <c r="X25" s="156">
        <f>背包!B19</f>
        <v>0</v>
      </c>
      <c r="Y25" s="130" t="str">
        <f t="shared" si="4"/>
        <v/>
      </c>
      <c r="Z25" s="155" t="str">
        <f t="shared" si="5"/>
        <v/>
      </c>
      <c r="AA25" s="130"/>
      <c r="AB25" s="130"/>
      <c r="AC25" s="130"/>
      <c r="AD25" s="130"/>
      <c r="AE25" s="250"/>
      <c r="AF25" s="119" t="s">
        <v>1538</v>
      </c>
      <c r="AG25" s="119" t="s">
        <v>3807</v>
      </c>
      <c r="AH25" s="349" t="str">
        <f t="shared" si="3"/>
        <v/>
      </c>
      <c r="AI25" s="352" t="str">
        <f t="array" ref="AI25">INDEX(AH:AH,SMALL(IF($AH$2:$AH$40&lt;&gt;"",ROW($2:$40),41),ROW(AH24)))&amp;""</f>
        <v>乐器-风笛</v>
      </c>
      <c r="AJ25" s="155" t="str">
        <f t="array" ref="AJ25">INDEX(J:J,SMALL(IF($J$3:$J$45&lt;&gt;"",ROW($3:$45),46),ROW(J24)))&amp;""</f>
        <v/>
      </c>
      <c r="AK25" s="157" t="str">
        <f t="array" ref="AK25">INDEX(B:B,SMALL(IF($B$3:$B$177&lt;&gt;"",ROW($3:$177),178),ROW(J24)))&amp;""</f>
        <v>巨锤</v>
      </c>
    </row>
    <row r="26" spans="1:40" ht="14.4" customHeight="1" x14ac:dyDescent="0.25">
      <c r="A26" s="1052"/>
      <c r="B26" s="119" t="str">
        <f>IF(AU$8&gt;=1,"咒剑"&amp;B24,"")</f>
        <v/>
      </c>
      <c r="C26" s="180" t="str">
        <f>C$24</f>
        <v>1D6</v>
      </c>
      <c r="D26" s="180" t="str">
        <f>D24</f>
        <v>挥砍</v>
      </c>
      <c r="E26" s="354">
        <f>E24</f>
        <v>2</v>
      </c>
      <c r="F26" s="180" t="str">
        <f>F24</f>
        <v>轻型，投掷（射程20/60）</v>
      </c>
      <c r="G26" s="180"/>
      <c r="H26" s="198">
        <f>H$13</f>
        <v>0</v>
      </c>
      <c r="I26" s="1054"/>
      <c r="J26" s="119" t="str">
        <f>IF(AND(COUNTIF(职业数据!AD16:AD18,职业数据!E14),种族数据!V3&lt;&gt;种族数据!A34),"守护胸甲","")</f>
        <v/>
      </c>
      <c r="K26" s="130">
        <v>14</v>
      </c>
      <c r="L26" s="130"/>
      <c r="M26" s="130">
        <f>M25</f>
        <v>2</v>
      </c>
      <c r="N26" s="130"/>
      <c r="O26" s="130">
        <v>20</v>
      </c>
      <c r="P26" s="130"/>
      <c r="Q26"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26" s="156" t="s">
        <v>3808</v>
      </c>
      <c r="S26" s="115" t="s">
        <v>3809</v>
      </c>
      <c r="T26" s="130">
        <v>25</v>
      </c>
      <c r="U26" s="180">
        <v>1</v>
      </c>
      <c r="V26" s="180" t="str">
        <f>""</f>
        <v/>
      </c>
      <c r="W26" s="155"/>
      <c r="X26" s="156">
        <f>背包!B20</f>
        <v>0</v>
      </c>
      <c r="Y26" s="130" t="str">
        <f t="shared" si="4"/>
        <v/>
      </c>
      <c r="Z26" s="155" t="str">
        <f t="shared" si="5"/>
        <v/>
      </c>
      <c r="AA26" s="130"/>
      <c r="AB26" s="130"/>
      <c r="AC26" s="130"/>
      <c r="AD26" s="130"/>
      <c r="AE26" s="1052" t="s">
        <v>3810</v>
      </c>
      <c r="AF26" s="119" t="s">
        <v>3811</v>
      </c>
      <c r="AG26" s="119" t="s">
        <v>3812</v>
      </c>
      <c r="AH26" s="349" t="str">
        <f t="shared" si="3"/>
        <v>乐器-风笛</v>
      </c>
      <c r="AI26" s="352" t="str">
        <f t="array" ref="AI26">INDEX(AH:AH,SMALL(IF($AH$2:$AH$40&lt;&gt;"",ROW($2:$40),41),ROW(AH25)))&amp;""</f>
        <v>乐器-鼓</v>
      </c>
      <c r="AJ26" s="155" t="str">
        <f t="array" ref="AJ26">INDEX(J:J,SMALL(IF($J$3:$J$45&lt;&gt;"",ROW($3:$45),46),ROW(J25)))&amp;""</f>
        <v/>
      </c>
      <c r="AK26" s="157" t="str">
        <f t="array" ref="AK26">INDEX(B:B,SMALL(IF($B$3:$B$177&lt;&gt;"",ROW($3:$177),178),ROW(J25)))&amp;""</f>
        <v>钉头锤</v>
      </c>
    </row>
    <row r="27" spans="1:40" ht="14.4" customHeight="1" x14ac:dyDescent="0.25">
      <c r="A27" s="1052"/>
      <c r="B27" s="119" t="str">
        <f>IF(AU$9=1,"匠师"&amp;B24,"")</f>
        <v/>
      </c>
      <c r="C27" s="180" t="str">
        <f>C$24</f>
        <v>1D6</v>
      </c>
      <c r="D27" s="180" t="str">
        <f>D24</f>
        <v>挥砍</v>
      </c>
      <c r="E27" s="354">
        <f>E24</f>
        <v>2</v>
      </c>
      <c r="F27" s="180" t="str">
        <f>F24</f>
        <v>轻型，投掷（射程20/60）</v>
      </c>
      <c r="G27" s="180"/>
      <c r="H27" s="198">
        <f>H$14</f>
        <v>4</v>
      </c>
      <c r="I27" s="1054"/>
      <c r="J27" s="119" t="str">
        <f>IF(AND(COUNTIF(职业数据!AD16:AD18,职业数据!E14),种族数据!V3&lt;&gt;种族数据!A34),"渗透胸甲","")</f>
        <v/>
      </c>
      <c r="K27" s="130">
        <v>14</v>
      </c>
      <c r="L27" s="130"/>
      <c r="M27" s="130">
        <f>M25</f>
        <v>2</v>
      </c>
      <c r="N27" s="130"/>
      <c r="O27" s="130">
        <v>20</v>
      </c>
      <c r="P27" s="130"/>
      <c r="Q27" s="120" t="str">
        <f>Q12</f>
        <v>步行速度增加5尺，你在敏捷（隐匿）检定中具有优势</v>
      </c>
      <c r="R27" s="156" t="s">
        <v>3813</v>
      </c>
      <c r="S27" s="115" t="s">
        <v>3814</v>
      </c>
      <c r="T27" s="130">
        <v>5</v>
      </c>
      <c r="U27" s="180">
        <v>25</v>
      </c>
      <c r="V27" s="119" t="s">
        <v>3815</v>
      </c>
      <c r="W27" s="155"/>
      <c r="X27" s="156">
        <f>背包!B21</f>
        <v>0</v>
      </c>
      <c r="Y27" s="130" t="str">
        <f t="shared" si="4"/>
        <v/>
      </c>
      <c r="Z27" s="155" t="str">
        <f t="shared" si="5"/>
        <v/>
      </c>
      <c r="AA27" s="130"/>
      <c r="AB27" s="130"/>
      <c r="AC27" s="130"/>
      <c r="AD27" s="130"/>
      <c r="AE27" s="1055"/>
      <c r="AF27" s="119" t="s">
        <v>3816</v>
      </c>
      <c r="AG27"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27" s="349" t="str">
        <f t="shared" si="3"/>
        <v>乐器-鼓</v>
      </c>
      <c r="AI27" s="352" t="str">
        <f t="array" ref="AI27">INDEX(AH:AH,SMALL(IF($AH$2:$AH$40&lt;&gt;"",ROW($2:$40),41),ROW(AH26)))&amp;""</f>
        <v>乐器-扬琴</v>
      </c>
      <c r="AJ27" s="155" t="str">
        <f t="array" ref="AJ27">INDEX(J:J,SMALL(IF($J$3:$J$45&lt;&gt;"",ROW($3:$45),46),ROW(J26)))&amp;""</f>
        <v/>
      </c>
      <c r="AK27" s="157" t="str">
        <f t="array" ref="AK27">INDEX(B:B,SMALL(IF($B$3:$B$177&lt;&gt;"",ROW($3:$177),178),ROW(J26)))&amp;""</f>
        <v>长矛</v>
      </c>
    </row>
    <row r="28" spans="1:40" ht="14.4" customHeight="1" x14ac:dyDescent="0.25">
      <c r="A28" s="1052"/>
      <c r="B28" s="119" t="s">
        <v>3817</v>
      </c>
      <c r="C28" s="119" t="str">
        <f>C$24</f>
        <v>1D6</v>
      </c>
      <c r="D28" s="119" t="s">
        <v>3704</v>
      </c>
      <c r="E28" s="354">
        <v>2</v>
      </c>
      <c r="F28" s="119" t="s">
        <v>3818</v>
      </c>
      <c r="G28" s="180">
        <v>0.5</v>
      </c>
      <c r="H28" s="198">
        <f>H$3</f>
        <v>-1</v>
      </c>
      <c r="I28" s="1054"/>
      <c r="J28" s="119" t="str">
        <f>IF(OR(种族数据!V3=种族数据!A34,COUNTIF(职业数据!AD16:AD18,职业数据!E14)),"","半身板甲")</f>
        <v>半身板甲</v>
      </c>
      <c r="K28" s="106">
        <v>15</v>
      </c>
      <c r="L28" s="130"/>
      <c r="M28" s="130">
        <f>IF(COUNTIF(专长数据!E2:E7,"中甲大师"),3,2)</f>
        <v>2</v>
      </c>
      <c r="N28" s="106">
        <f>IF(COUNTIF(专长数据!E2:E7,"中甲大师"),0,1)</f>
        <v>1</v>
      </c>
      <c r="O28" s="106">
        <v>40</v>
      </c>
      <c r="P28" s="106">
        <v>750</v>
      </c>
      <c r="Q28" s="120" t="s">
        <v>3819</v>
      </c>
      <c r="R28" s="171" t="s">
        <v>3820</v>
      </c>
      <c r="S28" s="115" t="s">
        <v>3821</v>
      </c>
      <c r="T28" s="130">
        <v>10</v>
      </c>
      <c r="U28" s="180">
        <v>0</v>
      </c>
      <c r="V28" s="180" t="str">
        <f>""</f>
        <v/>
      </c>
      <c r="W28" s="155"/>
      <c r="X28" s="156">
        <f>背包!B22</f>
        <v>0</v>
      </c>
      <c r="Y28" s="130" t="str">
        <f t="shared" si="4"/>
        <v/>
      </c>
      <c r="Z28" s="155" t="str">
        <f t="shared" si="5"/>
        <v/>
      </c>
      <c r="AA28" s="130"/>
      <c r="AB28" s="130"/>
      <c r="AC28" s="130"/>
      <c r="AD28" s="130"/>
      <c r="AE28" s="1055"/>
      <c r="AF28" s="119" t="s">
        <v>3822</v>
      </c>
      <c r="AG28"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28" s="349" t="str">
        <f t="shared" si="3"/>
        <v>乐器-扬琴</v>
      </c>
      <c r="AI28" s="352" t="str">
        <f t="array" ref="AI28">INDEX(AH:AH,SMALL(IF($AH$2:$AH$40&lt;&gt;"",ROW($2:$40),41),ROW(AH27)))&amp;""</f>
        <v>乐器-长笛</v>
      </c>
      <c r="AJ28" s="155" t="str">
        <f t="array" ref="AJ28">INDEX(J:J,SMALL(IF($J$3:$J$45&lt;&gt;"",ROW($3:$45),46),ROW(J27)))&amp;""</f>
        <v/>
      </c>
      <c r="AK28" s="157" t="str">
        <f t="array" ref="AK28">INDEX(B:B,SMALL(IF($B$3:$B$177&lt;&gt;"",ROW($3:$177),178),ROW(J27)))&amp;""</f>
        <v>刺剑</v>
      </c>
    </row>
    <row r="29" spans="1:40" ht="14.4" customHeight="1" x14ac:dyDescent="0.25">
      <c r="A29" s="1052"/>
      <c r="B29" s="180" t="str">
        <f>IF(AU$7=2,"剑圣"&amp;B28,"")</f>
        <v/>
      </c>
      <c r="C29" s="180" t="str">
        <f>C28</f>
        <v>1D6</v>
      </c>
      <c r="D29" s="180" t="str">
        <f>D28</f>
        <v>穿刺</v>
      </c>
      <c r="E29" s="354">
        <f>E28</f>
        <v>2</v>
      </c>
      <c r="F29" s="180" t="str">
        <f>F28</f>
        <v>投掷（射程30/120）</v>
      </c>
      <c r="G29" s="180"/>
      <c r="H29" s="198">
        <f>H$3</f>
        <v>-1</v>
      </c>
      <c r="I29" s="1054"/>
      <c r="J29" s="119" t="str">
        <f>IF(AND(COUNTIF(职业数据!AD16:AD18,职业数据!E14),种族数据!V3&lt;&gt;种族数据!A34),"守护半身板甲","")</f>
        <v/>
      </c>
      <c r="K29" s="130">
        <v>15</v>
      </c>
      <c r="L29" s="130"/>
      <c r="M29" s="130">
        <f>M28</f>
        <v>2</v>
      </c>
      <c r="N29" s="130">
        <f>N28</f>
        <v>1</v>
      </c>
      <c r="O29" s="130">
        <v>40</v>
      </c>
      <c r="P29" s="130"/>
      <c r="Q29"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29" s="133" t="s">
        <v>108</v>
      </c>
      <c r="S29" s="115" t="s">
        <v>3823</v>
      </c>
      <c r="T29" s="130">
        <v>0.02</v>
      </c>
      <c r="U29" s="180">
        <v>0</v>
      </c>
      <c r="V29" s="180" t="str">
        <f>""</f>
        <v/>
      </c>
      <c r="W29" s="155"/>
      <c r="X29" s="156">
        <f>背包!B23</f>
        <v>0</v>
      </c>
      <c r="Y29" s="130" t="str">
        <f t="shared" si="4"/>
        <v/>
      </c>
      <c r="Z29" s="155" t="str">
        <f t="shared" si="5"/>
        <v/>
      </c>
      <c r="AA29" s="130"/>
      <c r="AB29" s="130"/>
      <c r="AC29" s="130"/>
      <c r="AD29" s="130"/>
      <c r="AE29" s="1055"/>
      <c r="AF29" s="119" t="s">
        <v>3824</v>
      </c>
      <c r="AG29"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29" s="349" t="str">
        <f t="shared" si="3"/>
        <v>乐器-长笛</v>
      </c>
      <c r="AI29" s="352" t="str">
        <f t="array" ref="AI29">INDEX(AH:AH,SMALL(IF($AH$2:$AH$40&lt;&gt;"",ROW($2:$40),41),ROW(AH28)))&amp;""</f>
        <v>乐器-鲁特琴</v>
      </c>
      <c r="AJ29" s="155" t="str">
        <f t="array" ref="AJ29">INDEX(J:J,SMALL(IF($J$3:$J$45&lt;&gt;"",ROW($3:$45),46),ROW(J28)))&amp;""</f>
        <v/>
      </c>
      <c r="AK29" s="157" t="str">
        <f t="array" ref="AK29">INDEX(B:B,SMALL(IF($B$3:$B$177&lt;&gt;"",ROW($3:$177),178),ROW(J28)))&amp;""</f>
        <v>弯刀</v>
      </c>
    </row>
    <row r="30" spans="1:40" ht="14.4" customHeight="1" x14ac:dyDescent="0.25">
      <c r="A30" s="1052"/>
      <c r="B30" s="119" t="str">
        <f>IF(AU$8&gt;=1,"咒剑"&amp;B28,"")</f>
        <v/>
      </c>
      <c r="C30" s="180" t="str">
        <f>C28</f>
        <v>1D6</v>
      </c>
      <c r="D30" s="180" t="str">
        <f>D28</f>
        <v>穿刺</v>
      </c>
      <c r="E30" s="354">
        <f>E28</f>
        <v>2</v>
      </c>
      <c r="F30" s="180" t="str">
        <f>F28</f>
        <v>投掷（射程30/120）</v>
      </c>
      <c r="G30" s="180"/>
      <c r="H30" s="198">
        <f>H$13</f>
        <v>0</v>
      </c>
      <c r="I30" s="1054"/>
      <c r="J30" s="119" t="str">
        <f>IF(AND(COUNTIF(职业数据!AD16:AD18,职业数据!E14),种族数据!V3&lt;&gt;种族数据!A34),"渗透半身板甲","")</f>
        <v/>
      </c>
      <c r="K30" s="130">
        <v>15</v>
      </c>
      <c r="L30" s="130"/>
      <c r="M30" s="130">
        <f>M28</f>
        <v>2</v>
      </c>
      <c r="N30" s="130"/>
      <c r="O30" s="130">
        <v>40</v>
      </c>
      <c r="P30" s="130"/>
      <c r="Q30" s="120" t="str">
        <f>Q9</f>
        <v>步行速度增加5尺</v>
      </c>
      <c r="R30" s="364" t="b">
        <v>0</v>
      </c>
      <c r="S30" s="115" t="s">
        <v>3825</v>
      </c>
      <c r="T30" s="130">
        <v>0.1</v>
      </c>
      <c r="U30" s="180">
        <v>25</v>
      </c>
      <c r="V30" s="180" t="str">
        <f>""</f>
        <v/>
      </c>
      <c r="W30" s="155"/>
      <c r="X30" s="156">
        <f>背包!B24</f>
        <v>0</v>
      </c>
      <c r="Y30" s="130" t="str">
        <f t="shared" si="4"/>
        <v/>
      </c>
      <c r="Z30" s="155" t="str">
        <f t="shared" si="5"/>
        <v/>
      </c>
      <c r="AA30" s="130"/>
      <c r="AB30" s="130"/>
      <c r="AC30" s="130"/>
      <c r="AD30" s="130"/>
      <c r="AE30" s="1055"/>
      <c r="AF30" s="119" t="s">
        <v>3826</v>
      </c>
      <c r="AG30"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0" s="349" t="str">
        <f t="shared" si="3"/>
        <v>乐器-鲁特琴</v>
      </c>
      <c r="AI30" s="352" t="str">
        <f t="array" ref="AI30">INDEX(AH:AH,SMALL(IF($AH$2:$AH$40&lt;&gt;"",ROW($2:$40),41),ROW(AH29)))&amp;""</f>
        <v>乐器-里拉琴</v>
      </c>
      <c r="AJ30" s="183" t="str">
        <f t="array" ref="AJ30">INDEX(J:J,SMALL(IF($J$3:$J$45&lt;&gt;"",ROW($3:$45),46),ROW(J29)))&amp;""</f>
        <v/>
      </c>
      <c r="AK30" s="157" t="str">
        <f t="array" ref="AK30">INDEX(B:B,SMALL(IF($B$3:$B$177&lt;&gt;"",ROW($3:$177),178),ROW(J29)))&amp;""</f>
        <v>短剑</v>
      </c>
    </row>
    <row r="31" spans="1:40" ht="14.4" customHeight="1" x14ac:dyDescent="0.25">
      <c r="A31" s="1052"/>
      <c r="B31" s="119" t="str">
        <f>IF(AU$9=1,"匠师"&amp;B28,"")</f>
        <v/>
      </c>
      <c r="C31" s="180" t="str">
        <f>C28</f>
        <v>1D6</v>
      </c>
      <c r="D31" s="180" t="str">
        <f>D28</f>
        <v>穿刺</v>
      </c>
      <c r="E31" s="354">
        <f>E28</f>
        <v>2</v>
      </c>
      <c r="F31" s="180" t="str">
        <f>F28</f>
        <v>投掷（射程30/120）</v>
      </c>
      <c r="G31" s="180"/>
      <c r="H31" s="198">
        <f>H$14</f>
        <v>4</v>
      </c>
      <c r="I31" s="1054"/>
      <c r="J31" s="180" t="str">
        <f>IF(OR(种族数据!V3=种族数据!A34,COUNTIF(职业数据!AD16:AD18,职业数据!E14),综合数据!B5=FALSE),"","钉刺甲")</f>
        <v>钉刺甲</v>
      </c>
      <c r="K31" s="130">
        <v>14</v>
      </c>
      <c r="L31" s="130"/>
      <c r="M31" s="130">
        <f>IF(COUNTIF(专长数据!E2:E7,"中甲大师"),3,2)</f>
        <v>2</v>
      </c>
      <c r="N31" s="130">
        <f>IF(COUNTIF(专长数据!E2:E7,"中甲大师"),0,1)</f>
        <v>1</v>
      </c>
      <c r="O31" s="130">
        <v>45</v>
      </c>
      <c r="P31" s="130">
        <v>75</v>
      </c>
      <c r="Q31" s="116" t="s">
        <v>3827</v>
      </c>
      <c r="R31" s="364" t="b">
        <v>0</v>
      </c>
      <c r="S31" s="115" t="s">
        <v>1467</v>
      </c>
      <c r="T31" s="130">
        <v>0.5</v>
      </c>
      <c r="U31" s="180">
        <v>1</v>
      </c>
      <c r="V31" s="119" t="s">
        <v>3828</v>
      </c>
      <c r="W31" s="155"/>
      <c r="X31" s="156">
        <f>背包!B25</f>
        <v>0</v>
      </c>
      <c r="Y31" s="130" t="str">
        <f t="shared" si="4"/>
        <v/>
      </c>
      <c r="Z31" s="155" t="str">
        <f t="shared" si="5"/>
        <v/>
      </c>
      <c r="AA31" s="130"/>
      <c r="AB31" s="130"/>
      <c r="AC31" s="130"/>
      <c r="AD31" s="130"/>
      <c r="AE31" s="1055"/>
      <c r="AF31" s="119" t="s">
        <v>3829</v>
      </c>
      <c r="AG31"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1" s="349" t="str">
        <f t="shared" si="3"/>
        <v>乐器-里拉琴</v>
      </c>
      <c r="AI31" s="352" t="str">
        <f t="array" ref="AI31">INDEX(AH:AH,SMALL(IF($AH$2:$AH$40&lt;&gt;"",ROW($2:$40),41),ROW(AH30)))&amp;""</f>
        <v>乐器-角号</v>
      </c>
      <c r="AJ31" s="130"/>
      <c r="AK31" s="157" t="str">
        <f t="array" ref="AK31">INDEX(B:B,SMALL(IF($B$3:$B$177&lt;&gt;"",ROW($3:$177),178),ROW(J30)))&amp;""</f>
        <v>三叉戟</v>
      </c>
    </row>
    <row r="32" spans="1:40" ht="14.4" customHeight="1" x14ac:dyDescent="0.25">
      <c r="A32" s="1052"/>
      <c r="B32" s="119" t="s">
        <v>3830</v>
      </c>
      <c r="C32" s="119" t="str">
        <f>C$11</f>
        <v>1D4</v>
      </c>
      <c r="D32" s="119" t="s">
        <v>127</v>
      </c>
      <c r="E32" s="354">
        <v>2</v>
      </c>
      <c r="F32" s="119" t="s">
        <v>3799</v>
      </c>
      <c r="G32" s="180">
        <v>2</v>
      </c>
      <c r="H32" s="198">
        <f>H$3</f>
        <v>-1</v>
      </c>
      <c r="I32" s="1054"/>
      <c r="J32" s="180" t="str">
        <f>IF(综合数据!B5=FALSE,"",IF(AND(COUNTIF(职业数据!AD16:AD18,职业数据!E14),种族数据!V3&lt;&gt;种族数据!A34),"守护钉刺甲",""))</f>
        <v/>
      </c>
      <c r="K32" s="130">
        <v>14</v>
      </c>
      <c r="L32" s="130"/>
      <c r="M32" s="130">
        <f>M31</f>
        <v>2</v>
      </c>
      <c r="N32" s="130">
        <f>N31</f>
        <v>1</v>
      </c>
      <c r="O32" s="130">
        <v>45</v>
      </c>
      <c r="P32" s="130"/>
      <c r="Q32"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32" s="364" t="b">
        <v>0</v>
      </c>
      <c r="S32" s="115" t="s">
        <v>3831</v>
      </c>
      <c r="T32" s="130">
        <v>10</v>
      </c>
      <c r="U32" s="180">
        <v>2</v>
      </c>
      <c r="V32" s="119" t="s">
        <v>3832</v>
      </c>
      <c r="W32" s="155"/>
      <c r="X32" s="115" t="str">
        <f>背包!Y3</f>
        <v>小包</v>
      </c>
      <c r="Y32" s="130">
        <f>IFERROR(VLOOKUP(X32,S:W,5,0),"")</f>
        <v>6</v>
      </c>
      <c r="Z32" s="155">
        <f>IFERROR(VLOOKUP(X32,S:U,3,0),0)</f>
        <v>1</v>
      </c>
      <c r="AA32" s="130"/>
      <c r="AB32" s="130"/>
      <c r="AC32" s="130"/>
      <c r="AD32" s="130"/>
      <c r="AE32" s="1055"/>
      <c r="AF32" s="119" t="s">
        <v>3833</v>
      </c>
      <c r="AG32"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2" s="349" t="str">
        <f t="shared" si="3"/>
        <v>乐器-角号</v>
      </c>
      <c r="AI32" s="352" t="str">
        <f t="array" ref="AI32">INDEX(AH:AH,SMALL(IF($AH$2:$AH$40&lt;&gt;"",ROW($2:$40),41),ROW(AH31)))&amp;""</f>
        <v>乐器-排箫</v>
      </c>
      <c r="AJ32" s="130"/>
      <c r="AK32" s="157" t="str">
        <f t="array" ref="AK32">INDEX(B:B,SMALL(IF($B$3:$B$177&lt;&gt;"",ROW($3:$177),178),ROW(J31)))&amp;""</f>
        <v>战镐</v>
      </c>
    </row>
    <row r="33" spans="1:37" ht="14.4" customHeight="1" x14ac:dyDescent="0.25">
      <c r="A33" s="1052"/>
      <c r="B33" s="180" t="str">
        <f>IF(AU$7=2,"剑圣"&amp;B32,"")</f>
        <v/>
      </c>
      <c r="C33" s="180" t="str">
        <f>C32</f>
        <v>1D4</v>
      </c>
      <c r="D33" s="180" t="str">
        <f>D32</f>
        <v>钝击</v>
      </c>
      <c r="E33" s="354">
        <f>E32</f>
        <v>2</v>
      </c>
      <c r="F33" s="180" t="str">
        <f>F32</f>
        <v>轻型，投掷（射程20/60）</v>
      </c>
      <c r="G33" s="180"/>
      <c r="H33" s="198">
        <f>H$3</f>
        <v>-1</v>
      </c>
      <c r="I33" s="1054"/>
      <c r="J33" s="119" t="str">
        <f>IF(综合数据!B5=FALSE,"",IF(AND(COUNTIF(职业数据!AD16:AD18,职业数据!E14),种族数据!V3&lt;&gt;种族数据!A34),"渗透钉刺甲",""))</f>
        <v/>
      </c>
      <c r="K33" s="130">
        <v>14</v>
      </c>
      <c r="L33" s="130"/>
      <c r="M33" s="130">
        <f>M31</f>
        <v>2</v>
      </c>
      <c r="N33" s="130"/>
      <c r="O33" s="130">
        <v>45</v>
      </c>
      <c r="P33" s="130"/>
      <c r="Q33" s="120" t="str">
        <f>Q9</f>
        <v>步行速度增加5尺</v>
      </c>
      <c r="R33" s="364" t="b">
        <v>0</v>
      </c>
      <c r="S33" s="115" t="s">
        <v>3834</v>
      </c>
      <c r="T33" s="130">
        <v>5</v>
      </c>
      <c r="U33" s="180">
        <v>2</v>
      </c>
      <c r="V33" s="119" t="s">
        <v>3835</v>
      </c>
      <c r="W33" s="155"/>
      <c r="X33" s="156">
        <f>背包!Y5</f>
        <v>0</v>
      </c>
      <c r="Y33" s="130" t="str">
        <f t="shared" ref="Y33:Y52" si="8">IFERROR(VLOOKUP(X33,S:V,4,0),"")</f>
        <v/>
      </c>
      <c r="Z33" s="155" t="str">
        <f t="shared" ref="Z33:Z52" si="9">IFERROR(VLOOKUP(X33,S:U,3,0),"")</f>
        <v/>
      </c>
      <c r="AE33" s="1055"/>
      <c r="AF33" s="119" t="s">
        <v>3836</v>
      </c>
      <c r="AG33"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3" s="349" t="str">
        <f t="shared" si="3"/>
        <v>乐器-排箫</v>
      </c>
      <c r="AI33" s="352" t="str">
        <f t="array" ref="AI33">INDEX(AH:AH,SMALL(IF($AH$2:$AH$40&lt;&gt;"",ROW($2:$40),41),ROW(AH32)))&amp;""</f>
        <v>乐器-芦笛</v>
      </c>
      <c r="AJ33" s="130"/>
      <c r="AK33" s="157" t="str">
        <f t="array" ref="AK33">INDEX(B:B,SMALL(IF($B$3:$B$177&lt;&gt;"",ROW($3:$177),178),ROW(J32)))&amp;""</f>
        <v>战锤</v>
      </c>
    </row>
    <row r="34" spans="1:37" ht="14.4" customHeight="1" x14ac:dyDescent="0.25">
      <c r="A34" s="1052"/>
      <c r="B34" s="119" t="str">
        <f>IF(AU$8&gt;=1,"咒剑"&amp;B32,"")</f>
        <v/>
      </c>
      <c r="C34" s="180" t="str">
        <f>C32</f>
        <v>1D4</v>
      </c>
      <c r="D34" s="180" t="str">
        <f>D32</f>
        <v>钝击</v>
      </c>
      <c r="E34" s="354">
        <f>E32</f>
        <v>2</v>
      </c>
      <c r="F34" s="180" t="str">
        <f>F32</f>
        <v>轻型，投掷（射程20/60）</v>
      </c>
      <c r="G34" s="180"/>
      <c r="H34" s="198">
        <f>H$13</f>
        <v>0</v>
      </c>
      <c r="I34" s="1054" t="s">
        <v>3670</v>
      </c>
      <c r="J34" s="119" t="str">
        <f>IF(OR(种族数据!V3=种族数据!A34,COUNTIF(职业数据!AD16:AD18,职业数据!E14)),"","环甲")</f>
        <v>环甲</v>
      </c>
      <c r="K34" s="106">
        <v>14</v>
      </c>
      <c r="L34" s="130"/>
      <c r="M34" s="130">
        <v>0</v>
      </c>
      <c r="N34" s="130">
        <v>1</v>
      </c>
      <c r="O34" s="106">
        <v>40</v>
      </c>
      <c r="P34" s="106">
        <v>30</v>
      </c>
      <c r="Q34" s="120" t="s">
        <v>3837</v>
      </c>
      <c r="R34" s="364" t="b">
        <v>0</v>
      </c>
      <c r="S34" s="115" t="s">
        <v>3838</v>
      </c>
      <c r="T34" s="130">
        <v>10</v>
      </c>
      <c r="U34" s="180">
        <v>1</v>
      </c>
      <c r="V34" s="119" t="s">
        <v>3839</v>
      </c>
      <c r="W34" s="155"/>
      <c r="X34" s="156">
        <f>背包!Y6</f>
        <v>0</v>
      </c>
      <c r="Y34" s="130" t="str">
        <f t="shared" si="8"/>
        <v/>
      </c>
      <c r="Z34" s="155" t="str">
        <f t="shared" si="9"/>
        <v/>
      </c>
      <c r="AE34" s="1055"/>
      <c r="AF34" s="119" t="s">
        <v>3840</v>
      </c>
      <c r="AG34"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4" s="349" t="str">
        <f t="shared" si="3"/>
        <v>乐器-芦笛</v>
      </c>
      <c r="AI34" s="352" t="str">
        <f t="array" ref="AI34">INDEX(AH:AH,SMALL(IF($AH$2:$AH$40&lt;&gt;"",ROW($2:$40),41),ROW(AH33)))&amp;""</f>
        <v>乐器-提琴</v>
      </c>
      <c r="AJ34" s="130"/>
      <c r="AK34" s="157" t="str">
        <f t="array" ref="AK34">INDEX(B:B,SMALL(IF($B$3:$B$177&lt;&gt;"",ROW($3:$177),178),ROW(J33)))&amp;""</f>
        <v>鞭</v>
      </c>
    </row>
    <row r="35" spans="1:37" ht="14.4" customHeight="1" x14ac:dyDescent="0.25">
      <c r="A35" s="1052"/>
      <c r="B35" s="119" t="str">
        <f>IF(AU$9=1,"匠师"&amp;B32,"")</f>
        <v/>
      </c>
      <c r="C35" s="180" t="str">
        <f>C32</f>
        <v>1D4</v>
      </c>
      <c r="D35" s="180" t="str">
        <f>D32</f>
        <v>钝击</v>
      </c>
      <c r="E35" s="354">
        <f>E32</f>
        <v>2</v>
      </c>
      <c r="F35" s="180" t="str">
        <f>F32</f>
        <v>轻型，投掷（射程20/60）</v>
      </c>
      <c r="G35" s="180"/>
      <c r="H35" s="198">
        <f>H$14</f>
        <v>4</v>
      </c>
      <c r="I35" s="1054"/>
      <c r="J35" s="119" t="str">
        <f>IF(AND(COUNTIF(职业数据!AD16:AD18,职业数据!E14),种族数据!V3&lt;&gt;种族数据!A34),"守护环甲","")</f>
        <v/>
      </c>
      <c r="K35" s="130">
        <v>14</v>
      </c>
      <c r="L35" s="130"/>
      <c r="M35" s="130">
        <v>0</v>
      </c>
      <c r="N35" s="130">
        <v>1</v>
      </c>
      <c r="O35" s="130">
        <v>40</v>
      </c>
      <c r="P35" s="130"/>
      <c r="Q35"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35" s="364" t="b">
        <v>0</v>
      </c>
      <c r="S35" s="115" t="s">
        <v>3841</v>
      </c>
      <c r="T35" s="130">
        <v>100</v>
      </c>
      <c r="U35" s="180">
        <v>0</v>
      </c>
      <c r="V35" s="119" t="s">
        <v>3842</v>
      </c>
      <c r="W35" s="155"/>
      <c r="X35" s="156">
        <f>背包!Y7</f>
        <v>0</v>
      </c>
      <c r="Y35" s="130" t="str">
        <f t="shared" si="8"/>
        <v/>
      </c>
      <c r="Z35" s="155" t="str">
        <f t="shared" si="9"/>
        <v/>
      </c>
      <c r="AE35" s="1055"/>
      <c r="AF35" s="119" t="s">
        <v>3843</v>
      </c>
      <c r="AG35" s="180" t="str">
        <f>AG26</f>
        <v>你熟悉演奏它的技巧。你也知道一些该乐器的经典曲目
历史：你的专长帮助你回忆与乐器有关的知识
表演：当你把乐器融入表演时，你的表演会更有张力
作曲：作为长休的一部分，你可以为你的乐器谱写一首新曲子和歌词。你可能会借此给一位贵族留下深刻印象，或是在市井中传唱某些故事</v>
      </c>
      <c r="AH35" s="349" t="str">
        <f t="shared" si="3"/>
        <v>乐器-提琴</v>
      </c>
      <c r="AI35" s="352" t="str">
        <f t="array" ref="AI35">INDEX(AH:AH,SMALL(IF($AH$2:$AH$40&lt;&gt;"",ROW($2:$40),41),ROW(AH34)))&amp;""</f>
        <v>领航工具</v>
      </c>
      <c r="AJ35" s="130"/>
      <c r="AK35" s="157" t="str">
        <f t="array" ref="AK35">INDEX(B:B,SMALL(IF($B$3:$B$177&lt;&gt;"",ROW($3:$177),178),ROW(J34)))&amp;""</f>
        <v>吹箭筒</v>
      </c>
    </row>
    <row r="36" spans="1:37" ht="14.4" customHeight="1" x14ac:dyDescent="0.25">
      <c r="A36" s="1052"/>
      <c r="B36" s="119" t="s">
        <v>3844</v>
      </c>
      <c r="C36" s="119" t="str">
        <f>C$24</f>
        <v>1D6</v>
      </c>
      <c r="D36" s="119" t="s">
        <v>127</v>
      </c>
      <c r="E36" s="354">
        <v>4</v>
      </c>
      <c r="F36" s="119" t="s">
        <v>3845</v>
      </c>
      <c r="G36" s="180">
        <v>5</v>
      </c>
      <c r="H36" s="198">
        <f>H$3</f>
        <v>-1</v>
      </c>
      <c r="I36" s="1054"/>
      <c r="J36" s="119" t="str">
        <f>IF(AND(COUNTIF(职业数据!AD16:AD18,职业数据!E14),种族数据!V3&lt;&gt;种族数据!A34),"渗透环甲","")</f>
        <v/>
      </c>
      <c r="K36" s="130">
        <v>14</v>
      </c>
      <c r="L36" s="130"/>
      <c r="M36" s="130">
        <v>0</v>
      </c>
      <c r="N36" s="130"/>
      <c r="O36" s="130">
        <v>40</v>
      </c>
      <c r="P36" s="130"/>
      <c r="Q36" s="120" t="str">
        <f>Q9</f>
        <v>步行速度增加5尺</v>
      </c>
      <c r="R36" s="364" t="b">
        <v>0</v>
      </c>
      <c r="S36" s="115" t="s">
        <v>3846</v>
      </c>
      <c r="T36" s="130">
        <v>2</v>
      </c>
      <c r="U36" s="180">
        <v>6</v>
      </c>
      <c r="V36" s="119" t="s">
        <v>3847</v>
      </c>
      <c r="W36" s="155"/>
      <c r="X36" s="156">
        <f>背包!Y8</f>
        <v>0</v>
      </c>
      <c r="Y36" s="130" t="str">
        <f t="shared" si="8"/>
        <v/>
      </c>
      <c r="Z36" s="155" t="str">
        <f t="shared" si="9"/>
        <v/>
      </c>
      <c r="AE36" s="250"/>
      <c r="AF36" s="119" t="s">
        <v>3848</v>
      </c>
      <c r="AG36" s="119" t="s">
        <v>3849</v>
      </c>
      <c r="AH36" s="349" t="str">
        <f t="shared" si="3"/>
        <v>领航工具</v>
      </c>
      <c r="AI36" s="352" t="str">
        <f t="array" ref="AI36">INDEX(AH:AH,SMALL(IF($AH$2:$AH$40&lt;&gt;"",ROW($2:$40),41),ROW(AH35)))&amp;""</f>
        <v>制毒工具</v>
      </c>
      <c r="AJ36" s="130"/>
      <c r="AK36" s="157" t="str">
        <f t="array" ref="AK36">INDEX(B:B,SMALL(IF($B$3:$B$177&lt;&gt;"",ROW($3:$177),178),ROW(J35)))&amp;""</f>
        <v>手弩</v>
      </c>
    </row>
    <row r="37" spans="1:37" ht="14.4" customHeight="1" x14ac:dyDescent="0.25">
      <c r="A37" s="1052"/>
      <c r="B37" s="180" t="str">
        <f>IF(AU$7=2,"剑圣"&amp;B36,"")</f>
        <v/>
      </c>
      <c r="C37" s="180" t="str">
        <f>C36</f>
        <v>1D6</v>
      </c>
      <c r="D37" s="180" t="str">
        <f>D36</f>
        <v>钝击</v>
      </c>
      <c r="E37" s="354">
        <f>E36</f>
        <v>4</v>
      </c>
      <c r="F37" s="180" t="str">
        <f>F36</f>
        <v>-</v>
      </c>
      <c r="G37" s="180"/>
      <c r="H37" s="198">
        <f>H$3</f>
        <v>-1</v>
      </c>
      <c r="I37" s="1054"/>
      <c r="J37" s="119" t="str">
        <f>IF(OR(种族数据!V3=种族数据!A34,COUNTIF(职业数据!AD16:AD18,职业数据!E14)),"","链甲")</f>
        <v>链甲</v>
      </c>
      <c r="K37" s="106">
        <v>16</v>
      </c>
      <c r="L37" s="130">
        <f>IF(主要!F14&gt;=13,0,1)</f>
        <v>1</v>
      </c>
      <c r="M37" s="130">
        <v>0</v>
      </c>
      <c r="N37" s="130">
        <v>1</v>
      </c>
      <c r="O37" s="106">
        <v>55</v>
      </c>
      <c r="P37" s="106">
        <v>75</v>
      </c>
      <c r="Q37" s="120" t="s">
        <v>3850</v>
      </c>
      <c r="R37" s="364" t="b">
        <v>0</v>
      </c>
      <c r="S37" s="115" t="s">
        <v>3851</v>
      </c>
      <c r="T37" s="130">
        <v>0.2</v>
      </c>
      <c r="U37" s="180">
        <v>1</v>
      </c>
      <c r="V37" s="119" t="s">
        <v>3852</v>
      </c>
      <c r="W37" s="155"/>
      <c r="X37" s="156">
        <f>背包!Y9</f>
        <v>0</v>
      </c>
      <c r="Y37" s="130" t="str">
        <f t="shared" si="8"/>
        <v/>
      </c>
      <c r="Z37" s="155" t="str">
        <f t="shared" si="9"/>
        <v/>
      </c>
      <c r="AE37" s="250"/>
      <c r="AF37" s="119" t="s">
        <v>3853</v>
      </c>
      <c r="AG37" s="119" t="s">
        <v>3854</v>
      </c>
      <c r="AH37" s="349" t="str">
        <f t="shared" si="3"/>
        <v>制毒工具</v>
      </c>
      <c r="AI37" s="352" t="str">
        <f t="array" ref="AI37">INDEX(AH:AH,SMALL(IF($AH$2:$AH$40&lt;&gt;"",ROW($2:$40),41),ROW(AH36)))&amp;""</f>
        <v>盗贼工具</v>
      </c>
      <c r="AJ37" s="130"/>
      <c r="AK37" s="157" t="str">
        <f t="array" ref="AK37">INDEX(B:B,SMALL(IF($B$3:$B$177&lt;&gt;"",ROW($3:$177),178),ROW(J36)))&amp;""</f>
        <v>重弩</v>
      </c>
    </row>
    <row r="38" spans="1:37" ht="14.4" customHeight="1" x14ac:dyDescent="0.25">
      <c r="A38" s="1052"/>
      <c r="B38" s="119" t="str">
        <f>IF(AU$8&gt;=1,"咒剑"&amp;B36,"")</f>
        <v/>
      </c>
      <c r="C38" s="180" t="str">
        <f>C36</f>
        <v>1D6</v>
      </c>
      <c r="D38" s="180" t="str">
        <f>D36</f>
        <v>钝击</v>
      </c>
      <c r="E38" s="354">
        <f>E36</f>
        <v>4</v>
      </c>
      <c r="F38" s="180" t="str">
        <f>F36</f>
        <v>-</v>
      </c>
      <c r="G38" s="180"/>
      <c r="H38" s="198">
        <f>H$13</f>
        <v>0</v>
      </c>
      <c r="I38" s="1054"/>
      <c r="J38" s="119" t="str">
        <f>IF(AND(COUNTIF(职业数据!AD16:AD18,职业数据!E14),种族数据!V3&lt;&gt;种族数据!A34),"守护链甲","")</f>
        <v/>
      </c>
      <c r="K38" s="130">
        <v>16</v>
      </c>
      <c r="L38" s="130"/>
      <c r="M38" s="130">
        <v>0</v>
      </c>
      <c r="N38" s="130">
        <v>1</v>
      </c>
      <c r="O38" s="130">
        <v>55</v>
      </c>
      <c r="P38" s="130"/>
      <c r="Q38"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38" s="364" t="b">
        <v>0</v>
      </c>
      <c r="S38" s="115" t="s">
        <v>3855</v>
      </c>
      <c r="T38" s="130">
        <v>5</v>
      </c>
      <c r="U38" s="180">
        <v>0.5</v>
      </c>
      <c r="V38" s="180" t="str">
        <f>""</f>
        <v/>
      </c>
      <c r="W38" s="155"/>
      <c r="X38" s="156">
        <f>背包!Y10</f>
        <v>0</v>
      </c>
      <c r="Y38" s="130" t="str">
        <f t="shared" si="8"/>
        <v/>
      </c>
      <c r="Z38" s="155" t="str">
        <f t="shared" si="9"/>
        <v/>
      </c>
      <c r="AE38" s="250"/>
      <c r="AF38" s="119" t="s">
        <v>3856</v>
      </c>
      <c r="AG38" s="119" t="s">
        <v>3857</v>
      </c>
      <c r="AH38" s="349" t="str">
        <f t="shared" si="3"/>
        <v>盗贼工具</v>
      </c>
      <c r="AI38" s="352" t="str">
        <f t="array" ref="AI38">INDEX(AH:AH,SMALL(IF($AH$2:$AH$40&lt;&gt;"",ROW($2:$40),41),ROW(AH37)))&amp;""</f>
        <v>载具（水运）</v>
      </c>
      <c r="AK38" s="157" t="str">
        <f t="array" ref="AK38">INDEX(B:B,SMALL(IF($B$3:$B$177&lt;&gt;"",ROW($3:$177),178),ROW(J37)))&amp;""</f>
        <v>长弓</v>
      </c>
    </row>
    <row r="39" spans="1:37" ht="14.4" customHeight="1" x14ac:dyDescent="0.25">
      <c r="A39" s="1052"/>
      <c r="B39" s="119" t="str">
        <f>IF(AU$9=1,"匠师"&amp;B36,"")</f>
        <v/>
      </c>
      <c r="C39" s="180" t="str">
        <f>C36</f>
        <v>1D6</v>
      </c>
      <c r="D39" s="180" t="str">
        <f>D36</f>
        <v>钝击</v>
      </c>
      <c r="E39" s="354">
        <f>E36</f>
        <v>4</v>
      </c>
      <c r="F39" s="180" t="str">
        <f>F36</f>
        <v>-</v>
      </c>
      <c r="G39" s="180"/>
      <c r="H39" s="198">
        <f>H$14</f>
        <v>4</v>
      </c>
      <c r="I39" s="1054"/>
      <c r="J39" s="119" t="str">
        <f>IF(AND(COUNTIF(职业数据!AD16:AD18,职业数据!E14),种族数据!V3&lt;&gt;种族数据!A34),"渗透链甲","")</f>
        <v/>
      </c>
      <c r="K39" s="130">
        <v>16</v>
      </c>
      <c r="L39" s="130"/>
      <c r="M39" s="130">
        <v>0</v>
      </c>
      <c r="N39" s="130"/>
      <c r="O39" s="130">
        <v>55</v>
      </c>
      <c r="P39" s="130"/>
      <c r="Q39" s="120" t="str">
        <f>Q9</f>
        <v>步行速度增加5尺</v>
      </c>
      <c r="R39" s="364" t="b">
        <v>0</v>
      </c>
      <c r="S39" s="115" t="s">
        <v>3858</v>
      </c>
      <c r="T39" s="130">
        <v>0.1</v>
      </c>
      <c r="U39" s="180">
        <v>1</v>
      </c>
      <c r="V39" s="119" t="s">
        <v>3859</v>
      </c>
      <c r="W39" s="155"/>
      <c r="X39" s="156">
        <f>背包!Y11</f>
        <v>0</v>
      </c>
      <c r="Y39" s="130" t="str">
        <f t="shared" si="8"/>
        <v/>
      </c>
      <c r="Z39" s="155" t="str">
        <f t="shared" si="9"/>
        <v/>
      </c>
      <c r="AA39" s="180"/>
      <c r="AE39" s="250"/>
      <c r="AF39" s="119" t="s">
        <v>3860</v>
      </c>
      <c r="AG39" s="119" t="s">
        <v>3861</v>
      </c>
      <c r="AH39" s="349" t="str">
        <f t="shared" si="3"/>
        <v>载具（水运）</v>
      </c>
      <c r="AI39" s="352" t="str">
        <f t="array" ref="AI39">INDEX(AH:AH,SMALL(IF($AH$2:$AH$40&lt;&gt;"",ROW($2:$40),41),ROW(AH38)))&amp;""</f>
        <v>载具（陆运）</v>
      </c>
      <c r="AK39" s="157" t="str">
        <f t="array" ref="AK39">INDEX(B:B,SMALL(IF($B$3:$B$177&lt;&gt;"",ROW($3:$177),178),ROW(J38)))&amp;""</f>
        <v>捕网</v>
      </c>
    </row>
    <row r="40" spans="1:37" ht="14.4" customHeight="1" x14ac:dyDescent="0.25">
      <c r="A40" s="1052"/>
      <c r="B40" s="119" t="s">
        <v>3862</v>
      </c>
      <c r="C40" s="119" t="str">
        <f>C$24</f>
        <v>1D6</v>
      </c>
      <c r="D40" s="119" t="s">
        <v>127</v>
      </c>
      <c r="E40" s="354">
        <v>4</v>
      </c>
      <c r="F40" s="119" t="s">
        <v>3863</v>
      </c>
      <c r="G40" s="180">
        <v>0.2</v>
      </c>
      <c r="H40" s="198">
        <f>H$3</f>
        <v>-1</v>
      </c>
      <c r="I40" s="1054"/>
      <c r="J40" s="119" t="str">
        <f>IF(OR(种族数据!V3=种族数据!A34,COUNTIF(职业数据!AD16:AD18,职业数据!E14)),"","板条甲")</f>
        <v>板条甲</v>
      </c>
      <c r="K40" s="106">
        <v>17</v>
      </c>
      <c r="L40" s="130">
        <f>IF(主要!F14&gt;=15,0,1)</f>
        <v>1</v>
      </c>
      <c r="M40" s="130">
        <v>0</v>
      </c>
      <c r="N40" s="130">
        <v>1</v>
      </c>
      <c r="O40" s="106">
        <v>60</v>
      </c>
      <c r="P40" s="106">
        <v>200</v>
      </c>
      <c r="Q40" s="120" t="s">
        <v>3864</v>
      </c>
      <c r="R40" s="364" t="b">
        <v>0</v>
      </c>
      <c r="S40" s="115" t="s">
        <v>3865</v>
      </c>
      <c r="T40" s="130">
        <v>0.2</v>
      </c>
      <c r="U40" s="180">
        <v>0</v>
      </c>
      <c r="V40" s="180" t="str">
        <f>""</f>
        <v/>
      </c>
      <c r="W40" s="155"/>
      <c r="X40" s="156">
        <f>背包!Y12</f>
        <v>0</v>
      </c>
      <c r="Y40" s="130" t="str">
        <f t="shared" si="8"/>
        <v/>
      </c>
      <c r="Z40" s="155" t="str">
        <f t="shared" si="9"/>
        <v/>
      </c>
      <c r="AA40" s="130"/>
      <c r="AB40" s="130"/>
      <c r="AC40" s="130"/>
      <c r="AD40" s="130"/>
      <c r="AE40" s="339"/>
      <c r="AF40" s="129" t="s">
        <v>3866</v>
      </c>
      <c r="AG40" s="129" t="s">
        <v>3867</v>
      </c>
      <c r="AH40" s="365" t="str">
        <f t="shared" si="3"/>
        <v>载具（陆运）</v>
      </c>
      <c r="AI40" s="352" t="str">
        <f t="array" ref="AI40">INDEX(AH:AH,SMALL(IF($AH$2:$AH$40&lt;&gt;"",ROW($2:$40),41),ROW(AH39)))&amp;""</f>
        <v/>
      </c>
      <c r="AK40" s="157" t="str">
        <f t="array" ref="AK40">INDEX(B:B,SMALL(IF($B$3:$B$177&lt;&gt;"",ROW($3:$177),178),ROW(J39)))&amp;""</f>
        <v>手枪</v>
      </c>
    </row>
    <row r="41" spans="1:37" ht="14.4" customHeight="1" x14ac:dyDescent="0.25">
      <c r="A41" s="1052"/>
      <c r="B41" s="180" t="str">
        <f>IF(AU$7=2,"剑圣"&amp;B40,"")</f>
        <v/>
      </c>
      <c r="C41" s="180" t="str">
        <f>C40</f>
        <v>1D6</v>
      </c>
      <c r="D41" s="180" t="str">
        <f>D40</f>
        <v>钝击</v>
      </c>
      <c r="E41" s="354">
        <f>E40</f>
        <v>4</v>
      </c>
      <c r="F41" s="180" t="str">
        <f>F40</f>
        <v>两用（1d8）</v>
      </c>
      <c r="G41" s="180"/>
      <c r="H41" s="198">
        <f>H$3</f>
        <v>-1</v>
      </c>
      <c r="I41" s="1054"/>
      <c r="J41" s="119" t="str">
        <f>IF(AND(COUNTIF(职业数据!AD16:AD18,职业数据!E14),种族数据!V3&lt;&gt;种族数据!A34),"守护板条甲","")</f>
        <v/>
      </c>
      <c r="K41" s="130">
        <v>17</v>
      </c>
      <c r="L41" s="130"/>
      <c r="M41" s="130">
        <v>0</v>
      </c>
      <c r="N41" s="130">
        <v>1</v>
      </c>
      <c r="O41" s="130">
        <v>60</v>
      </c>
      <c r="P41" s="130"/>
      <c r="Q41"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41" s="364" t="b">
        <v>0</v>
      </c>
      <c r="S41" s="115" t="s">
        <v>3868</v>
      </c>
      <c r="T41" s="130">
        <v>0.1</v>
      </c>
      <c r="U41" s="180">
        <v>0</v>
      </c>
      <c r="V41" s="180" t="str">
        <f>""</f>
        <v/>
      </c>
      <c r="W41" s="155"/>
      <c r="X41" s="156">
        <f>背包!Y13</f>
        <v>0</v>
      </c>
      <c r="Y41" s="130" t="str">
        <f t="shared" si="8"/>
        <v/>
      </c>
      <c r="Z41" s="155" t="str">
        <f t="shared" si="9"/>
        <v/>
      </c>
      <c r="AA41" s="130"/>
      <c r="AB41" s="130"/>
      <c r="AC41" s="130"/>
      <c r="AD41" s="130"/>
      <c r="AK41" s="157" t="str">
        <f t="array" ref="AK41">INDEX(B:B,SMALL(IF($B$3:$B$177&lt;&gt;"",ROW($3:$177),178),ROW(J40)))&amp;""</f>
        <v>滑膛枪</v>
      </c>
    </row>
    <row r="42" spans="1:37" ht="14.4" customHeight="1" x14ac:dyDescent="0.25">
      <c r="A42" s="1052"/>
      <c r="B42" s="119" t="str">
        <f>IF(AU$8&gt;=1,"咒剑"&amp;B40,"")</f>
        <v/>
      </c>
      <c r="C42" s="180" t="str">
        <f>C40</f>
        <v>1D6</v>
      </c>
      <c r="D42" s="180" t="str">
        <f>D40</f>
        <v>钝击</v>
      </c>
      <c r="E42" s="354">
        <f>E40</f>
        <v>4</v>
      </c>
      <c r="F42" s="180" t="str">
        <f>F40</f>
        <v>两用（1d8）</v>
      </c>
      <c r="G42" s="180"/>
      <c r="H42" s="198">
        <f>H$13</f>
        <v>0</v>
      </c>
      <c r="I42" s="1054"/>
      <c r="J42" s="119" t="str">
        <f>IF(AND(COUNTIF(职业数据!AD16:AD18,职业数据!E14),种族数据!V3&lt;&gt;种族数据!A34),"渗透板条甲","")</f>
        <v/>
      </c>
      <c r="K42" s="130">
        <v>17</v>
      </c>
      <c r="L42" s="130"/>
      <c r="M42" s="130">
        <v>0</v>
      </c>
      <c r="N42" s="130"/>
      <c r="O42" s="130">
        <v>60</v>
      </c>
      <c r="P42" s="130"/>
      <c r="Q42" s="120" t="str">
        <f>Q9</f>
        <v>步行速度增加5尺</v>
      </c>
      <c r="R42" s="364" t="b">
        <v>0</v>
      </c>
      <c r="S42" s="115" t="s">
        <v>3869</v>
      </c>
      <c r="T42" s="130">
        <v>5</v>
      </c>
      <c r="U42" s="180">
        <v>0</v>
      </c>
      <c r="V42" s="180" t="str">
        <f>""</f>
        <v/>
      </c>
      <c r="W42" s="155"/>
      <c r="X42" s="156">
        <f>背包!Y14</f>
        <v>0</v>
      </c>
      <c r="Y42" s="130" t="str">
        <f t="shared" si="8"/>
        <v/>
      </c>
      <c r="Z42" s="155" t="str">
        <f t="shared" si="9"/>
        <v/>
      </c>
      <c r="AA42" s="130"/>
      <c r="AB42" s="130"/>
      <c r="AC42" s="130"/>
      <c r="AD42" s="130"/>
      <c r="AK42" s="157" t="str">
        <f t="array" ref="AK42">INDEX(B:B,SMALL(IF($B$3:$B$177&lt;&gt;"",ROW($3:$177),178),ROW(J41)))&amp;""</f>
        <v>动力手套</v>
      </c>
    </row>
    <row r="43" spans="1:37" ht="14.4" customHeight="1" x14ac:dyDescent="0.25">
      <c r="A43" s="1052"/>
      <c r="B43" s="119" t="str">
        <f>IF(AU$9=1,"匠师"&amp;B40,"")</f>
        <v/>
      </c>
      <c r="C43" s="180" t="str">
        <f>C40</f>
        <v>1D6</v>
      </c>
      <c r="D43" s="180" t="str">
        <f>D40</f>
        <v>钝击</v>
      </c>
      <c r="E43" s="354">
        <f>E40</f>
        <v>4</v>
      </c>
      <c r="F43" s="180" t="str">
        <f>F40</f>
        <v>两用（1d8）</v>
      </c>
      <c r="G43" s="180"/>
      <c r="H43" s="198">
        <f>H$14</f>
        <v>4</v>
      </c>
      <c r="I43" s="1054"/>
      <c r="J43" s="119" t="str">
        <f>IF(OR(种族数据!V3=种族数据!A34,COUNTIF(职业数据!AD16:AD18,职业数据!E14)),"","板甲")</f>
        <v>板甲</v>
      </c>
      <c r="K43" s="106">
        <v>18</v>
      </c>
      <c r="L43" s="130">
        <f>IF(主要!F14&gt;=15,0,1)</f>
        <v>1</v>
      </c>
      <c r="M43" s="130">
        <v>0</v>
      </c>
      <c r="N43" s="130">
        <v>1</v>
      </c>
      <c r="O43" s="106">
        <v>65</v>
      </c>
      <c r="P43" s="106">
        <v>1500</v>
      </c>
      <c r="Q43" s="120" t="s">
        <v>3870</v>
      </c>
      <c r="R43" s="364" t="b">
        <v>0</v>
      </c>
      <c r="S43" s="115" t="s">
        <v>3871</v>
      </c>
      <c r="T43" s="130">
        <v>2</v>
      </c>
      <c r="U43" s="180">
        <v>10</v>
      </c>
      <c r="V43" s="180" t="str">
        <f>""</f>
        <v/>
      </c>
      <c r="W43" s="155"/>
      <c r="X43" s="156">
        <f>背包!Y16</f>
        <v>0</v>
      </c>
      <c r="Y43" s="130" t="str">
        <f t="shared" si="8"/>
        <v/>
      </c>
      <c r="Z43" s="155" t="str">
        <f t="shared" si="9"/>
        <v/>
      </c>
      <c r="AB43" s="130"/>
      <c r="AC43" s="130"/>
      <c r="AD43" s="130"/>
      <c r="AK43" s="157" t="str">
        <f t="array" ref="AK43">INDEX(B:B,SMALL(IF($B$3:$B$177&lt;&gt;"",ROW($3:$177),178),ROW(J42)))&amp;""</f>
        <v/>
      </c>
    </row>
    <row r="44" spans="1:37" ht="14.4" customHeight="1" x14ac:dyDescent="0.25">
      <c r="A44" s="1052"/>
      <c r="B44" s="180" t="str">
        <f>IF(COUNTIF(法术数据!AK2:AK301,法术数据!B23)&gt;=1,"橡棍"&amp;B40,"")</f>
        <v/>
      </c>
      <c r="C44" s="180" t="str">
        <f>C$15</f>
        <v>1D8</v>
      </c>
      <c r="D44" s="180" t="str">
        <f>D40</f>
        <v>钝击</v>
      </c>
      <c r="E44" s="354">
        <f>E40</f>
        <v>4</v>
      </c>
      <c r="F44" s="180" t="str">
        <f>F40</f>
        <v>两用（1d8）</v>
      </c>
      <c r="G44" s="180"/>
      <c r="H44" s="198">
        <f>H$15</f>
        <v>3</v>
      </c>
      <c r="I44" s="1054"/>
      <c r="J44" s="119" t="str">
        <f>IF(AND(COUNTIF(职业数据!AD16:AD18,职业数据!E14),种族数据!V3&lt;&gt;种族数据!A34),"守护板甲","")</f>
        <v/>
      </c>
      <c r="K44" s="130">
        <v>18</v>
      </c>
      <c r="L44" s="130"/>
      <c r="M44" s="130">
        <v>0</v>
      </c>
      <c r="N44" s="130">
        <v>1</v>
      </c>
      <c r="O44" s="130">
        <v>65</v>
      </c>
      <c r="P44" s="130"/>
      <c r="Q44" s="120" t="str">
        <f>Q8</f>
        <v>在每个你的回合，你能以一个附赠动作获得等于你奇械师职业等级的临时生命值，这会取代你现有的任何临时生命值。如果你脱下装甲，你会失去这些临时生命值。你能执行此附赠动作熟练加值次，在完成一次长休后将恢复所有花费的使用次数</v>
      </c>
      <c r="R44" s="364" t="b">
        <v>0</v>
      </c>
      <c r="S44" s="115" t="s">
        <v>3872</v>
      </c>
      <c r="T44" s="130">
        <v>0.05</v>
      </c>
      <c r="U44" s="180">
        <v>0.25</v>
      </c>
      <c r="V44" s="180" t="str">
        <f>""</f>
        <v/>
      </c>
      <c r="W44" s="155"/>
      <c r="X44" s="156">
        <f>背包!Y17</f>
        <v>0</v>
      </c>
      <c r="Y44" s="130" t="str">
        <f t="shared" si="8"/>
        <v/>
      </c>
      <c r="Z44" s="155" t="str">
        <f t="shared" si="9"/>
        <v/>
      </c>
      <c r="AA44" s="130"/>
      <c r="AB44" s="130"/>
      <c r="AC44" s="130"/>
      <c r="AD44" s="130"/>
      <c r="AK44" s="157" t="str">
        <f t="array" ref="AK44">INDEX(B:B,SMALL(IF($B$3:$B$177&lt;&gt;"",ROW($3:$177),178),ROW(J43)))&amp;""</f>
        <v/>
      </c>
    </row>
    <row r="45" spans="1:37" ht="14.4" customHeight="1" x14ac:dyDescent="0.25">
      <c r="A45" s="1052"/>
      <c r="B45" s="119" t="s">
        <v>3873</v>
      </c>
      <c r="C45" s="119" t="str">
        <f>C$11</f>
        <v>1D4</v>
      </c>
      <c r="D45" s="119" t="s">
        <v>3713</v>
      </c>
      <c r="E45" s="354">
        <v>2</v>
      </c>
      <c r="F45" s="119" t="s">
        <v>3718</v>
      </c>
      <c r="G45" s="180">
        <v>1</v>
      </c>
      <c r="H45" s="198">
        <f>H$3</f>
        <v>-1</v>
      </c>
      <c r="I45" s="1056"/>
      <c r="J45" s="129" t="str">
        <f>IF(AND(COUNTIF(职业数据!AD16:AD18,职业数据!E14),种族数据!V3&lt;&gt;种族数据!A34),"渗透板甲","")</f>
        <v/>
      </c>
      <c r="K45" s="175">
        <v>18</v>
      </c>
      <c r="L45" s="175"/>
      <c r="M45" s="175">
        <v>0</v>
      </c>
      <c r="N45" s="175"/>
      <c r="O45" s="175">
        <v>65</v>
      </c>
      <c r="P45" s="175"/>
      <c r="Q45" s="294" t="str">
        <f>Q9</f>
        <v>步行速度增加5尺</v>
      </c>
      <c r="R45" s="364" t="b">
        <v>0</v>
      </c>
      <c r="S45" s="115" t="s">
        <v>3874</v>
      </c>
      <c r="T45" s="130">
        <v>100</v>
      </c>
      <c r="U45" s="180">
        <v>0</v>
      </c>
      <c r="V45" s="119" t="s">
        <v>3875</v>
      </c>
      <c r="W45" s="155"/>
      <c r="X45" s="156">
        <f>背包!Y18</f>
        <v>0</v>
      </c>
      <c r="Y45" s="130" t="str">
        <f t="shared" si="8"/>
        <v/>
      </c>
      <c r="Z45" s="155" t="str">
        <f t="shared" si="9"/>
        <v/>
      </c>
      <c r="AA45" s="130"/>
      <c r="AB45" s="130"/>
      <c r="AC45" s="130"/>
      <c r="AD45" s="130"/>
      <c r="AK45" s="157" t="str">
        <f t="array" ref="AK45">INDEX(B:B,SMALL(IF($B$3:$B$177&lt;&gt;"",ROW($3:$177),178),ROW(J44)))&amp;""</f>
        <v/>
      </c>
    </row>
    <row r="46" spans="1:37" ht="14.4" customHeight="1" x14ac:dyDescent="0.25">
      <c r="A46" s="1052"/>
      <c r="B46" s="180" t="str">
        <f>IF(AU$7=2,"剑圣"&amp;B45,"")</f>
        <v/>
      </c>
      <c r="C46" s="180" t="str">
        <f>C45</f>
        <v>1D4</v>
      </c>
      <c r="D46" s="180" t="str">
        <f>D45</f>
        <v>挥砍</v>
      </c>
      <c r="E46" s="354">
        <f>E45</f>
        <v>2</v>
      </c>
      <c r="F46" s="180" t="str">
        <f>F45</f>
        <v>轻型</v>
      </c>
      <c r="G46" s="180"/>
      <c r="H46" s="198">
        <f>H$3</f>
        <v>-1</v>
      </c>
      <c r="R46" s="115" t="s">
        <v>3876</v>
      </c>
      <c r="S46" s="115" t="s">
        <v>3877</v>
      </c>
      <c r="T46" s="130">
        <v>0.05</v>
      </c>
      <c r="U46" s="180">
        <v>7</v>
      </c>
      <c r="V46" s="180" t="str">
        <f>""</f>
        <v/>
      </c>
      <c r="W46" s="155"/>
      <c r="X46" s="156">
        <f>背包!Y19</f>
        <v>0</v>
      </c>
      <c r="Y46" s="130" t="str">
        <f t="shared" si="8"/>
        <v/>
      </c>
      <c r="Z46" s="155" t="str">
        <f t="shared" si="9"/>
        <v/>
      </c>
      <c r="AA46" s="119"/>
      <c r="AB46" s="130"/>
      <c r="AC46" s="106"/>
      <c r="AD46" s="130"/>
      <c r="AK46" s="157" t="str">
        <f t="array" ref="AK46">INDEX(B:B,SMALL(IF($B$3:$B$177&lt;&gt;"",ROW($3:$177),178),ROW(J45)))&amp;""</f>
        <v/>
      </c>
    </row>
    <row r="47" spans="1:37" ht="14.4" customHeight="1" x14ac:dyDescent="0.25">
      <c r="A47" s="1052"/>
      <c r="B47" s="119" t="str">
        <f>IF(AU$8&gt;=1,"咒剑"&amp;B45,"")</f>
        <v/>
      </c>
      <c r="C47" s="180" t="str">
        <f>C45</f>
        <v>1D4</v>
      </c>
      <c r="D47" s="180" t="str">
        <f>D45</f>
        <v>挥砍</v>
      </c>
      <c r="E47" s="354">
        <f>E45</f>
        <v>2</v>
      </c>
      <c r="F47" s="180" t="str">
        <f>F45</f>
        <v>轻型</v>
      </c>
      <c r="G47" s="180"/>
      <c r="H47" s="198">
        <f>H$13</f>
        <v>0</v>
      </c>
      <c r="R47" s="171">
        <f>IF(职业数据!AG14&gt;=18,6,IF(职业数据!AG14&gt;=14,5,IF(职业数据!AG14&gt;=10,4,3)))-COUNTIF(装备数据!R30:R45,TRUE)</f>
        <v>3</v>
      </c>
      <c r="S47" s="115" t="s">
        <v>3878</v>
      </c>
      <c r="T47" s="130">
        <v>50</v>
      </c>
      <c r="U47" s="180">
        <v>0.5</v>
      </c>
      <c r="V47" s="119" t="s">
        <v>3879</v>
      </c>
      <c r="W47" s="155"/>
      <c r="X47" s="156">
        <f>背包!Y20</f>
        <v>0</v>
      </c>
      <c r="Y47" s="130" t="str">
        <f t="shared" si="8"/>
        <v/>
      </c>
      <c r="Z47" s="155" t="str">
        <f t="shared" si="9"/>
        <v/>
      </c>
      <c r="AA47" s="119"/>
      <c r="AB47" s="130"/>
      <c r="AC47" s="106"/>
      <c r="AD47" s="106"/>
      <c r="AK47" s="157" t="str">
        <f t="array" ref="AK47">INDEX(B:B,SMALL(IF($B$3:$B$177&lt;&gt;"",ROW($3:$177),178),ROW(J46)))&amp;""</f>
        <v/>
      </c>
    </row>
    <row r="48" spans="1:37" ht="14.4" customHeight="1" x14ac:dyDescent="0.25">
      <c r="A48" s="1052"/>
      <c r="B48" s="119" t="str">
        <f>IF(AU$9=1,"匠师"&amp;B45,"")</f>
        <v/>
      </c>
      <c r="C48" s="180" t="str">
        <f>C45</f>
        <v>1D4</v>
      </c>
      <c r="D48" s="180" t="str">
        <f>D45</f>
        <v>挥砍</v>
      </c>
      <c r="E48" s="354">
        <f>E45</f>
        <v>2</v>
      </c>
      <c r="F48" s="180" t="str">
        <f>F45</f>
        <v>轻型</v>
      </c>
      <c r="G48" s="180"/>
      <c r="H48" s="198">
        <f>H$14</f>
        <v>4</v>
      </c>
      <c r="J48" s="180"/>
      <c r="M48" s="130"/>
      <c r="N48" s="130"/>
      <c r="O48" s="130"/>
      <c r="Q48" s="130"/>
      <c r="R48" s="119"/>
      <c r="S48" s="115" t="s">
        <v>3880</v>
      </c>
      <c r="T48" s="130">
        <v>4</v>
      </c>
      <c r="U48" s="180">
        <v>35</v>
      </c>
      <c r="V48" s="119" t="s">
        <v>3881</v>
      </c>
      <c r="W48" s="155"/>
      <c r="X48" s="156">
        <f>背包!Y21</f>
        <v>0</v>
      </c>
      <c r="Y48" s="130" t="str">
        <f t="shared" si="8"/>
        <v/>
      </c>
      <c r="Z48" s="155" t="str">
        <f t="shared" si="9"/>
        <v/>
      </c>
      <c r="AA48" s="119"/>
      <c r="AB48" s="130"/>
      <c r="AC48" s="106"/>
      <c r="AD48" s="106"/>
      <c r="AK48" s="157" t="str">
        <f t="array" ref="AK48">INDEX(B:B,SMALL(IF($B$3:$B$177&lt;&gt;"",ROW($3:$177),178),ROW(J47)))&amp;""</f>
        <v/>
      </c>
    </row>
    <row r="49" spans="1:37" ht="14.4" customHeight="1" x14ac:dyDescent="0.25">
      <c r="A49" s="1052"/>
      <c r="B49" s="119" t="s">
        <v>3882</v>
      </c>
      <c r="C49" s="119" t="str">
        <f>C$24</f>
        <v>1D6</v>
      </c>
      <c r="D49" s="119" t="s">
        <v>3704</v>
      </c>
      <c r="E49" s="354">
        <v>3</v>
      </c>
      <c r="F49" s="119" t="s">
        <v>3883</v>
      </c>
      <c r="G49" s="180">
        <v>1</v>
      </c>
      <c r="H49" s="198">
        <f>H$3</f>
        <v>-1</v>
      </c>
      <c r="R49" s="366"/>
      <c r="S49" s="115" t="s">
        <v>3884</v>
      </c>
      <c r="T49" s="130">
        <v>0.5</v>
      </c>
      <c r="U49" s="180">
        <v>2</v>
      </c>
      <c r="V49" s="119" t="s">
        <v>3885</v>
      </c>
      <c r="W49" s="155"/>
      <c r="X49" s="156">
        <f>背包!Y22</f>
        <v>0</v>
      </c>
      <c r="Y49" s="130" t="str">
        <f t="shared" si="8"/>
        <v/>
      </c>
      <c r="Z49" s="155" t="str">
        <f t="shared" si="9"/>
        <v/>
      </c>
      <c r="AA49" s="119"/>
      <c r="AB49" s="130"/>
      <c r="AC49" s="106"/>
      <c r="AD49" s="106"/>
      <c r="AK49" s="157" t="str">
        <f t="array" ref="AK49">INDEX(B:B,SMALL(IF($B$3:$B$177&lt;&gt;"",ROW($3:$177),178),ROW(J48)))&amp;""</f>
        <v/>
      </c>
    </row>
    <row r="50" spans="1:37" ht="14.4" customHeight="1" x14ac:dyDescent="0.25">
      <c r="A50" s="1052"/>
      <c r="B50" s="180" t="str">
        <f>IF(AU$7=2,"剑圣"&amp;B49,"")</f>
        <v/>
      </c>
      <c r="C50" s="180" t="str">
        <f>C49</f>
        <v>1D6</v>
      </c>
      <c r="D50" s="180" t="str">
        <f>D49</f>
        <v>穿刺</v>
      </c>
      <c r="E50" s="354">
        <f>E49</f>
        <v>3</v>
      </c>
      <c r="F50" s="180" t="str">
        <f>F49</f>
        <v>投掷（射程20/60），两用（1d8）</v>
      </c>
      <c r="G50" s="180"/>
      <c r="H50" s="198">
        <f>H$3</f>
        <v>-1</v>
      </c>
      <c r="S50" s="115" t="s">
        <v>3886</v>
      </c>
      <c r="T50" s="130">
        <v>1</v>
      </c>
      <c r="U50" s="180">
        <v>10</v>
      </c>
      <c r="V50" s="119" t="s">
        <v>3887</v>
      </c>
      <c r="W50" s="155"/>
      <c r="X50" s="156">
        <f>背包!Y23</f>
        <v>0</v>
      </c>
      <c r="Y50" s="130" t="str">
        <f t="shared" si="8"/>
        <v/>
      </c>
      <c r="Z50" s="155" t="str">
        <f t="shared" si="9"/>
        <v/>
      </c>
      <c r="AA50" s="119"/>
      <c r="AB50" s="130"/>
      <c r="AC50" s="106"/>
      <c r="AD50" s="106"/>
      <c r="AK50" s="157" t="str">
        <f t="array" ref="AK50">INDEX(B:B,SMALL(IF($B$3:$B$177&lt;&gt;"",ROW($3:$177),178),ROW(J49)))&amp;""</f>
        <v/>
      </c>
    </row>
    <row r="51" spans="1:37" ht="14.4" customHeight="1" x14ac:dyDescent="0.25">
      <c r="A51" s="1052"/>
      <c r="B51" s="119" t="str">
        <f>IF(AU$8&gt;=1,"咒剑"&amp;B49,"")</f>
        <v/>
      </c>
      <c r="C51" s="180" t="str">
        <f>C49</f>
        <v>1D6</v>
      </c>
      <c r="D51" s="180" t="str">
        <f>D49</f>
        <v>穿刺</v>
      </c>
      <c r="E51" s="354">
        <f>E49</f>
        <v>3</v>
      </c>
      <c r="F51" s="180" t="str">
        <f>F49</f>
        <v>投掷（射程20/60），两用（1d8）</v>
      </c>
      <c r="G51" s="180"/>
      <c r="H51" s="198">
        <f>H$13</f>
        <v>0</v>
      </c>
      <c r="S51" s="115" t="s">
        <v>3888</v>
      </c>
      <c r="T51" s="130">
        <v>10</v>
      </c>
      <c r="U51" s="180">
        <v>5</v>
      </c>
      <c r="V51" s="119" t="s">
        <v>3889</v>
      </c>
      <c r="W51" s="155"/>
      <c r="X51" s="156">
        <f>背包!Y24</f>
        <v>0</v>
      </c>
      <c r="Y51" s="130" t="str">
        <f t="shared" si="8"/>
        <v/>
      </c>
      <c r="Z51" s="155" t="str">
        <f t="shared" si="9"/>
        <v/>
      </c>
      <c r="AA51" s="119"/>
      <c r="AB51" s="130"/>
      <c r="AC51" s="106"/>
      <c r="AD51" s="106"/>
      <c r="AK51" s="157" t="str">
        <f t="array" ref="AK51">INDEX(B:B,SMALL(IF($B$3:$B$177&lt;&gt;"",ROW($3:$177),178),ROW(J50)))&amp;""</f>
        <v/>
      </c>
    </row>
    <row r="52" spans="1:37" ht="14.4" customHeight="1" x14ac:dyDescent="0.25">
      <c r="A52" s="1052"/>
      <c r="B52" s="119" t="str">
        <f>IF(AU$9=1,"匠师"&amp;B49,"")</f>
        <v/>
      </c>
      <c r="C52" s="180" t="str">
        <f>C49</f>
        <v>1D6</v>
      </c>
      <c r="D52" s="180" t="str">
        <f>D49</f>
        <v>穿刺</v>
      </c>
      <c r="E52" s="354">
        <f>E49</f>
        <v>3</v>
      </c>
      <c r="F52" s="180" t="str">
        <f>F49</f>
        <v>投掷（射程20/60），两用（1d8）</v>
      </c>
      <c r="G52" s="180"/>
      <c r="H52" s="198">
        <f>H$14</f>
        <v>4</v>
      </c>
      <c r="S52" s="115" t="s">
        <v>3890</v>
      </c>
      <c r="T52" s="130">
        <v>5</v>
      </c>
      <c r="U52" s="180">
        <v>3</v>
      </c>
      <c r="V52" s="119" t="s">
        <v>3891</v>
      </c>
      <c r="W52" s="155"/>
      <c r="X52" s="171">
        <f>背包!Y25</f>
        <v>0</v>
      </c>
      <c r="Y52" s="175" t="str">
        <f t="shared" si="8"/>
        <v/>
      </c>
      <c r="Z52" s="183" t="str">
        <f t="shared" si="9"/>
        <v/>
      </c>
      <c r="AA52" s="119"/>
      <c r="AB52" s="130"/>
      <c r="AC52" s="106"/>
      <c r="AD52" s="106"/>
      <c r="AK52" s="157" t="str">
        <f t="array" ref="AK52">INDEX(B:B,SMALL(IF($B$3:$B$177&lt;&gt;"",ROW($3:$177),178),ROW(J51)))&amp;""</f>
        <v/>
      </c>
    </row>
    <row r="53" spans="1:37" ht="14.4" customHeight="1" x14ac:dyDescent="0.25">
      <c r="A53" s="1052"/>
      <c r="B53" s="180" t="str">
        <f>IF(COUNTIF(职业数据!AD16:AD18,职业数据!I2),"啃咬","")</f>
        <v/>
      </c>
      <c r="C53" s="180" t="str">
        <f>C$15</f>
        <v>1D8</v>
      </c>
      <c r="D53" s="119" t="s">
        <v>3704</v>
      </c>
      <c r="E53" s="354"/>
      <c r="F53" s="180" t="str">
        <f>""</f>
        <v/>
      </c>
      <c r="G53" s="180"/>
      <c r="H53" s="198">
        <f>H$3</f>
        <v>-1</v>
      </c>
      <c r="S53" s="115" t="s">
        <v>3892</v>
      </c>
      <c r="T53" s="130">
        <v>0.5</v>
      </c>
      <c r="U53" s="180">
        <v>0</v>
      </c>
      <c r="V53" s="180" t="str">
        <f>""</f>
        <v/>
      </c>
      <c r="W53" s="155"/>
      <c r="X53" s="107" t="s">
        <v>3893</v>
      </c>
      <c r="Y53" s="148">
        <v>16</v>
      </c>
      <c r="Z53" s="245" t="s">
        <v>3894</v>
      </c>
      <c r="AA53" s="119"/>
      <c r="AB53" s="130"/>
      <c r="AC53" s="106"/>
      <c r="AD53" s="106"/>
      <c r="AK53" s="157" t="str">
        <f t="array" ref="AK53">INDEX(B:B,SMALL(IF($B$3:$B$177&lt;&gt;"",ROW($3:$177),178),ROW(J52)))&amp;""</f>
        <v/>
      </c>
    </row>
    <row r="54" spans="1:37" ht="14.4" customHeight="1" x14ac:dyDescent="0.25">
      <c r="A54" s="1052"/>
      <c r="B54" s="180" t="str">
        <f>IF(COUNTIF(职业数据!AD16:AD18,职业数据!I2),"爪击","")</f>
        <v/>
      </c>
      <c r="C54" s="180" t="str">
        <f>C$24</f>
        <v>1D6</v>
      </c>
      <c r="D54" s="119" t="s">
        <v>3713</v>
      </c>
      <c r="E54" s="354"/>
      <c r="F54" s="180" t="str">
        <f>""</f>
        <v/>
      </c>
      <c r="G54" s="180"/>
      <c r="H54" s="198">
        <f>H$3</f>
        <v>-1</v>
      </c>
      <c r="S54" s="115" t="s">
        <v>3895</v>
      </c>
      <c r="T54" s="130">
        <v>2</v>
      </c>
      <c r="U54" s="180">
        <v>5</v>
      </c>
      <c r="V54" s="180" t="str">
        <f>""</f>
        <v/>
      </c>
      <c r="W54" s="155"/>
      <c r="X54" s="115" t="s">
        <v>3896</v>
      </c>
      <c r="Y54" s="130">
        <v>39</v>
      </c>
      <c r="Z54" s="120" t="s">
        <v>3897</v>
      </c>
      <c r="AA54" s="119"/>
      <c r="AB54" s="130"/>
      <c r="AC54" s="106"/>
      <c r="AD54" s="106"/>
      <c r="AK54" s="157" t="str">
        <f t="array" ref="AK54">INDEX(B:B,SMALL(IF($B$3:$B$177&lt;&gt;"",ROW($3:$177),178),ROW(J53)))&amp;""</f>
        <v/>
      </c>
    </row>
    <row r="55" spans="1:37" ht="14.4" customHeight="1" x14ac:dyDescent="0.25">
      <c r="A55" s="1052"/>
      <c r="B55" s="180" t="str">
        <f>IF(COUNTIF(职业数据!AD16:AD18,职业数据!I2),"尾击","")</f>
        <v/>
      </c>
      <c r="C55" s="180" t="str">
        <f>C$15</f>
        <v>1D8</v>
      </c>
      <c r="D55" s="119" t="s">
        <v>3704</v>
      </c>
      <c r="E55" s="354"/>
      <c r="F55" s="119" t="s">
        <v>3682</v>
      </c>
      <c r="G55" s="180"/>
      <c r="H55" s="198">
        <f>H$3</f>
        <v>-1</v>
      </c>
      <c r="S55" s="115" t="s">
        <v>3898</v>
      </c>
      <c r="T55" s="130">
        <v>0.05</v>
      </c>
      <c r="U55" s="180">
        <v>0</v>
      </c>
      <c r="V55" s="180" t="str">
        <f>""</f>
        <v/>
      </c>
      <c r="W55" s="155"/>
      <c r="X55" s="115" t="s">
        <v>3899</v>
      </c>
      <c r="Y55" s="130">
        <v>12</v>
      </c>
      <c r="Z55" s="120" t="s">
        <v>3900</v>
      </c>
      <c r="AA55" s="119"/>
      <c r="AB55" s="130"/>
      <c r="AC55" s="106"/>
      <c r="AD55" s="106"/>
      <c r="AE55" s="367"/>
      <c r="AF55" s="119"/>
      <c r="AG55" s="130"/>
      <c r="AH55" s="130"/>
      <c r="AI55" s="130"/>
      <c r="AK55" s="157" t="str">
        <f t="array" ref="AK55">INDEX(B:B,SMALL(IF($B$3:$B$177&lt;&gt;"",ROW($3:$177),178),ROW(J54)))&amp;""</f>
        <v/>
      </c>
    </row>
    <row r="56" spans="1:37" ht="14.4" customHeight="1" x14ac:dyDescent="0.25">
      <c r="A56" s="1052"/>
      <c r="B56" s="180" t="str">
        <f>IF(COUNTIF(职业数据!AD16:AD18,职业数据!J10),"念刃","")</f>
        <v/>
      </c>
      <c r="C56" s="180" t="str">
        <f>C$24</f>
        <v>1D6</v>
      </c>
      <c r="D56" s="119" t="s">
        <v>3766</v>
      </c>
      <c r="E56" s="354"/>
      <c r="F56" s="119" t="s">
        <v>3901</v>
      </c>
      <c r="G56" s="180"/>
      <c r="H56" s="198">
        <f>H$16</f>
        <v>2</v>
      </c>
      <c r="S56" s="115" t="s">
        <v>3902</v>
      </c>
      <c r="T56" s="130">
        <v>5</v>
      </c>
      <c r="U56" s="180">
        <v>0</v>
      </c>
      <c r="V56" s="180" t="str">
        <f>""</f>
        <v/>
      </c>
      <c r="W56" s="155"/>
      <c r="X56" s="115" t="s">
        <v>3903</v>
      </c>
      <c r="Y56" s="130">
        <v>40</v>
      </c>
      <c r="Z56" s="120" t="s">
        <v>3904</v>
      </c>
      <c r="AA56" s="119"/>
      <c r="AB56" s="130"/>
      <c r="AC56" s="106"/>
      <c r="AD56" s="106"/>
      <c r="AE56" s="367"/>
      <c r="AF56" s="119"/>
      <c r="AG56" s="130"/>
      <c r="AH56" s="130"/>
      <c r="AI56" s="130"/>
      <c r="AK56" s="157" t="str">
        <f t="array" ref="AK56">INDEX(B:B,SMALL(IF($B$3:$B$177&lt;&gt;"",ROW($3:$177),178),ROW(J55)))&amp;""</f>
        <v/>
      </c>
    </row>
    <row r="57" spans="1:37" ht="14.4" customHeight="1" x14ac:dyDescent="0.25">
      <c r="A57" s="1052"/>
      <c r="B57" s="180" t="str">
        <f>IF(COUNTIF(AL2,"守护*"),"雷霆战拳","")</f>
        <v/>
      </c>
      <c r="C57" s="119" t="str">
        <f>C15</f>
        <v>1D8</v>
      </c>
      <c r="D57" s="119" t="s">
        <v>3905</v>
      </c>
      <c r="E57" s="354"/>
      <c r="F57" s="180" t="str">
        <f>""</f>
        <v/>
      </c>
      <c r="G57" s="180"/>
      <c r="H57" s="120">
        <f>MAX(MAX(主要!R15,主要!R14),主要!R17)</f>
        <v>4</v>
      </c>
      <c r="S57" s="115" t="s">
        <v>3906</v>
      </c>
      <c r="T57" s="130">
        <v>0.02</v>
      </c>
      <c r="U57" s="180">
        <v>0</v>
      </c>
      <c r="V57" s="180" t="str">
        <f>""</f>
        <v/>
      </c>
      <c r="W57" s="155"/>
      <c r="X57" s="115" t="s">
        <v>3907</v>
      </c>
      <c r="Y57" s="130">
        <v>10</v>
      </c>
      <c r="Z57" s="120" t="s">
        <v>3908</v>
      </c>
      <c r="AA57" s="119"/>
      <c r="AB57" s="130"/>
      <c r="AC57" s="106"/>
      <c r="AD57" s="106"/>
      <c r="AE57" s="367"/>
      <c r="AF57" s="119"/>
      <c r="AG57" s="130"/>
      <c r="AH57" s="130"/>
      <c r="AI57" s="130"/>
      <c r="AK57" s="157" t="str">
        <f t="array" ref="AK57">INDEX(B:B,SMALL(IF($B$3:$B$177&lt;&gt;"",ROW($3:$177),178),ROW(J56)))&amp;""</f>
        <v/>
      </c>
    </row>
    <row r="58" spans="1:37" ht="14.4" customHeight="1" x14ac:dyDescent="0.25">
      <c r="A58" s="1052"/>
      <c r="B58" s="119" t="str">
        <f>IF(B57="","",IF(AU$8&gt;=1,"咒剑"&amp;B57,""))</f>
        <v/>
      </c>
      <c r="C58" s="180" t="str">
        <f>C57</f>
        <v>1D8</v>
      </c>
      <c r="D58" s="180" t="str">
        <f>D57</f>
        <v>雷鸣</v>
      </c>
      <c r="E58" s="354">
        <f>E57</f>
        <v>0</v>
      </c>
      <c r="F58" s="180" t="str">
        <f>F57</f>
        <v/>
      </c>
      <c r="G58" s="180"/>
      <c r="H58" s="198">
        <f>MAX(主要!R$19,H57)</f>
        <v>4</v>
      </c>
      <c r="S58" s="115" t="s">
        <v>272</v>
      </c>
      <c r="T58" s="130">
        <v>50</v>
      </c>
      <c r="U58" s="180">
        <v>3</v>
      </c>
      <c r="V58" s="119" t="s">
        <v>3909</v>
      </c>
      <c r="W58" s="155"/>
      <c r="X58" s="115" t="s">
        <v>3910</v>
      </c>
      <c r="Y58" s="130">
        <v>19</v>
      </c>
      <c r="Z58" s="120" t="s">
        <v>3911</v>
      </c>
      <c r="AA58" s="119"/>
      <c r="AB58" s="130"/>
      <c r="AC58" s="106"/>
      <c r="AD58" s="106"/>
      <c r="AE58" s="367"/>
      <c r="AF58" s="119"/>
      <c r="AG58" s="130"/>
      <c r="AH58" s="106"/>
      <c r="AI58" s="130"/>
      <c r="AK58" s="157" t="str">
        <f t="array" ref="AK58">INDEX(B:B,SMALL(IF($B$3:$B$177&lt;&gt;"",ROW($3:$177),178),ROW(J57)))&amp;""</f>
        <v/>
      </c>
    </row>
    <row r="59" spans="1:37" ht="14.4" customHeight="1" x14ac:dyDescent="0.25">
      <c r="A59" s="1052" t="s">
        <v>3912</v>
      </c>
      <c r="B59" s="119" t="s">
        <v>3913</v>
      </c>
      <c r="C59" s="119" t="s">
        <v>3777</v>
      </c>
      <c r="D59" s="119" t="s">
        <v>3704</v>
      </c>
      <c r="E59" s="354">
        <v>5</v>
      </c>
      <c r="F59" s="119" t="s">
        <v>3914</v>
      </c>
      <c r="G59" s="180">
        <v>25</v>
      </c>
      <c r="H59" s="198">
        <f>主要!R15</f>
        <v>2</v>
      </c>
      <c r="S59" s="115" t="s">
        <v>3915</v>
      </c>
      <c r="T59" s="130">
        <v>1</v>
      </c>
      <c r="U59" s="180">
        <v>5</v>
      </c>
      <c r="V59" s="180" t="str">
        <f>""</f>
        <v/>
      </c>
      <c r="W59" s="155"/>
      <c r="X59" s="123" t="s">
        <v>3916</v>
      </c>
      <c r="Y59" s="175">
        <v>40</v>
      </c>
      <c r="Z59" s="294" t="s">
        <v>3917</v>
      </c>
      <c r="AA59" s="119"/>
      <c r="AB59" s="130"/>
      <c r="AC59" s="106"/>
      <c r="AD59" s="106"/>
      <c r="AE59" s="367"/>
      <c r="AF59" s="119"/>
      <c r="AG59" s="130"/>
      <c r="AH59" s="130"/>
      <c r="AI59" s="130"/>
      <c r="AK59" s="157" t="str">
        <f t="array" ref="AK59">INDEX(B:B,SMALL(IF($B$3:$B$177&lt;&gt;"",ROW($3:$177),178),ROW(J58)))&amp;""</f>
        <v/>
      </c>
    </row>
    <row r="60" spans="1:37" ht="14.4" customHeight="1" x14ac:dyDescent="0.25">
      <c r="A60" s="1052"/>
      <c r="B60" s="180" t="str">
        <f>IF(AU$7=2,"剑圣"&amp;B59,IF(AU$7&gt;=1,"专用"&amp;B59,""))</f>
        <v/>
      </c>
      <c r="C60" s="180" t="str">
        <f>C$15</f>
        <v>1D8</v>
      </c>
      <c r="D60" s="180" t="str">
        <f>D59</f>
        <v>穿刺</v>
      </c>
      <c r="E60" s="354">
        <f>E59</f>
        <v>5</v>
      </c>
      <c r="F60" s="180" t="str">
        <f>F59</f>
        <v>弹药（射程80/320），装填，双手</v>
      </c>
      <c r="G60" s="180"/>
      <c r="H60" s="198">
        <f>H$3</f>
        <v>-1</v>
      </c>
      <c r="S60" s="115" t="s">
        <v>3918</v>
      </c>
      <c r="T60" s="130">
        <v>1000</v>
      </c>
      <c r="U60" s="180">
        <v>1</v>
      </c>
      <c r="V60" s="119" t="s">
        <v>3919</v>
      </c>
      <c r="W60" s="155"/>
      <c r="X60" s="130"/>
      <c r="Y60" s="130"/>
      <c r="Z60" s="130"/>
      <c r="AA60" s="119"/>
      <c r="AB60" s="130"/>
      <c r="AC60" s="106"/>
      <c r="AD60" s="106"/>
      <c r="AE60" s="367"/>
      <c r="AF60" s="119"/>
      <c r="AG60" s="130"/>
      <c r="AH60" s="130"/>
      <c r="AI60" s="130"/>
      <c r="AK60" s="157" t="str">
        <f t="array" ref="AK60">INDEX(B:B,SMALL(IF($B$3:$B$177&lt;&gt;"",ROW($3:$177),178),ROW(J59)))&amp;""</f>
        <v/>
      </c>
    </row>
    <row r="61" spans="1:37" ht="14.4" customHeight="1" x14ac:dyDescent="0.25">
      <c r="A61" s="1052"/>
      <c r="B61" s="119" t="str">
        <f>IF(AU$8=2,"咒剑"&amp;B59,"")</f>
        <v/>
      </c>
      <c r="C61" s="180" t="str">
        <f>C59</f>
        <v>1D8</v>
      </c>
      <c r="D61" s="180" t="str">
        <f>D59</f>
        <v>穿刺</v>
      </c>
      <c r="E61" s="354">
        <f>E59</f>
        <v>5</v>
      </c>
      <c r="F61" s="180" t="str">
        <f>F59</f>
        <v>弹药（射程80/320），装填，双手</v>
      </c>
      <c r="G61" s="180"/>
      <c r="H61" s="198">
        <f>MAX(主要!R$19,装备数据!H59)</f>
        <v>2</v>
      </c>
      <c r="S61" s="115" t="s">
        <v>3920</v>
      </c>
      <c r="T61" s="130">
        <v>2</v>
      </c>
      <c r="U61" s="180">
        <v>20</v>
      </c>
      <c r="V61" s="119" t="s">
        <v>3921</v>
      </c>
      <c r="W61" s="155"/>
      <c r="X61" s="130"/>
      <c r="Y61" s="130"/>
      <c r="Z61" s="130"/>
      <c r="AA61" s="119"/>
      <c r="AB61" s="130"/>
      <c r="AC61" s="106"/>
      <c r="AD61" s="106"/>
      <c r="AE61" s="367"/>
      <c r="AF61" s="119"/>
      <c r="AG61" s="130"/>
      <c r="AH61" s="130"/>
      <c r="AI61" s="130"/>
      <c r="AK61" s="157" t="str">
        <f t="array" ref="AK61">INDEX(B:B,SMALL(IF($B$3:$B$177&lt;&gt;"",ROW($3:$177),178),ROW(J60)))&amp;""</f>
        <v/>
      </c>
    </row>
    <row r="62" spans="1:37" ht="14.4" customHeight="1" x14ac:dyDescent="0.25">
      <c r="A62" s="1052"/>
      <c r="B62" s="119" t="str">
        <f>IF(AU$9=1,"匠师"&amp;B59,"")</f>
        <v/>
      </c>
      <c r="C62" s="180" t="str">
        <f>C59</f>
        <v>1D8</v>
      </c>
      <c r="D62" s="180" t="str">
        <f>D59</f>
        <v>穿刺</v>
      </c>
      <c r="E62" s="354">
        <f>E59</f>
        <v>5</v>
      </c>
      <c r="F62" s="180" t="str">
        <f>F59</f>
        <v>弹药（射程80/320），装填，双手</v>
      </c>
      <c r="G62" s="180"/>
      <c r="H62" s="198">
        <f>MAX(主要!R$17,装备数据!H59)</f>
        <v>4</v>
      </c>
      <c r="S62" s="115" t="s">
        <v>3922</v>
      </c>
      <c r="T62" s="130">
        <v>0.5</v>
      </c>
      <c r="U62" s="180">
        <v>1</v>
      </c>
      <c r="V62" s="119" t="s">
        <v>3923</v>
      </c>
      <c r="W62" s="155"/>
      <c r="X62" s="130"/>
      <c r="Y62" s="130"/>
      <c r="Z62" s="130"/>
      <c r="AA62" s="119"/>
      <c r="AB62" s="130"/>
      <c r="AC62" s="106"/>
      <c r="AD62" s="106"/>
      <c r="AE62" s="367"/>
      <c r="AF62" s="119"/>
      <c r="AG62" s="130"/>
      <c r="AH62" s="130"/>
      <c r="AI62" s="130"/>
      <c r="AK62" s="157" t="str">
        <f t="array" ref="AK62">INDEX(B:B,SMALL(IF($B$3:$B$177&lt;&gt;"",ROW($3:$177),178),ROW(J61)))&amp;""</f>
        <v/>
      </c>
    </row>
    <row r="63" spans="1:37" ht="14.4" customHeight="1" x14ac:dyDescent="0.25">
      <c r="A63" s="1052"/>
      <c r="B63" s="119" t="s">
        <v>3924</v>
      </c>
      <c r="C63" s="119" t="s">
        <v>3925</v>
      </c>
      <c r="D63" s="119" t="s">
        <v>3704</v>
      </c>
      <c r="E63" s="354">
        <v>0.25</v>
      </c>
      <c r="F63" s="119" t="s">
        <v>3926</v>
      </c>
      <c r="G63" s="180">
        <v>0.05</v>
      </c>
      <c r="H63" s="198">
        <f>H$16</f>
        <v>2</v>
      </c>
      <c r="S63" s="115" t="s">
        <v>3927</v>
      </c>
      <c r="T63" s="130">
        <v>0.01</v>
      </c>
      <c r="U63" s="180">
        <v>1</v>
      </c>
      <c r="V63" s="119" t="s">
        <v>3928</v>
      </c>
      <c r="W63" s="155"/>
      <c r="X63" s="130"/>
      <c r="Y63" s="130"/>
      <c r="Z63" s="130"/>
      <c r="AA63" s="119"/>
      <c r="AB63" s="130"/>
      <c r="AC63" s="106"/>
      <c r="AD63" s="106"/>
      <c r="AE63" s="367"/>
      <c r="AF63" s="119"/>
      <c r="AG63" s="130"/>
      <c r="AH63" s="130"/>
      <c r="AI63" s="130"/>
      <c r="AK63" s="157" t="str">
        <f t="array" ref="AK63">INDEX(B:B,SMALL(IF($B$3:$B$177&lt;&gt;"",ROW($3:$177),178),ROW(J62)))&amp;""</f>
        <v/>
      </c>
    </row>
    <row r="64" spans="1:37" ht="14.4" customHeight="1" x14ac:dyDescent="0.25">
      <c r="A64" s="1052"/>
      <c r="B64" s="180" t="str">
        <f>IF(AU$7=2,"剑圣"&amp;B63,IF(AU$7&gt;=1,"专用"&amp;B63,""))</f>
        <v/>
      </c>
      <c r="C64" s="180" t="str">
        <f>C$11</f>
        <v>1D4</v>
      </c>
      <c r="D64" s="180" t="str">
        <f>D63</f>
        <v>穿刺</v>
      </c>
      <c r="E64" s="354">
        <f>E63</f>
        <v>0.25</v>
      </c>
      <c r="F64" s="180" t="str">
        <f>F63</f>
        <v>灵巧，投掷（射程20/60）</v>
      </c>
      <c r="G64" s="180"/>
      <c r="H64" s="198">
        <f>H$16</f>
        <v>2</v>
      </c>
      <c r="S64" s="115" t="s">
        <v>3929</v>
      </c>
      <c r="T64" s="130">
        <v>0.01</v>
      </c>
      <c r="U64" s="180">
        <v>1</v>
      </c>
      <c r="V64" s="180" t="str">
        <f t="shared" ref="V64:V74" si="10">""</f>
        <v/>
      </c>
      <c r="W64" s="155"/>
      <c r="X64" s="130"/>
      <c r="Y64" s="130"/>
      <c r="Z64" s="130"/>
      <c r="AA64" s="119"/>
      <c r="AB64" s="130"/>
      <c r="AC64" s="106"/>
      <c r="AD64" s="106"/>
      <c r="AE64" s="367"/>
      <c r="AF64" s="119"/>
      <c r="AG64" s="130"/>
      <c r="AH64" s="130"/>
      <c r="AI64" s="130"/>
      <c r="AK64" s="157" t="str">
        <f t="array" ref="AK64">INDEX(B:B,SMALL(IF($B$3:$B$177&lt;&gt;"",ROW($3:$177),178),ROW(J63)))&amp;""</f>
        <v/>
      </c>
    </row>
    <row r="65" spans="1:37" ht="14.4" customHeight="1" x14ac:dyDescent="0.25">
      <c r="A65" s="1052"/>
      <c r="B65" s="119" t="str">
        <f>IF(AU$8&gt;=1,"咒剑"&amp;B63,"")</f>
        <v/>
      </c>
      <c r="C65" s="180" t="str">
        <f>C63</f>
        <v>1D4</v>
      </c>
      <c r="D65" s="180" t="str">
        <f>D63</f>
        <v>穿刺</v>
      </c>
      <c r="E65" s="354">
        <f>E63</f>
        <v>0.25</v>
      </c>
      <c r="F65" s="180" t="str">
        <f>F63</f>
        <v>灵巧，投掷（射程20/60）</v>
      </c>
      <c r="G65" s="180"/>
      <c r="H65" s="198">
        <f>H$18</f>
        <v>2</v>
      </c>
      <c r="S65" s="115" t="s">
        <v>3930</v>
      </c>
      <c r="T65" s="130">
        <v>1</v>
      </c>
      <c r="U65" s="180">
        <v>1</v>
      </c>
      <c r="V65" s="180" t="str">
        <f t="shared" si="10"/>
        <v/>
      </c>
      <c r="W65" s="155"/>
      <c r="X65" s="130"/>
      <c r="Y65" s="130"/>
      <c r="Z65" s="130"/>
      <c r="AA65" s="119"/>
      <c r="AB65" s="130"/>
      <c r="AC65" s="106"/>
      <c r="AD65" s="106"/>
      <c r="AE65" s="367"/>
      <c r="AF65" s="119"/>
      <c r="AG65" s="130"/>
      <c r="AH65" s="130"/>
      <c r="AI65" s="130"/>
      <c r="AK65" s="157" t="str">
        <f t="array" ref="AK65">INDEX(B:B,SMALL(IF($B$3:$B$177&lt;&gt;"",ROW($3:$177),178),ROW(J64)))&amp;""</f>
        <v/>
      </c>
    </row>
    <row r="66" spans="1:37" ht="14.4" customHeight="1" x14ac:dyDescent="0.25">
      <c r="A66" s="1052"/>
      <c r="B66" s="119" t="str">
        <f>IF(AU$9=1,"匠师"&amp;B63,"")</f>
        <v/>
      </c>
      <c r="C66" s="180" t="str">
        <f>C63</f>
        <v>1D4</v>
      </c>
      <c r="D66" s="180" t="str">
        <f>D63</f>
        <v>穿刺</v>
      </c>
      <c r="E66" s="354">
        <f>E63</f>
        <v>0.25</v>
      </c>
      <c r="F66" s="180" t="str">
        <f>F63</f>
        <v>灵巧，投掷（射程20/60）</v>
      </c>
      <c r="G66" s="180"/>
      <c r="H66" s="198">
        <f>H$19</f>
        <v>4</v>
      </c>
      <c r="S66" s="115" t="s">
        <v>3931</v>
      </c>
      <c r="T66" s="130">
        <v>1</v>
      </c>
      <c r="U66" s="180">
        <v>1</v>
      </c>
      <c r="V66" s="180" t="str">
        <f t="shared" si="10"/>
        <v/>
      </c>
      <c r="W66" s="155"/>
      <c r="X66" s="130"/>
      <c r="Y66" s="130"/>
      <c r="Z66" s="130"/>
      <c r="AA66" s="119"/>
      <c r="AB66" s="130"/>
      <c r="AC66" s="106"/>
      <c r="AD66" s="106"/>
      <c r="AE66" s="367"/>
      <c r="AF66" s="119"/>
      <c r="AG66" s="130"/>
      <c r="AH66" s="130"/>
      <c r="AI66" s="130"/>
      <c r="AK66" s="157" t="str">
        <f t="array" ref="AK66">INDEX(B:B,SMALL(IF($B$3:$B$177&lt;&gt;"",ROW($3:$177),178),ROW(J65)))&amp;""</f>
        <v/>
      </c>
    </row>
    <row r="67" spans="1:37" ht="14.4" customHeight="1" x14ac:dyDescent="0.25">
      <c r="A67" s="1052"/>
      <c r="B67" s="119" t="s">
        <v>3932</v>
      </c>
      <c r="C67" s="119" t="s">
        <v>3671</v>
      </c>
      <c r="D67" s="119" t="s">
        <v>3704</v>
      </c>
      <c r="E67" s="354">
        <v>2</v>
      </c>
      <c r="F67" s="119" t="s">
        <v>3933</v>
      </c>
      <c r="G67" s="180">
        <v>25</v>
      </c>
      <c r="H67" s="198">
        <f>H$59</f>
        <v>2</v>
      </c>
      <c r="S67" s="115" t="s">
        <v>3934</v>
      </c>
      <c r="T67" s="130">
        <v>1</v>
      </c>
      <c r="U67" s="180">
        <v>1.5</v>
      </c>
      <c r="V67" s="180" t="str">
        <f t="shared" si="10"/>
        <v/>
      </c>
      <c r="W67" s="155"/>
      <c r="X67" s="130"/>
      <c r="Y67" s="130"/>
      <c r="Z67" s="130"/>
      <c r="AA67" s="119"/>
      <c r="AB67" s="130"/>
      <c r="AC67" s="106"/>
      <c r="AD67" s="106"/>
      <c r="AE67" s="367"/>
      <c r="AF67" s="119"/>
      <c r="AG67" s="130"/>
      <c r="AH67" s="130"/>
      <c r="AI67" s="130"/>
      <c r="AK67" s="157" t="str">
        <f t="array" ref="AK67">INDEX(B:B,SMALL(IF($B$3:$B$177&lt;&gt;"",ROW($3:$177),178),ROW(J66)))&amp;""</f>
        <v/>
      </c>
    </row>
    <row r="68" spans="1:37" ht="14.4" customHeight="1" x14ac:dyDescent="0.25">
      <c r="A68" s="1052"/>
      <c r="B68" s="180" t="str">
        <f>IF(AU$7=2,"剑圣"&amp;B67,IF(AU$7&gt;=1,"专用"&amp;B67,""))</f>
        <v/>
      </c>
      <c r="C68" s="180" t="str">
        <f>C$24</f>
        <v>1D6</v>
      </c>
      <c r="D68" s="180" t="str">
        <f>D67</f>
        <v>穿刺</v>
      </c>
      <c r="E68" s="354">
        <f>E67</f>
        <v>2</v>
      </c>
      <c r="F68" s="180" t="str">
        <f>F67</f>
        <v>弹药（射程80/320），双手</v>
      </c>
      <c r="G68" s="180"/>
      <c r="H68" s="198">
        <f>H$3</f>
        <v>-1</v>
      </c>
      <c r="S68" s="115" t="s">
        <v>3935</v>
      </c>
      <c r="T68" s="130">
        <v>0.04</v>
      </c>
      <c r="U68" s="180">
        <v>1.5</v>
      </c>
      <c r="V68" s="180" t="str">
        <f t="shared" si="10"/>
        <v/>
      </c>
      <c r="W68" s="155"/>
      <c r="X68" s="130"/>
      <c r="Y68" s="130"/>
      <c r="Z68" s="130"/>
      <c r="AA68" s="119"/>
      <c r="AB68" s="130"/>
      <c r="AC68" s="106"/>
      <c r="AD68" s="106"/>
      <c r="AE68" s="367"/>
      <c r="AF68" s="119"/>
      <c r="AG68" s="130"/>
      <c r="AH68" s="130"/>
      <c r="AI68" s="130"/>
      <c r="AK68" s="157" t="str">
        <f t="array" ref="AK68">INDEX(B:B,SMALL(IF($B$3:$B$177&lt;&gt;"",ROW($3:$177),178),ROW(J67)))&amp;""</f>
        <v/>
      </c>
    </row>
    <row r="69" spans="1:37" ht="14.4" customHeight="1" x14ac:dyDescent="0.25">
      <c r="A69" s="1052"/>
      <c r="B69" s="119" t="str">
        <f>IF(AU$8=2,"咒剑"&amp;B67,"")</f>
        <v/>
      </c>
      <c r="C69" s="180" t="str">
        <f>C67</f>
        <v>1D6</v>
      </c>
      <c r="D69" s="180" t="str">
        <f>D67</f>
        <v>穿刺</v>
      </c>
      <c r="E69" s="354">
        <f>E67</f>
        <v>2</v>
      </c>
      <c r="F69" s="180" t="str">
        <f>F67</f>
        <v>弹药（射程80/320），双手</v>
      </c>
      <c r="G69" s="180"/>
      <c r="H69" s="198">
        <f>H$61</f>
        <v>2</v>
      </c>
      <c r="S69" s="368" t="s">
        <v>3936</v>
      </c>
      <c r="T69" s="130">
        <v>3</v>
      </c>
      <c r="U69" s="180">
        <v>2</v>
      </c>
      <c r="V69" s="180" t="str">
        <f t="shared" si="10"/>
        <v/>
      </c>
      <c r="W69" s="155"/>
      <c r="X69" s="130"/>
      <c r="Y69" s="130"/>
      <c r="Z69" s="130"/>
      <c r="AA69" s="119"/>
      <c r="AB69" s="130"/>
      <c r="AC69" s="106"/>
      <c r="AD69" s="106"/>
      <c r="AE69" s="367"/>
      <c r="AF69" s="119"/>
      <c r="AG69" s="130"/>
      <c r="AH69" s="130"/>
      <c r="AI69" s="130"/>
      <c r="AK69" s="157" t="str">
        <f t="array" ref="AK69">INDEX(B:B,SMALL(IF($B$3:$B$177&lt;&gt;"",ROW($3:$177),178),ROW(J68)))&amp;""</f>
        <v/>
      </c>
    </row>
    <row r="70" spans="1:37" ht="14.4" customHeight="1" x14ac:dyDescent="0.25">
      <c r="A70" s="1052"/>
      <c r="B70" s="119" t="str">
        <f>IF(AU$9=1,"匠师"&amp;B67,"")</f>
        <v/>
      </c>
      <c r="C70" s="180" t="str">
        <f>C67</f>
        <v>1D6</v>
      </c>
      <c r="D70" s="180" t="str">
        <f>D67</f>
        <v>穿刺</v>
      </c>
      <c r="E70" s="354">
        <f>E67</f>
        <v>2</v>
      </c>
      <c r="F70" s="180" t="str">
        <f>F67</f>
        <v>弹药（射程80/320），双手</v>
      </c>
      <c r="G70" s="180"/>
      <c r="H70" s="198">
        <f>H$62</f>
        <v>4</v>
      </c>
      <c r="S70" s="115" t="s">
        <v>3937</v>
      </c>
      <c r="T70" s="130">
        <v>10</v>
      </c>
      <c r="U70" s="180">
        <v>1</v>
      </c>
      <c r="V70" s="180" t="str">
        <f t="shared" si="10"/>
        <v/>
      </c>
      <c r="W70" s="155"/>
      <c r="X70" s="130"/>
      <c r="Y70" s="130"/>
      <c r="Z70" s="130"/>
      <c r="AA70" s="119"/>
      <c r="AB70" s="130"/>
      <c r="AC70" s="106"/>
      <c r="AD70" s="106"/>
      <c r="AE70" s="367"/>
      <c r="AF70" s="119"/>
      <c r="AG70" s="130"/>
      <c r="AH70" s="130"/>
      <c r="AI70" s="130"/>
      <c r="AK70" s="157" t="str">
        <f t="array" ref="AK70">INDEX(B:B,SMALL(IF($B$3:$B$177&lt;&gt;"",ROW($3:$177),178),ROW(J69)))&amp;""</f>
        <v/>
      </c>
    </row>
    <row r="71" spans="1:37" ht="14.4" customHeight="1" x14ac:dyDescent="0.25">
      <c r="A71" s="1052"/>
      <c r="B71" s="119" t="s">
        <v>3938</v>
      </c>
      <c r="C71" s="119" t="s">
        <v>3925</v>
      </c>
      <c r="D71" s="119" t="s">
        <v>127</v>
      </c>
      <c r="E71" s="354"/>
      <c r="F71" s="119" t="s">
        <v>3939</v>
      </c>
      <c r="G71" s="180">
        <v>0.1</v>
      </c>
      <c r="H71" s="198">
        <f>H$59</f>
        <v>2</v>
      </c>
      <c r="S71" s="115" t="s">
        <v>3940</v>
      </c>
      <c r="T71" s="130">
        <v>20</v>
      </c>
      <c r="U71" s="180">
        <v>3</v>
      </c>
      <c r="V71" s="180" t="str">
        <f t="shared" si="10"/>
        <v/>
      </c>
      <c r="W71" s="155"/>
      <c r="X71" s="130"/>
      <c r="Y71" s="130"/>
      <c r="Z71" s="130"/>
      <c r="AA71" s="119"/>
      <c r="AB71" s="130"/>
      <c r="AC71" s="106"/>
      <c r="AD71" s="106"/>
      <c r="AE71" s="367"/>
      <c r="AF71" s="119"/>
      <c r="AG71" s="130"/>
      <c r="AH71" s="130"/>
      <c r="AI71" s="130"/>
      <c r="AK71" s="157" t="str">
        <f t="array" ref="AK71">INDEX(B:B,SMALL(IF($B$3:$B$177&lt;&gt;"",ROW($3:$177),178),ROW(J70)))&amp;""</f>
        <v/>
      </c>
    </row>
    <row r="72" spans="1:37" ht="14.4" customHeight="1" x14ac:dyDescent="0.25">
      <c r="A72" s="1052"/>
      <c r="B72" s="180" t="str">
        <f>IF(AU$7=2,"剑圣"&amp;B71,IF(AU$7&gt;=1,"专用"&amp;B71,""))</f>
        <v/>
      </c>
      <c r="C72" s="180" t="str">
        <f>C29</f>
        <v>1D6</v>
      </c>
      <c r="D72" s="180" t="str">
        <f>D71</f>
        <v>钝击</v>
      </c>
      <c r="E72" s="354">
        <f>E71</f>
        <v>0</v>
      </c>
      <c r="F72" s="180" t="str">
        <f>F71</f>
        <v>弹药（射程30/120）</v>
      </c>
      <c r="G72" s="180"/>
      <c r="H72" s="198">
        <f>H$3</f>
        <v>-1</v>
      </c>
      <c r="S72" s="115" t="s">
        <v>3941</v>
      </c>
      <c r="T72" s="130">
        <v>10</v>
      </c>
      <c r="U72" s="180">
        <v>2</v>
      </c>
      <c r="V72" s="180" t="str">
        <f t="shared" si="10"/>
        <v/>
      </c>
      <c r="W72" s="155"/>
      <c r="X72" s="130"/>
      <c r="Y72" s="130"/>
      <c r="Z72" s="130"/>
      <c r="AA72" s="119"/>
      <c r="AB72" s="130"/>
      <c r="AC72" s="106"/>
      <c r="AD72" s="106"/>
      <c r="AE72" s="367"/>
      <c r="AF72" s="119"/>
      <c r="AG72" s="130"/>
      <c r="AH72" s="106"/>
      <c r="AI72" s="130"/>
      <c r="AK72" s="157" t="str">
        <f t="array" ref="AK72">INDEX(B:B,SMALL(IF($B$3:$B$177&lt;&gt;"",ROW($3:$177),178),ROW(J71)))&amp;""</f>
        <v/>
      </c>
    </row>
    <row r="73" spans="1:37" ht="14.4" customHeight="1" x14ac:dyDescent="0.25">
      <c r="A73" s="1052"/>
      <c r="B73" s="119" t="str">
        <f>IF(AU$8&gt;=1,"咒剑"&amp;B71,"")</f>
        <v/>
      </c>
      <c r="C73" s="180" t="str">
        <f>C71</f>
        <v>1D4</v>
      </c>
      <c r="D73" s="180" t="str">
        <f>D71</f>
        <v>钝击</v>
      </c>
      <c r="E73" s="354">
        <f>E71</f>
        <v>0</v>
      </c>
      <c r="F73" s="180" t="str">
        <f>F71</f>
        <v>弹药（射程30/120）</v>
      </c>
      <c r="G73" s="180"/>
      <c r="H73" s="198">
        <f>H$61</f>
        <v>2</v>
      </c>
      <c r="S73" s="115" t="s">
        <v>3942</v>
      </c>
      <c r="T73" s="130">
        <v>5</v>
      </c>
      <c r="U73" s="180">
        <v>4</v>
      </c>
      <c r="V73" s="180" t="str">
        <f t="shared" si="10"/>
        <v/>
      </c>
      <c r="W73" s="155"/>
      <c r="X73" s="130"/>
      <c r="Y73" s="130"/>
      <c r="Z73" s="130"/>
      <c r="AA73" s="119"/>
      <c r="AB73" s="130"/>
      <c r="AC73" s="106"/>
      <c r="AD73" s="106"/>
      <c r="AE73" s="367"/>
      <c r="AF73" s="119"/>
      <c r="AG73" s="130"/>
      <c r="AH73" s="106"/>
      <c r="AI73" s="130"/>
      <c r="AK73" s="157" t="str">
        <f t="array" ref="AK73">INDEX(B:B,SMALL(IF($B$3:$B$177&lt;&gt;"",ROW($3:$177),178),ROW(J72)))&amp;""</f>
        <v/>
      </c>
    </row>
    <row r="74" spans="1:37" ht="14.4" customHeight="1" x14ac:dyDescent="0.25">
      <c r="A74" s="1052"/>
      <c r="B74" s="119" t="str">
        <f>IF(AU$9=1,"匠师"&amp;B71,"")</f>
        <v/>
      </c>
      <c r="C74" s="180" t="str">
        <f>C71</f>
        <v>1D4</v>
      </c>
      <c r="D74" s="180" t="str">
        <f>D71</f>
        <v>钝击</v>
      </c>
      <c r="E74" s="354">
        <f>E71</f>
        <v>0</v>
      </c>
      <c r="F74" s="180" t="str">
        <f>F71</f>
        <v>弹药（射程30/120）</v>
      </c>
      <c r="G74" s="180"/>
      <c r="H74" s="198">
        <f>H$62</f>
        <v>4</v>
      </c>
      <c r="S74" s="115" t="s">
        <v>3943</v>
      </c>
      <c r="T74" s="130">
        <v>10</v>
      </c>
      <c r="U74" s="180">
        <v>1</v>
      </c>
      <c r="V74" s="180" t="str">
        <f t="shared" si="10"/>
        <v/>
      </c>
      <c r="W74" s="155"/>
      <c r="X74" s="130"/>
      <c r="Y74" s="130"/>
      <c r="Z74" s="130"/>
      <c r="AA74" s="119"/>
      <c r="AB74" s="130"/>
      <c r="AC74" s="106"/>
      <c r="AD74" s="106"/>
      <c r="AE74" s="367"/>
      <c r="AF74" s="119"/>
      <c r="AG74" s="130"/>
      <c r="AH74" s="106"/>
      <c r="AI74" s="130"/>
      <c r="AK74" s="157" t="str">
        <f t="array" ref="AK74">INDEX(B:B,SMALL(IF($B$3:$B$177&lt;&gt;"",ROW($3:$177),178),ROW(J73)))&amp;""</f>
        <v/>
      </c>
    </row>
    <row r="75" spans="1:37" ht="14.4" customHeight="1" x14ac:dyDescent="0.25">
      <c r="A75" s="1052"/>
      <c r="B75" s="180" t="str">
        <f>IF(COUNTIF(AL2,"渗透*"),"闪电发射","")</f>
        <v/>
      </c>
      <c r="C75" s="119" t="s">
        <v>3671</v>
      </c>
      <c r="D75" s="119" t="s">
        <v>3746</v>
      </c>
      <c r="E75" s="354"/>
      <c r="F75" s="119" t="s">
        <v>3944</v>
      </c>
      <c r="G75" s="180"/>
      <c r="H75" s="198">
        <f>MAX(主要!R15,主要!R17)</f>
        <v>4</v>
      </c>
      <c r="S75" s="115" t="s">
        <v>3945</v>
      </c>
      <c r="T75" s="130">
        <v>1</v>
      </c>
      <c r="U75" s="180">
        <v>0</v>
      </c>
      <c r="V75" s="119" t="s">
        <v>3946</v>
      </c>
      <c r="W75" s="155"/>
      <c r="X75" s="130"/>
      <c r="Y75" s="130"/>
      <c r="Z75" s="130"/>
      <c r="AA75" s="119"/>
      <c r="AB75" s="130"/>
      <c r="AC75" s="106"/>
      <c r="AD75" s="106"/>
      <c r="AE75" s="367"/>
      <c r="AF75" s="119"/>
      <c r="AG75" s="130"/>
      <c r="AH75" s="130"/>
      <c r="AI75" s="130"/>
      <c r="AK75" s="157" t="str">
        <f t="array" ref="AK75">INDEX(B:B,SMALL(IF($B$3:$B$177&lt;&gt;"",ROW($3:$177),178),ROW(J74)))&amp;""</f>
        <v/>
      </c>
    </row>
    <row r="76" spans="1:37" ht="14.4" customHeight="1" x14ac:dyDescent="0.25">
      <c r="A76" s="1052"/>
      <c r="B76" s="180" t="str">
        <f>IF(B75="","",IF(AU$7=2,"剑圣"&amp;B75,IF(AU$7&gt;=1,"专用"&amp;B75,"")))</f>
        <v/>
      </c>
      <c r="C76" s="180" t="str">
        <f>C24</f>
        <v>1D6</v>
      </c>
      <c r="D76" s="180" t="str">
        <f>D75</f>
        <v>闪电</v>
      </c>
      <c r="E76" s="354">
        <f>E75</f>
        <v>0</v>
      </c>
      <c r="F76" s="180" t="str">
        <f>F75</f>
        <v>（射程90/300）</v>
      </c>
      <c r="G76" s="180"/>
      <c r="H76" s="198">
        <f>MAX(主要!R15,H75)</f>
        <v>4</v>
      </c>
      <c r="S76" s="115" t="s">
        <v>3947</v>
      </c>
      <c r="T76" s="130">
        <v>1</v>
      </c>
      <c r="U76" s="180">
        <v>0</v>
      </c>
      <c r="V76" s="119" t="s">
        <v>3948</v>
      </c>
      <c r="W76" s="155"/>
      <c r="X76" s="130"/>
      <c r="Y76" s="130"/>
      <c r="Z76" s="130"/>
      <c r="AA76" s="119"/>
      <c r="AB76" s="130"/>
      <c r="AC76" s="106"/>
      <c r="AD76" s="106"/>
      <c r="AE76" s="367"/>
      <c r="AF76" s="119"/>
      <c r="AG76" s="130"/>
      <c r="AH76" s="130"/>
      <c r="AI76" s="130"/>
      <c r="AK76" s="157" t="str">
        <f t="array" ref="AK76">INDEX(B:B,SMALL(IF($B$3:$B$177&lt;&gt;"",ROW($3:$177),178),ROW(J75)))&amp;""</f>
        <v/>
      </c>
    </row>
    <row r="77" spans="1:37" ht="14.4" customHeight="1" x14ac:dyDescent="0.25">
      <c r="A77" s="1052"/>
      <c r="B77" s="119" t="str">
        <f>IF(B75="","",IF(AU$8&gt;=1,"咒剑"&amp;B75,""))</f>
        <v/>
      </c>
      <c r="C77" s="180" t="str">
        <f>C75</f>
        <v>1D6</v>
      </c>
      <c r="D77" s="180" t="str">
        <f>D75</f>
        <v>闪电</v>
      </c>
      <c r="E77" s="354">
        <f>E75</f>
        <v>0</v>
      </c>
      <c r="F77" s="180" t="str">
        <f>F75</f>
        <v>（射程90/300）</v>
      </c>
      <c r="G77" s="180"/>
      <c r="H77" s="198">
        <f>MAX(主要!R$19,装备数据!H75)</f>
        <v>4</v>
      </c>
      <c r="S77" s="115" t="s">
        <v>3949</v>
      </c>
      <c r="T77" s="130">
        <v>5</v>
      </c>
      <c r="U77" s="180">
        <v>4</v>
      </c>
      <c r="V77" s="119" t="s">
        <v>3950</v>
      </c>
      <c r="W77" s="155"/>
      <c r="X77" s="130"/>
      <c r="Y77" s="130"/>
      <c r="Z77" s="130"/>
      <c r="AA77" s="119"/>
      <c r="AB77" s="130"/>
      <c r="AC77" s="106"/>
      <c r="AD77" s="106"/>
      <c r="AE77" s="367"/>
      <c r="AF77" s="119"/>
      <c r="AG77" s="130"/>
      <c r="AH77" s="130"/>
      <c r="AI77" s="130"/>
      <c r="AK77" s="157" t="str">
        <f t="array" ref="AK77">INDEX(B:B,SMALL(IF($B$3:$B$177&lt;&gt;"",ROW($3:$177),178),ROW(J76)))&amp;""</f>
        <v/>
      </c>
    </row>
    <row r="78" spans="1:37" ht="14.4" customHeight="1" x14ac:dyDescent="0.25">
      <c r="A78" s="1052" t="s">
        <v>3951</v>
      </c>
      <c r="B78" s="119" t="s">
        <v>3952</v>
      </c>
      <c r="C78" s="119" t="s">
        <v>3777</v>
      </c>
      <c r="D78" s="119" t="s">
        <v>3713</v>
      </c>
      <c r="E78" s="354">
        <v>4</v>
      </c>
      <c r="F78" s="119" t="s">
        <v>3953</v>
      </c>
      <c r="G78" s="180">
        <v>10</v>
      </c>
      <c r="H78" s="198">
        <f>主要!R14</f>
        <v>-1</v>
      </c>
      <c r="S78" s="115" t="s">
        <v>3954</v>
      </c>
      <c r="T78" s="130">
        <v>10</v>
      </c>
      <c r="U78" s="180">
        <v>1</v>
      </c>
      <c r="V78" s="119" t="s">
        <v>3955</v>
      </c>
      <c r="W78" s="155"/>
      <c r="X78" s="130"/>
      <c r="Y78" s="130"/>
      <c r="Z78" s="130"/>
      <c r="AA78" s="119"/>
      <c r="AB78" s="130"/>
      <c r="AC78" s="106"/>
      <c r="AD78" s="106"/>
      <c r="AE78" s="367"/>
      <c r="AF78" s="119"/>
      <c r="AG78" s="130"/>
      <c r="AH78" s="106"/>
      <c r="AI78" s="130"/>
      <c r="AK78" s="157" t="str">
        <f t="array" ref="AK78">INDEX(B:B,SMALL(IF($B$3:$B$177&lt;&gt;"",ROW($3:$177),178),ROW(J77)))&amp;""</f>
        <v/>
      </c>
    </row>
    <row r="79" spans="1:37" ht="14.4" customHeight="1" x14ac:dyDescent="0.25">
      <c r="A79" s="1052"/>
      <c r="B79" s="180" t="str">
        <f>IF(AU$7=2,"剑圣"&amp;B78,IF(AU$7&gt;=1,"专用"&amp;B78,""))</f>
        <v/>
      </c>
      <c r="C79" s="180" t="str">
        <f>C$15</f>
        <v>1D8</v>
      </c>
      <c r="D79" s="180" t="str">
        <f>D78</f>
        <v>挥砍</v>
      </c>
      <c r="E79" s="354">
        <f>E78</f>
        <v>4</v>
      </c>
      <c r="F79" s="180" t="str">
        <f>F78</f>
        <v>两用（1d10）</v>
      </c>
      <c r="G79" s="180"/>
      <c r="H79" s="198">
        <f>H$3</f>
        <v>-1</v>
      </c>
      <c r="S79" s="115" t="s">
        <v>3956</v>
      </c>
      <c r="T79" s="130">
        <v>5</v>
      </c>
      <c r="U79" s="180">
        <v>1</v>
      </c>
      <c r="V79" s="119" t="s">
        <v>3957</v>
      </c>
      <c r="W79" s="155"/>
      <c r="X79" s="130"/>
      <c r="Y79" s="130"/>
      <c r="Z79" s="130"/>
      <c r="AA79" s="119"/>
      <c r="AB79" s="130"/>
      <c r="AC79" s="106"/>
      <c r="AD79" s="106"/>
      <c r="AE79" s="367"/>
      <c r="AF79" s="119"/>
      <c r="AG79" s="130"/>
      <c r="AH79" s="130"/>
      <c r="AI79" s="130"/>
      <c r="AK79" s="157" t="str">
        <f t="array" ref="AK79">INDEX(B:B,SMALL(IF($B$3:$B$177&lt;&gt;"",ROW($3:$177),178),ROW(J78)))&amp;""</f>
        <v/>
      </c>
    </row>
    <row r="80" spans="1:37" ht="14.4" customHeight="1" x14ac:dyDescent="0.25">
      <c r="A80" s="1052"/>
      <c r="B80" s="119" t="str">
        <f>IF(AU$8&gt;=1,"咒剑"&amp;B78,"")</f>
        <v/>
      </c>
      <c r="C80" s="180" t="str">
        <f>C78</f>
        <v>1D8</v>
      </c>
      <c r="D80" s="180" t="str">
        <f>D78</f>
        <v>挥砍</v>
      </c>
      <c r="E80" s="354">
        <f>E78</f>
        <v>4</v>
      </c>
      <c r="F80" s="180" t="str">
        <f>F78</f>
        <v>两用（1d10）</v>
      </c>
      <c r="G80" s="180"/>
      <c r="H80" s="198">
        <f>MAX(主要!R$19,装备数据!H78)</f>
        <v>0</v>
      </c>
      <c r="S80" s="115" t="s">
        <v>3958</v>
      </c>
      <c r="T80" s="130">
        <v>5</v>
      </c>
      <c r="U80" s="180">
        <v>0</v>
      </c>
      <c r="V80" s="119" t="s">
        <v>3959</v>
      </c>
      <c r="W80" s="155"/>
      <c r="X80" s="130"/>
      <c r="Y80" s="130"/>
      <c r="Z80" s="130"/>
      <c r="AA80" s="119"/>
      <c r="AB80" s="130"/>
      <c r="AC80" s="130"/>
      <c r="AD80" s="106"/>
      <c r="AE80" s="367"/>
      <c r="AF80" s="119"/>
      <c r="AG80" s="130"/>
      <c r="AH80" s="130"/>
      <c r="AI80" s="130"/>
      <c r="AK80" s="157" t="str">
        <f t="array" ref="AK80">INDEX(B:B,SMALL(IF($B$3:$B$177&lt;&gt;"",ROW($3:$177),178),ROW(J79)))&amp;""</f>
        <v/>
      </c>
    </row>
    <row r="81" spans="1:37" ht="14.4" customHeight="1" x14ac:dyDescent="0.25">
      <c r="A81" s="1052"/>
      <c r="B81" s="119" t="str">
        <f>IF(AU$9=1,"匠师"&amp;B78,"")</f>
        <v/>
      </c>
      <c r="C81" s="180" t="str">
        <f>C78</f>
        <v>1D8</v>
      </c>
      <c r="D81" s="180" t="str">
        <f>D78</f>
        <v>挥砍</v>
      </c>
      <c r="E81" s="354">
        <f>E78</f>
        <v>4</v>
      </c>
      <c r="F81" s="180" t="str">
        <f>F78</f>
        <v>两用（1d10）</v>
      </c>
      <c r="G81" s="180"/>
      <c r="H81" s="198">
        <f>MAX(主要!R$17,装备数据!H78)</f>
        <v>4</v>
      </c>
      <c r="S81" s="115" t="s">
        <v>3960</v>
      </c>
      <c r="T81" s="130">
        <v>5</v>
      </c>
      <c r="U81" s="180">
        <v>2</v>
      </c>
      <c r="V81" s="119" t="s">
        <v>3961</v>
      </c>
      <c r="W81" s="155"/>
      <c r="X81" s="130"/>
      <c r="Y81" s="130"/>
      <c r="Z81" s="130"/>
      <c r="AA81" s="119"/>
      <c r="AB81" s="130"/>
      <c r="AC81" s="106"/>
      <c r="AD81" s="106"/>
      <c r="AE81" s="367"/>
      <c r="AF81" s="119"/>
      <c r="AG81" s="130"/>
      <c r="AH81" s="130"/>
      <c r="AI81" s="130"/>
      <c r="AK81" s="157" t="str">
        <f t="array" ref="AK81">INDEX(B:B,SMALL(IF($B$3:$B$177&lt;&gt;"",ROW($3:$177),178),ROW(J80)))&amp;""</f>
        <v/>
      </c>
    </row>
    <row r="82" spans="1:37" ht="14.4" customHeight="1" x14ac:dyDescent="0.25">
      <c r="A82" s="1052"/>
      <c r="B82" s="119" t="s">
        <v>3962</v>
      </c>
      <c r="C82" s="119" t="s">
        <v>3777</v>
      </c>
      <c r="D82" s="119" t="s">
        <v>127</v>
      </c>
      <c r="E82" s="354">
        <v>2</v>
      </c>
      <c r="F82" s="119" t="s">
        <v>3845</v>
      </c>
      <c r="G82" s="180">
        <v>10</v>
      </c>
      <c r="H82" s="198">
        <f>H$78</f>
        <v>-1</v>
      </c>
      <c r="S82" s="368" t="s">
        <v>3963</v>
      </c>
      <c r="T82" s="130">
        <v>150</v>
      </c>
      <c r="U82" s="180">
        <v>1</v>
      </c>
      <c r="V82" s="119" t="s">
        <v>3964</v>
      </c>
      <c r="W82" s="155"/>
      <c r="X82" s="130"/>
      <c r="Y82" s="130"/>
      <c r="Z82" s="130"/>
      <c r="AA82" s="119"/>
      <c r="AB82" s="130"/>
      <c r="AC82" s="106"/>
      <c r="AD82" s="106"/>
      <c r="AE82" s="367"/>
      <c r="AF82" s="119"/>
      <c r="AG82" s="130"/>
      <c r="AH82" s="130"/>
      <c r="AI82" s="130"/>
      <c r="AK82" s="157" t="str">
        <f t="array" ref="AK82">INDEX(B:B,SMALL(IF($B$3:$B$177&lt;&gt;"",ROW($3:$177),178),ROW(J81)))&amp;""</f>
        <v/>
      </c>
    </row>
    <row r="83" spans="1:37" ht="14.4" customHeight="1" x14ac:dyDescent="0.25">
      <c r="A83" s="1052"/>
      <c r="B83" s="180" t="str">
        <f>IF(AU$7=2,"剑圣"&amp;B82,IF(AU$7&gt;=1,"专用"&amp;B82,""))</f>
        <v/>
      </c>
      <c r="C83" s="180" t="str">
        <f>C$15</f>
        <v>1D8</v>
      </c>
      <c r="D83" s="180" t="str">
        <f>D82</f>
        <v>钝击</v>
      </c>
      <c r="E83" s="354">
        <f>E82</f>
        <v>2</v>
      </c>
      <c r="F83" s="180" t="str">
        <f>F82</f>
        <v>-</v>
      </c>
      <c r="G83" s="180"/>
      <c r="H83" s="198">
        <f>H$3</f>
        <v>-1</v>
      </c>
      <c r="S83" s="368" t="s">
        <v>3965</v>
      </c>
      <c r="T83" s="130">
        <v>250</v>
      </c>
      <c r="U83" s="180">
        <v>20</v>
      </c>
      <c r="V83" s="119" t="s">
        <v>3966</v>
      </c>
      <c r="W83" s="155"/>
      <c r="X83" s="130"/>
      <c r="Y83" s="130"/>
      <c r="Z83" s="130"/>
      <c r="AA83" s="119"/>
      <c r="AB83" s="130"/>
      <c r="AC83" s="106"/>
      <c r="AD83" s="106"/>
      <c r="AE83" s="367"/>
      <c r="AF83" s="119"/>
      <c r="AG83" s="130"/>
      <c r="AH83" s="130"/>
      <c r="AI83" s="130"/>
      <c r="AK83" s="157" t="str">
        <f t="array" ref="AK83">INDEX(B:B,SMALL(IF($B$3:$B$177&lt;&gt;"",ROW($3:$177),178),ROW(J82)))&amp;""</f>
        <v/>
      </c>
    </row>
    <row r="84" spans="1:37" ht="14.4" customHeight="1" x14ac:dyDescent="0.25">
      <c r="A84" s="1052"/>
      <c r="B84" s="119" t="str">
        <f>IF(AU$8&gt;=1,"咒剑"&amp;B82,"")</f>
        <v/>
      </c>
      <c r="C84" s="180" t="str">
        <f>C82</f>
        <v>1D8</v>
      </c>
      <c r="D84" s="180" t="str">
        <f>D82</f>
        <v>钝击</v>
      </c>
      <c r="E84" s="354">
        <f>E82</f>
        <v>2</v>
      </c>
      <c r="F84" s="180" t="str">
        <f>F82</f>
        <v>-</v>
      </c>
      <c r="G84" s="180"/>
      <c r="H84" s="198">
        <f>H$80</f>
        <v>0</v>
      </c>
      <c r="S84" s="368" t="s">
        <v>3967</v>
      </c>
      <c r="T84" s="130">
        <v>35</v>
      </c>
      <c r="U84" s="180">
        <v>2</v>
      </c>
      <c r="V84" s="119" t="s">
        <v>3968</v>
      </c>
      <c r="W84" s="155"/>
      <c r="X84" s="130"/>
      <c r="Y84" s="130"/>
      <c r="Z84" s="130"/>
      <c r="AA84" s="119"/>
      <c r="AB84" s="130"/>
      <c r="AC84" s="106"/>
      <c r="AD84" s="106"/>
      <c r="AE84" s="367"/>
      <c r="AF84" s="119"/>
      <c r="AG84" s="130"/>
      <c r="AH84" s="130"/>
      <c r="AI84" s="130"/>
      <c r="AK84" s="157" t="str">
        <f t="array" ref="AK84">INDEX(B:B,SMALL(IF($B$3:$B$177&lt;&gt;"",ROW($3:$177),178),ROW(J83)))&amp;""</f>
        <v/>
      </c>
    </row>
    <row r="85" spans="1:37" ht="14.4" customHeight="1" x14ac:dyDescent="0.25">
      <c r="A85" s="1052"/>
      <c r="B85" s="119" t="str">
        <f>IF(AU$9=1,"匠师"&amp;B82,"")</f>
        <v/>
      </c>
      <c r="C85" s="180" t="str">
        <f>C82</f>
        <v>1D8</v>
      </c>
      <c r="D85" s="180" t="str">
        <f>D82</f>
        <v>钝击</v>
      </c>
      <c r="E85" s="354">
        <f>E82</f>
        <v>2</v>
      </c>
      <c r="F85" s="180" t="str">
        <f>F82</f>
        <v>-</v>
      </c>
      <c r="G85" s="180"/>
      <c r="H85" s="198">
        <f>H$81</f>
        <v>4</v>
      </c>
      <c r="S85" s="115" t="s">
        <v>141</v>
      </c>
      <c r="T85" s="130">
        <v>0.5</v>
      </c>
      <c r="U85" s="180">
        <v>3</v>
      </c>
      <c r="V85" s="180" t="str">
        <f>""</f>
        <v/>
      </c>
      <c r="W85" s="155"/>
      <c r="X85" s="130"/>
      <c r="Y85" s="130"/>
      <c r="Z85" s="130"/>
      <c r="AA85" s="369"/>
      <c r="AB85" s="130"/>
      <c r="AC85" s="106"/>
      <c r="AD85" s="106"/>
      <c r="AE85" s="367"/>
      <c r="AF85" s="119"/>
      <c r="AG85" s="130"/>
      <c r="AH85" s="130"/>
      <c r="AI85" s="130"/>
      <c r="AK85" s="157" t="str">
        <f t="array" ref="AK85">INDEX(B:B,SMALL(IF($B$3:$B$177&lt;&gt;"",ROW($3:$177),178),ROW(J84)))&amp;""</f>
        <v/>
      </c>
    </row>
    <row r="86" spans="1:37" ht="14.4" customHeight="1" x14ac:dyDescent="0.25">
      <c r="A86" s="1052"/>
      <c r="B86" s="119" t="s">
        <v>3969</v>
      </c>
      <c r="C86" s="119" t="s">
        <v>3970</v>
      </c>
      <c r="D86" s="119" t="s">
        <v>3713</v>
      </c>
      <c r="E86" s="354">
        <v>6</v>
      </c>
      <c r="F86" s="119" t="s">
        <v>3971</v>
      </c>
      <c r="G86" s="180">
        <v>20</v>
      </c>
      <c r="H86" s="198">
        <f>H$78</f>
        <v>-1</v>
      </c>
      <c r="S86" s="115" t="s">
        <v>3972</v>
      </c>
      <c r="T86" s="130">
        <v>5</v>
      </c>
      <c r="U86" s="180">
        <v>4</v>
      </c>
      <c r="V86" s="180" t="str">
        <f>""</f>
        <v/>
      </c>
      <c r="W86" s="155"/>
      <c r="X86" s="130"/>
      <c r="Y86" s="130"/>
      <c r="Z86" s="130"/>
      <c r="AA86" s="369"/>
      <c r="AB86" s="130"/>
      <c r="AC86" s="106"/>
      <c r="AD86" s="106"/>
      <c r="AE86" s="367"/>
      <c r="AF86" s="119"/>
      <c r="AG86" s="130"/>
      <c r="AH86" s="130"/>
      <c r="AI86" s="130"/>
      <c r="AK86" s="157" t="str">
        <f t="array" ref="AK86">INDEX(B:B,SMALL(IF($B$3:$B$177&lt;&gt;"",ROW($3:$177),178),ROW(J85)))&amp;""</f>
        <v/>
      </c>
    </row>
    <row r="87" spans="1:37" ht="14.4" customHeight="1" x14ac:dyDescent="0.25">
      <c r="A87" s="1052"/>
      <c r="B87" s="119" t="str">
        <f>IF(AU$8=2,"咒剑"&amp;B86,"")</f>
        <v/>
      </c>
      <c r="C87" s="180" t="str">
        <f>C86</f>
        <v>1D10</v>
      </c>
      <c r="D87" s="180" t="str">
        <f>D86</f>
        <v>挥砍</v>
      </c>
      <c r="E87" s="354">
        <f>E86</f>
        <v>6</v>
      </c>
      <c r="F87" s="180" t="str">
        <f>F86</f>
        <v>重型，触及，双手</v>
      </c>
      <c r="G87" s="180"/>
      <c r="H87" s="198">
        <f>H$80</f>
        <v>0</v>
      </c>
      <c r="S87" s="115" t="s">
        <v>3973</v>
      </c>
      <c r="T87" s="130">
        <v>15</v>
      </c>
      <c r="U87" s="180">
        <v>6</v>
      </c>
      <c r="V87" s="180" t="str">
        <f>""</f>
        <v/>
      </c>
      <c r="W87" s="155"/>
      <c r="X87" s="130"/>
      <c r="Y87" s="130"/>
      <c r="Z87" s="130"/>
      <c r="AA87" s="119"/>
      <c r="AB87" s="130"/>
      <c r="AC87" s="130"/>
      <c r="AD87" s="367"/>
      <c r="AE87" s="367"/>
      <c r="AF87" s="130"/>
      <c r="AG87" s="130"/>
      <c r="AH87" s="106"/>
      <c r="AI87" s="130"/>
      <c r="AK87" s="157" t="str">
        <f t="array" ref="AK87">INDEX(B:B,SMALL(IF($B$3:$B$177&lt;&gt;"",ROW($3:$177),178),ROW(J86)))&amp;""</f>
        <v/>
      </c>
    </row>
    <row r="88" spans="1:37" ht="14.4" customHeight="1" x14ac:dyDescent="0.25">
      <c r="A88" s="1052"/>
      <c r="B88" s="119" t="str">
        <f>IF(AU$9=1,"匠师"&amp;B86,"")</f>
        <v/>
      </c>
      <c r="C88" s="180" t="str">
        <f>C86</f>
        <v>1D10</v>
      </c>
      <c r="D88" s="180" t="str">
        <f>D86</f>
        <v>挥砍</v>
      </c>
      <c r="E88" s="354">
        <f>E86</f>
        <v>6</v>
      </c>
      <c r="F88" s="180" t="str">
        <f>F86</f>
        <v>重型，触及，双手</v>
      </c>
      <c r="G88" s="180"/>
      <c r="H88" s="198">
        <f>H$81</f>
        <v>4</v>
      </c>
      <c r="S88" s="115" t="s">
        <v>3974</v>
      </c>
      <c r="T88" s="130">
        <v>2</v>
      </c>
      <c r="U88" s="180">
        <v>4</v>
      </c>
      <c r="V88" s="180" t="str">
        <f>""</f>
        <v/>
      </c>
      <c r="W88" s="155"/>
      <c r="X88" s="130"/>
      <c r="Y88" s="130"/>
      <c r="Z88" s="130"/>
      <c r="AA88" s="119"/>
      <c r="AB88" s="130"/>
      <c r="AC88" s="130"/>
      <c r="AD88" s="367"/>
      <c r="AE88" s="367"/>
      <c r="AF88" s="130"/>
      <c r="AG88" s="130"/>
      <c r="AH88" s="130"/>
      <c r="AI88" s="130"/>
      <c r="AK88" s="157" t="str">
        <f t="array" ref="AK88">INDEX(B:B,SMALL(IF($B$3:$B$177&lt;&gt;"",ROW($3:$177),178),ROW(J87)))&amp;""</f>
        <v/>
      </c>
    </row>
    <row r="89" spans="1:37" ht="14.4" customHeight="1" x14ac:dyDescent="0.25">
      <c r="A89" s="1052"/>
      <c r="B89" s="119" t="s">
        <v>3975</v>
      </c>
      <c r="C89" s="119" t="s">
        <v>3976</v>
      </c>
      <c r="D89" s="119" t="s">
        <v>3713</v>
      </c>
      <c r="E89" s="354">
        <v>7</v>
      </c>
      <c r="F89" s="119" t="s">
        <v>3977</v>
      </c>
      <c r="G89" s="180">
        <v>30</v>
      </c>
      <c r="H89" s="198">
        <f>H$78</f>
        <v>-1</v>
      </c>
      <c r="S89" s="115" t="s">
        <v>3978</v>
      </c>
      <c r="T89" s="130">
        <v>1</v>
      </c>
      <c r="U89" s="180">
        <v>4</v>
      </c>
      <c r="V89" s="180" t="str">
        <f>""</f>
        <v/>
      </c>
      <c r="W89" s="155"/>
      <c r="X89" s="130"/>
      <c r="Y89" s="130"/>
      <c r="Z89" s="130"/>
      <c r="AA89" s="119"/>
      <c r="AB89" s="130"/>
      <c r="AC89" s="130"/>
      <c r="AD89" s="130"/>
      <c r="AE89" s="367"/>
      <c r="AF89" s="130"/>
      <c r="AG89" s="130"/>
      <c r="AH89" s="106"/>
      <c r="AI89" s="130"/>
      <c r="AK89" s="157" t="str">
        <f t="array" ref="AK89">INDEX(B:B,SMALL(IF($B$3:$B$177&lt;&gt;"",ROW($3:$177),178),ROW(J88)))&amp;""</f>
        <v/>
      </c>
    </row>
    <row r="90" spans="1:37" ht="14.4" customHeight="1" x14ac:dyDescent="0.25">
      <c r="A90" s="1052"/>
      <c r="B90" s="119" t="str">
        <f>IF(AU$8=2,"咒剑"&amp;B89,"")</f>
        <v/>
      </c>
      <c r="C90" s="180" t="str">
        <f>C89</f>
        <v>1D12</v>
      </c>
      <c r="D90" s="180" t="str">
        <f>D89</f>
        <v>挥砍</v>
      </c>
      <c r="E90" s="354">
        <f>E89</f>
        <v>7</v>
      </c>
      <c r="F90" s="180" t="str">
        <f>F89</f>
        <v>重型，双手</v>
      </c>
      <c r="G90" s="180"/>
      <c r="H90" s="198">
        <f>H$80</f>
        <v>0</v>
      </c>
      <c r="S90" s="115" t="s">
        <v>3979</v>
      </c>
      <c r="T90" s="130">
        <v>1</v>
      </c>
      <c r="U90" s="180">
        <v>1</v>
      </c>
      <c r="V90" s="119" t="s">
        <v>3980</v>
      </c>
      <c r="W90" s="155"/>
      <c r="X90" s="130"/>
      <c r="Y90" s="130"/>
      <c r="Z90" s="130"/>
      <c r="AE90" s="367"/>
      <c r="AF90" s="119"/>
      <c r="AG90" s="130"/>
      <c r="AH90" s="130"/>
      <c r="AI90" s="130"/>
      <c r="AK90" s="157" t="str">
        <f t="array" ref="AK90">INDEX(B:B,SMALL(IF($B$3:$B$177&lt;&gt;"",ROW($3:$177),178),ROW(J89)))&amp;""</f>
        <v/>
      </c>
    </row>
    <row r="91" spans="1:37" ht="14.4" customHeight="1" x14ac:dyDescent="0.25">
      <c r="A91" s="1052"/>
      <c r="B91" s="119" t="str">
        <f>IF(AU$9=1,"匠师"&amp;B89,"")</f>
        <v/>
      </c>
      <c r="C91" s="180" t="str">
        <f>C89</f>
        <v>1D12</v>
      </c>
      <c r="D91" s="180" t="str">
        <f>D89</f>
        <v>挥砍</v>
      </c>
      <c r="E91" s="354">
        <f>E89</f>
        <v>7</v>
      </c>
      <c r="F91" s="180" t="str">
        <f>F89</f>
        <v>重型，双手</v>
      </c>
      <c r="G91" s="180"/>
      <c r="H91" s="198">
        <f>H$81</f>
        <v>4</v>
      </c>
      <c r="S91" s="115" t="s">
        <v>3981</v>
      </c>
      <c r="T91" s="130">
        <v>1</v>
      </c>
      <c r="U91" s="180">
        <v>1</v>
      </c>
      <c r="V91" s="119" t="s">
        <v>3982</v>
      </c>
      <c r="W91" s="155"/>
      <c r="X91" s="130"/>
      <c r="Y91" s="130"/>
      <c r="Z91" s="130"/>
      <c r="AF91" s="119"/>
      <c r="AG91" s="130"/>
      <c r="AH91" s="130"/>
      <c r="AI91" s="130"/>
      <c r="AK91" s="157" t="str">
        <f t="array" ref="AK91">INDEX(B:B,SMALL(IF($B$3:$B$177&lt;&gt;"",ROW($3:$177),178),ROW(J90)))&amp;""</f>
        <v/>
      </c>
    </row>
    <row r="92" spans="1:37" ht="14.4" customHeight="1" x14ac:dyDescent="0.25">
      <c r="A92" s="1052"/>
      <c r="B92" s="119" t="s">
        <v>3983</v>
      </c>
      <c r="C92" s="119" t="s">
        <v>3984</v>
      </c>
      <c r="D92" s="119" t="s">
        <v>3713</v>
      </c>
      <c r="E92" s="354">
        <v>6</v>
      </c>
      <c r="F92" s="119" t="s">
        <v>3977</v>
      </c>
      <c r="G92" s="180">
        <v>50</v>
      </c>
      <c r="H92" s="198">
        <f>H$78</f>
        <v>-1</v>
      </c>
      <c r="S92" s="115" t="s">
        <v>3985</v>
      </c>
      <c r="T92" s="130">
        <v>1</v>
      </c>
      <c r="U92" s="180">
        <v>1</v>
      </c>
      <c r="V92" s="119" t="s">
        <v>3986</v>
      </c>
      <c r="W92" s="155"/>
      <c r="X92" s="130"/>
      <c r="Y92" s="130"/>
      <c r="Z92" s="130"/>
      <c r="AF92" s="119"/>
      <c r="AG92" s="130"/>
      <c r="AH92" s="130"/>
      <c r="AI92" s="130"/>
      <c r="AK92" s="157" t="str">
        <f t="array" ref="AK92">INDEX(B:B,SMALL(IF($B$3:$B$177&lt;&gt;"",ROW($3:$177),178),ROW(J91)))&amp;""</f>
        <v/>
      </c>
    </row>
    <row r="93" spans="1:37" ht="14.4" customHeight="1" x14ac:dyDescent="0.25">
      <c r="A93" s="1052"/>
      <c r="B93" s="119" t="str">
        <f>IF(AU$8=2,"咒剑"&amp;B92,"")</f>
        <v/>
      </c>
      <c r="C93" s="180" t="str">
        <f>C92</f>
        <v>2D6</v>
      </c>
      <c r="D93" s="180" t="str">
        <f>D92</f>
        <v>挥砍</v>
      </c>
      <c r="E93" s="354">
        <f>E92</f>
        <v>6</v>
      </c>
      <c r="F93" s="180" t="str">
        <f>F92</f>
        <v>重型，双手</v>
      </c>
      <c r="G93" s="180"/>
      <c r="H93" s="198">
        <f>H$80</f>
        <v>0</v>
      </c>
      <c r="S93" s="118" t="s">
        <v>3987</v>
      </c>
      <c r="T93" s="180">
        <v>50</v>
      </c>
      <c r="U93" s="180">
        <v>8</v>
      </c>
      <c r="V93" s="119" t="s">
        <v>3988</v>
      </c>
      <c r="W93" s="155"/>
      <c r="X93" s="130"/>
      <c r="Y93" s="130"/>
      <c r="Z93" s="130"/>
      <c r="AF93" s="119"/>
      <c r="AG93" s="130"/>
      <c r="AH93" s="130"/>
      <c r="AI93" s="130"/>
      <c r="AK93" s="157" t="str">
        <f t="array" ref="AK93">INDEX(B:B,SMALL(IF($B$3:$B$177&lt;&gt;"",ROW($3:$177),178),ROW(J92)))&amp;""</f>
        <v/>
      </c>
    </row>
    <row r="94" spans="1:37" ht="14.4" customHeight="1" x14ac:dyDescent="0.25">
      <c r="A94" s="1052"/>
      <c r="B94" s="119" t="str">
        <f>IF(AU$9=1,"匠师"&amp;B92,"")</f>
        <v/>
      </c>
      <c r="C94" s="180" t="str">
        <f>C92</f>
        <v>2D6</v>
      </c>
      <c r="D94" s="180" t="str">
        <f>D92</f>
        <v>挥砍</v>
      </c>
      <c r="E94" s="354">
        <f>E92</f>
        <v>6</v>
      </c>
      <c r="F94" s="180" t="str">
        <f>F92</f>
        <v>重型，双手</v>
      </c>
      <c r="G94" s="180"/>
      <c r="H94" s="198">
        <f>H$81</f>
        <v>4</v>
      </c>
      <c r="S94" s="118" t="s">
        <v>3989</v>
      </c>
      <c r="T94" s="180">
        <v>20</v>
      </c>
      <c r="U94" s="180">
        <v>9</v>
      </c>
      <c r="V94" s="119" t="s">
        <v>3990</v>
      </c>
      <c r="W94" s="155"/>
      <c r="X94" s="130"/>
      <c r="Y94" s="130"/>
      <c r="Z94" s="130"/>
      <c r="AF94" s="130"/>
      <c r="AG94" s="130"/>
      <c r="AH94" s="130"/>
      <c r="AI94" s="130"/>
      <c r="AK94" s="157" t="str">
        <f t="array" ref="AK94">INDEX(B:B,SMALL(IF($B$3:$B$177&lt;&gt;"",ROW($3:$177),178),ROW(J93)))&amp;""</f>
        <v/>
      </c>
    </row>
    <row r="95" spans="1:37" ht="14.4" customHeight="1" x14ac:dyDescent="0.25">
      <c r="A95" s="1052"/>
      <c r="B95" s="119" t="s">
        <v>3991</v>
      </c>
      <c r="C95" s="119" t="s">
        <v>3970</v>
      </c>
      <c r="D95" s="119" t="s">
        <v>3713</v>
      </c>
      <c r="E95" s="354">
        <v>6</v>
      </c>
      <c r="F95" s="119" t="s">
        <v>3971</v>
      </c>
      <c r="G95" s="180">
        <v>20</v>
      </c>
      <c r="H95" s="198">
        <f>H$78</f>
        <v>-1</v>
      </c>
      <c r="S95" s="118" t="s">
        <v>3992</v>
      </c>
      <c r="T95" s="180">
        <v>10</v>
      </c>
      <c r="U95" s="180">
        <v>5</v>
      </c>
      <c r="V95" s="119" t="s">
        <v>3993</v>
      </c>
      <c r="W95" s="155"/>
      <c r="X95" s="130"/>
      <c r="Y95" s="130"/>
      <c r="Z95" s="130"/>
      <c r="AF95" s="130"/>
      <c r="AG95" s="130"/>
      <c r="AH95" s="130"/>
      <c r="AI95" s="130"/>
      <c r="AK95" s="157" t="str">
        <f t="array" ref="AK95">INDEX(B:B,SMALL(IF($B$3:$B$177&lt;&gt;"",ROW($3:$177),178),ROW(J94)))&amp;""</f>
        <v/>
      </c>
    </row>
    <row r="96" spans="1:37" ht="14.4" customHeight="1" x14ac:dyDescent="0.25">
      <c r="A96" s="1052"/>
      <c r="B96" s="119" t="str">
        <f>IF(AU$8=2,"咒剑"&amp;B95,"")</f>
        <v/>
      </c>
      <c r="C96" s="180" t="str">
        <f>C95</f>
        <v>1D10</v>
      </c>
      <c r="D96" s="180" t="str">
        <f>D95</f>
        <v>挥砍</v>
      </c>
      <c r="E96" s="354">
        <f>E95</f>
        <v>6</v>
      </c>
      <c r="F96" s="180" t="str">
        <f>F95</f>
        <v>重型，触及，双手</v>
      </c>
      <c r="G96" s="180"/>
      <c r="H96" s="198">
        <f>H$80</f>
        <v>0</v>
      </c>
      <c r="S96" s="118" t="s">
        <v>3994</v>
      </c>
      <c r="T96" s="180">
        <v>8</v>
      </c>
      <c r="U96" s="180">
        <v>6</v>
      </c>
      <c r="V96" s="119" t="s">
        <v>3995</v>
      </c>
      <c r="W96" s="155"/>
      <c r="X96" s="130"/>
      <c r="Y96" s="130"/>
      <c r="Z96" s="130"/>
      <c r="AF96" s="130"/>
      <c r="AG96" s="130"/>
      <c r="AH96" s="130"/>
      <c r="AI96" s="130"/>
      <c r="AK96" s="157" t="str">
        <f t="array" ref="AK96">INDEX(B:B,SMALL(IF($B$3:$B$177&lt;&gt;"",ROW($3:$177),178),ROW(J95)))&amp;""</f>
        <v/>
      </c>
    </row>
    <row r="97" spans="1:37" ht="14.4" customHeight="1" x14ac:dyDescent="0.25">
      <c r="A97" s="1052"/>
      <c r="B97" s="119" t="str">
        <f>IF(AU$9=1,"匠师"&amp;B95,"")</f>
        <v/>
      </c>
      <c r="C97" s="180" t="str">
        <f>C95</f>
        <v>1D10</v>
      </c>
      <c r="D97" s="180" t="str">
        <f>D95</f>
        <v>挥砍</v>
      </c>
      <c r="E97" s="354">
        <f>E95</f>
        <v>6</v>
      </c>
      <c r="F97" s="180" t="str">
        <f>F95</f>
        <v>重型，触及，双手</v>
      </c>
      <c r="G97" s="180"/>
      <c r="H97" s="198">
        <f>H$81</f>
        <v>4</v>
      </c>
      <c r="S97" s="118" t="s">
        <v>3996</v>
      </c>
      <c r="T97" s="180">
        <v>15</v>
      </c>
      <c r="U97" s="180">
        <v>6</v>
      </c>
      <c r="V97" s="119" t="s">
        <v>3997</v>
      </c>
      <c r="W97" s="155"/>
      <c r="X97" s="130"/>
      <c r="Y97" s="130"/>
      <c r="Z97" s="130"/>
      <c r="AF97" s="130"/>
      <c r="AG97" s="130"/>
      <c r="AH97" s="130"/>
      <c r="AI97" s="130"/>
      <c r="AK97" s="157" t="str">
        <f t="array" ref="AK97">INDEX(B:B,SMALL(IF($B$3:$B$177&lt;&gt;"",ROW($3:$177),178),ROW(J96)))&amp;""</f>
        <v/>
      </c>
    </row>
    <row r="98" spans="1:37" ht="14.4" customHeight="1" x14ac:dyDescent="0.25">
      <c r="A98" s="1052"/>
      <c r="B98" s="119" t="s">
        <v>3998</v>
      </c>
      <c r="C98" s="119" t="s">
        <v>3976</v>
      </c>
      <c r="D98" s="119" t="s">
        <v>3704</v>
      </c>
      <c r="E98" s="354">
        <v>6</v>
      </c>
      <c r="F98" s="119" t="s">
        <v>3999</v>
      </c>
      <c r="G98" s="180">
        <v>10</v>
      </c>
      <c r="H98" s="198">
        <f>H$78</f>
        <v>-1</v>
      </c>
      <c r="S98" s="118" t="s">
        <v>4000</v>
      </c>
      <c r="T98" s="180">
        <v>5</v>
      </c>
      <c r="U98" s="180">
        <v>5</v>
      </c>
      <c r="V98" s="119" t="s">
        <v>4001</v>
      </c>
      <c r="W98" s="155"/>
      <c r="X98" s="130"/>
      <c r="Y98" s="130"/>
      <c r="Z98" s="130"/>
      <c r="AF98" s="130"/>
      <c r="AG98" s="130"/>
      <c r="AH98" s="130"/>
      <c r="AI98" s="130"/>
      <c r="AK98" s="157" t="str">
        <f t="array" ref="AK98">INDEX(B:B,SMALL(IF($B$3:$B$177&lt;&gt;"",ROW($3:$177),178),ROW(J97)))&amp;""</f>
        <v/>
      </c>
    </row>
    <row r="99" spans="1:37" ht="14.4" customHeight="1" x14ac:dyDescent="0.25">
      <c r="A99" s="1052"/>
      <c r="B99" s="119" t="str">
        <f>IF(AU$8&gt;=1,"咒剑"&amp;B98,"")</f>
        <v/>
      </c>
      <c r="C99" s="180" t="str">
        <f>C98</f>
        <v>1D12</v>
      </c>
      <c r="D99" s="180" t="str">
        <f>D98</f>
        <v>穿刺</v>
      </c>
      <c r="E99" s="354">
        <f>E98</f>
        <v>6</v>
      </c>
      <c r="F99" s="180" t="str">
        <f>F98</f>
        <v>触及，特殊</v>
      </c>
      <c r="G99" s="180"/>
      <c r="H99" s="198">
        <f>H$80</f>
        <v>0</v>
      </c>
      <c r="S99" s="118" t="s">
        <v>4002</v>
      </c>
      <c r="T99" s="180">
        <v>1</v>
      </c>
      <c r="U99" s="180">
        <v>8</v>
      </c>
      <c r="V99" s="119" t="s">
        <v>4003</v>
      </c>
      <c r="W99" s="155"/>
      <c r="X99" s="130"/>
      <c r="Y99" s="130"/>
      <c r="Z99" s="130"/>
      <c r="AF99" s="130"/>
      <c r="AG99" s="130"/>
      <c r="AH99" s="130"/>
      <c r="AI99" s="130"/>
      <c r="AK99" s="157" t="str">
        <f t="array" ref="AK99">INDEX(B:B,SMALL(IF($B$3:$B$177&lt;&gt;"",ROW($3:$177),178),ROW(J98)))&amp;""</f>
        <v/>
      </c>
    </row>
    <row r="100" spans="1:37" ht="14.4" customHeight="1" x14ac:dyDescent="0.25">
      <c r="A100" s="1052"/>
      <c r="B100" s="119" t="str">
        <f>IF(AU$9=1,"匠师"&amp;B98,"")</f>
        <v/>
      </c>
      <c r="C100" s="180" t="str">
        <f>C98</f>
        <v>1D12</v>
      </c>
      <c r="D100" s="180" t="str">
        <f>D98</f>
        <v>穿刺</v>
      </c>
      <c r="E100" s="354">
        <f>E98</f>
        <v>6</v>
      </c>
      <c r="F100" s="180" t="str">
        <f>F98</f>
        <v>触及，特殊</v>
      </c>
      <c r="G100" s="180"/>
      <c r="H100" s="198">
        <f>H$81</f>
        <v>4</v>
      </c>
      <c r="S100" s="118" t="s">
        <v>4004</v>
      </c>
      <c r="T100" s="180">
        <v>30</v>
      </c>
      <c r="U100" s="180">
        <v>5</v>
      </c>
      <c r="V100" s="119" t="s">
        <v>4005</v>
      </c>
      <c r="W100" s="155"/>
      <c r="X100" s="130"/>
      <c r="Y100" s="130"/>
      <c r="Z100" s="130"/>
      <c r="AF100" s="130"/>
      <c r="AG100" s="130"/>
      <c r="AH100" s="130"/>
      <c r="AI100" s="130"/>
      <c r="AK100" s="157" t="str">
        <f t="array" ref="AK100">INDEX(B:B,SMALL(IF($B$3:$B$177&lt;&gt;"",ROW($3:$177),178),ROW(J99)))&amp;""</f>
        <v/>
      </c>
    </row>
    <row r="101" spans="1:37" ht="14.4" customHeight="1" x14ac:dyDescent="0.25">
      <c r="A101" s="1052"/>
      <c r="B101" s="119" t="s">
        <v>4006</v>
      </c>
      <c r="C101" s="119" t="s">
        <v>3777</v>
      </c>
      <c r="D101" s="119" t="s">
        <v>3713</v>
      </c>
      <c r="E101" s="354">
        <v>3</v>
      </c>
      <c r="F101" s="119" t="s">
        <v>3953</v>
      </c>
      <c r="G101" s="180">
        <v>15</v>
      </c>
      <c r="H101" s="198">
        <f>H$78</f>
        <v>-1</v>
      </c>
      <c r="S101" s="118" t="s">
        <v>4007</v>
      </c>
      <c r="T101" s="180">
        <v>25</v>
      </c>
      <c r="U101" s="180">
        <v>2</v>
      </c>
      <c r="V101" s="119" t="s">
        <v>4008</v>
      </c>
      <c r="W101" s="155"/>
      <c r="X101" s="130"/>
      <c r="Y101" s="130"/>
      <c r="Z101" s="130"/>
      <c r="AE101" s="130"/>
      <c r="AF101" s="130"/>
      <c r="AG101" s="130"/>
      <c r="AH101" s="130"/>
      <c r="AI101" s="130"/>
      <c r="AK101" s="157" t="str">
        <f t="array" ref="AK101">INDEX(B:B,SMALL(IF($B$3:$B$177&lt;&gt;"",ROW($3:$177),178),ROW(J100)))&amp;""</f>
        <v/>
      </c>
    </row>
    <row r="102" spans="1:37" ht="14.4" customHeight="1" x14ac:dyDescent="0.25">
      <c r="A102" s="1052"/>
      <c r="B102" s="180" t="str">
        <f>IF(AU$7=2,"剑圣"&amp;B101,IF(AU$7&gt;=1,"专用"&amp;B101,""))</f>
        <v/>
      </c>
      <c r="C102" s="180" t="str">
        <f>C$15</f>
        <v>1D8</v>
      </c>
      <c r="D102" s="180" t="str">
        <f>D101</f>
        <v>挥砍</v>
      </c>
      <c r="E102" s="354">
        <f>E101</f>
        <v>3</v>
      </c>
      <c r="F102" s="180" t="str">
        <f>F101</f>
        <v>两用（1d10）</v>
      </c>
      <c r="G102" s="180"/>
      <c r="H102" s="198">
        <f>H$3</f>
        <v>-1</v>
      </c>
      <c r="S102" s="118" t="s">
        <v>4009</v>
      </c>
      <c r="T102" s="180">
        <v>5</v>
      </c>
      <c r="U102" s="180">
        <v>5</v>
      </c>
      <c r="V102" s="119" t="s">
        <v>4010</v>
      </c>
      <c r="W102" s="155"/>
      <c r="X102" s="130"/>
      <c r="Y102" s="130"/>
      <c r="Z102" s="130"/>
      <c r="AE102" s="130"/>
      <c r="AF102" s="130"/>
      <c r="AG102" s="130"/>
      <c r="AH102" s="130"/>
      <c r="AI102" s="130"/>
      <c r="AK102" s="157" t="str">
        <f t="array" ref="AK102">INDEX(B:B,SMALL(IF($B$3:$B$177&lt;&gt;"",ROW($3:$177),178),ROW(J101)))&amp;""</f>
        <v/>
      </c>
    </row>
    <row r="103" spans="1:37" ht="14.4" customHeight="1" x14ac:dyDescent="0.25">
      <c r="A103" s="1052"/>
      <c r="B103" s="119" t="str">
        <f>IF(AU$8&gt;=1,"咒剑"&amp;B101,"")</f>
        <v/>
      </c>
      <c r="C103" s="180" t="str">
        <f>C101</f>
        <v>1D8</v>
      </c>
      <c r="D103" s="180" t="str">
        <f>D101</f>
        <v>挥砍</v>
      </c>
      <c r="E103" s="354">
        <f>E101</f>
        <v>3</v>
      </c>
      <c r="F103" s="180" t="str">
        <f>F101</f>
        <v>两用（1d10）</v>
      </c>
      <c r="G103" s="180"/>
      <c r="H103" s="198">
        <f>H$80</f>
        <v>0</v>
      </c>
      <c r="S103" s="118" t="s">
        <v>4011</v>
      </c>
      <c r="T103" s="180">
        <v>10</v>
      </c>
      <c r="U103" s="180">
        <v>8</v>
      </c>
      <c r="V103" s="119" t="s">
        <v>4012</v>
      </c>
      <c r="W103" s="155"/>
      <c r="X103" s="130"/>
      <c r="Y103" s="130"/>
      <c r="Z103" s="130"/>
      <c r="AE103" s="130"/>
      <c r="AF103" s="130"/>
      <c r="AG103" s="130"/>
      <c r="AH103" s="130"/>
      <c r="AI103" s="130"/>
      <c r="AK103" s="157" t="str">
        <f t="array" ref="AK103">INDEX(B:B,SMALL(IF($B$3:$B$177&lt;&gt;"",ROW($3:$177),178),ROW(J102)))&amp;""</f>
        <v/>
      </c>
    </row>
    <row r="104" spans="1:37" ht="14.4" customHeight="1" x14ac:dyDescent="0.25">
      <c r="A104" s="1052"/>
      <c r="B104" s="119" t="str">
        <f>IF(AU$9=1,"匠师"&amp;B101,"")</f>
        <v/>
      </c>
      <c r="C104" s="180" t="str">
        <f>C101</f>
        <v>1D8</v>
      </c>
      <c r="D104" s="180" t="str">
        <f>D101</f>
        <v>挥砍</v>
      </c>
      <c r="E104" s="354">
        <f>E101</f>
        <v>3</v>
      </c>
      <c r="F104" s="180" t="str">
        <f>F101</f>
        <v>两用（1d10）</v>
      </c>
      <c r="G104" s="180"/>
      <c r="H104" s="198">
        <f>H$81</f>
        <v>4</v>
      </c>
      <c r="S104" s="118" t="s">
        <v>4013</v>
      </c>
      <c r="T104" s="180">
        <v>10</v>
      </c>
      <c r="U104" s="180">
        <v>5</v>
      </c>
      <c r="V104" s="119" t="s">
        <v>4014</v>
      </c>
      <c r="W104" s="155"/>
      <c r="X104" s="130"/>
      <c r="Y104" s="130"/>
      <c r="Z104" s="130"/>
      <c r="AE104" s="130"/>
      <c r="AF104" s="130"/>
      <c r="AG104" s="130"/>
      <c r="AH104" s="130"/>
      <c r="AI104" s="130"/>
      <c r="AK104" s="157" t="str">
        <f t="array" ref="AK104">INDEX(B:B,SMALL(IF($B$3:$B$177&lt;&gt;"",ROW($3:$177),178),ROW(J103)))&amp;""</f>
        <v/>
      </c>
    </row>
    <row r="105" spans="1:37" ht="14.4" customHeight="1" x14ac:dyDescent="0.25">
      <c r="A105" s="1052"/>
      <c r="B105" s="119" t="s">
        <v>4015</v>
      </c>
      <c r="C105" s="119" t="s">
        <v>3984</v>
      </c>
      <c r="D105" s="119" t="s">
        <v>127</v>
      </c>
      <c r="E105" s="354">
        <v>10</v>
      </c>
      <c r="F105" s="119" t="s">
        <v>3977</v>
      </c>
      <c r="G105" s="180">
        <v>10</v>
      </c>
      <c r="H105" s="198">
        <f>H78</f>
        <v>-1</v>
      </c>
      <c r="S105" s="118" t="s">
        <v>4016</v>
      </c>
      <c r="T105" s="180">
        <v>10</v>
      </c>
      <c r="U105" s="180">
        <v>3</v>
      </c>
      <c r="V105" s="119" t="s">
        <v>4017</v>
      </c>
      <c r="W105" s="155"/>
      <c r="X105" s="130"/>
      <c r="Y105" s="130"/>
      <c r="Z105" s="130"/>
      <c r="AE105" s="130"/>
      <c r="AF105" s="130"/>
      <c r="AG105" s="130"/>
      <c r="AH105" s="130"/>
      <c r="AI105" s="130"/>
      <c r="AK105" s="157" t="str">
        <f t="array" ref="AK105">INDEX(B:B,SMALL(IF($B$3:$B$177&lt;&gt;"",ROW($3:$177),178),ROW(J104)))&amp;""</f>
        <v/>
      </c>
    </row>
    <row r="106" spans="1:37" ht="14.4" customHeight="1" x14ac:dyDescent="0.25">
      <c r="A106" s="1052"/>
      <c r="B106" s="119" t="str">
        <f>IF(AU$8=2,"咒剑"&amp;B105,"")</f>
        <v/>
      </c>
      <c r="C106" s="180" t="str">
        <f>C105</f>
        <v>2D6</v>
      </c>
      <c r="D106" s="180" t="str">
        <f>D105</f>
        <v>钝击</v>
      </c>
      <c r="E106" s="354">
        <f>E105</f>
        <v>10</v>
      </c>
      <c r="F106" s="180" t="str">
        <f>F105</f>
        <v>重型，双手</v>
      </c>
      <c r="G106" s="180"/>
      <c r="H106" s="198">
        <f>H$80</f>
        <v>0</v>
      </c>
      <c r="S106" s="118" t="s">
        <v>4018</v>
      </c>
      <c r="T106" s="180">
        <v>20</v>
      </c>
      <c r="U106" s="180">
        <v>8</v>
      </c>
      <c r="V106" s="119" t="s">
        <v>4019</v>
      </c>
      <c r="W106" s="155"/>
      <c r="X106" s="130"/>
      <c r="Y106" s="130"/>
      <c r="Z106" s="130"/>
      <c r="AE106" s="130"/>
      <c r="AF106" s="130"/>
      <c r="AG106" s="130"/>
      <c r="AH106" s="130"/>
      <c r="AI106" s="130"/>
      <c r="AK106" s="157" t="str">
        <f t="array" ref="AK106">INDEX(B:B,SMALL(IF($B$3:$B$177&lt;&gt;"",ROW($3:$177),178),ROW(J105)))&amp;""</f>
        <v/>
      </c>
    </row>
    <row r="107" spans="1:37" ht="14.4" customHeight="1" x14ac:dyDescent="0.25">
      <c r="A107" s="1052"/>
      <c r="B107" s="119" t="str">
        <f>IF(AU$9=1,"匠师"&amp;B105,"")</f>
        <v/>
      </c>
      <c r="C107" s="180" t="str">
        <f>C105</f>
        <v>2D6</v>
      </c>
      <c r="D107" s="180" t="str">
        <f>D105</f>
        <v>钝击</v>
      </c>
      <c r="E107" s="354">
        <f>E105</f>
        <v>10</v>
      </c>
      <c r="F107" s="180" t="str">
        <f>F105</f>
        <v>重型，双手</v>
      </c>
      <c r="G107" s="180"/>
      <c r="H107" s="198">
        <f>H$81</f>
        <v>4</v>
      </c>
      <c r="S107" s="118" t="s">
        <v>4020</v>
      </c>
      <c r="T107" s="180">
        <v>50</v>
      </c>
      <c r="U107" s="180">
        <v>10</v>
      </c>
      <c r="V107" s="119" t="s">
        <v>4021</v>
      </c>
      <c r="W107" s="155"/>
      <c r="X107" s="130"/>
      <c r="Y107" s="130"/>
      <c r="Z107" s="130"/>
      <c r="AE107" s="130"/>
      <c r="AF107" s="130"/>
      <c r="AG107" s="130"/>
      <c r="AH107" s="130"/>
      <c r="AI107" s="130"/>
      <c r="AK107" s="157" t="str">
        <f t="array" ref="AK107">INDEX(B:B,SMALL(IF($B$3:$B$177&lt;&gt;"",ROW($3:$177),178),ROW(J106)))&amp;""</f>
        <v/>
      </c>
    </row>
    <row r="108" spans="1:37" ht="14.4" customHeight="1" x14ac:dyDescent="0.25">
      <c r="A108" s="1052"/>
      <c r="B108" s="119" t="s">
        <v>4022</v>
      </c>
      <c r="C108" s="119" t="s">
        <v>3777</v>
      </c>
      <c r="D108" s="119" t="s">
        <v>3704</v>
      </c>
      <c r="E108" s="354">
        <v>4</v>
      </c>
      <c r="F108" s="119" t="s">
        <v>3845</v>
      </c>
      <c r="G108" s="180">
        <v>15</v>
      </c>
      <c r="H108" s="198">
        <f>H78</f>
        <v>-1</v>
      </c>
      <c r="S108" s="118" t="s">
        <v>4023</v>
      </c>
      <c r="T108" s="180">
        <v>1</v>
      </c>
      <c r="U108" s="180">
        <v>5</v>
      </c>
      <c r="V108" s="119" t="s">
        <v>4024</v>
      </c>
      <c r="W108" s="155"/>
      <c r="X108" s="130"/>
      <c r="Y108" s="130"/>
      <c r="Z108" s="130"/>
      <c r="AE108" s="130"/>
      <c r="AF108" s="130"/>
      <c r="AG108" s="130"/>
      <c r="AH108" s="130"/>
      <c r="AI108" s="130"/>
      <c r="AK108" s="157" t="str">
        <f t="array" ref="AK108">INDEX(B:B,SMALL(IF($B$3:$B$177&lt;&gt;"",ROW($3:$177),178),ROW(J107)))&amp;""</f>
        <v/>
      </c>
    </row>
    <row r="109" spans="1:37" ht="14.4" customHeight="1" x14ac:dyDescent="0.25">
      <c r="A109" s="1052"/>
      <c r="B109" s="180" t="str">
        <f>IF(AU$7=2,"剑圣"&amp;B108,IF(AU$7&gt;=1,"专用"&amp;B108,""))</f>
        <v/>
      </c>
      <c r="C109" s="180" t="str">
        <f>C$15</f>
        <v>1D8</v>
      </c>
      <c r="D109" s="180" t="str">
        <f>D108</f>
        <v>穿刺</v>
      </c>
      <c r="E109" s="354">
        <f>E108</f>
        <v>4</v>
      </c>
      <c r="F109" s="180" t="str">
        <f>F108</f>
        <v>-</v>
      </c>
      <c r="G109" s="180"/>
      <c r="H109" s="198">
        <f>H$3</f>
        <v>-1</v>
      </c>
      <c r="S109" s="118" t="s">
        <v>4025</v>
      </c>
      <c r="T109" s="180">
        <v>1</v>
      </c>
      <c r="U109" s="180">
        <v>5</v>
      </c>
      <c r="V109" s="119" t="s">
        <v>4026</v>
      </c>
      <c r="W109" s="155"/>
      <c r="X109" s="130"/>
      <c r="Y109" s="130"/>
      <c r="Z109" s="130"/>
      <c r="AE109" s="130"/>
      <c r="AF109" s="130"/>
      <c r="AG109" s="130"/>
      <c r="AH109" s="130"/>
      <c r="AI109" s="130"/>
      <c r="AK109" s="157" t="str">
        <f t="array" ref="AK109">INDEX(B:B,SMALL(IF($B$3:$B$177&lt;&gt;"",ROW($3:$177),178),ROW(J108)))&amp;""</f>
        <v/>
      </c>
    </row>
    <row r="110" spans="1:37" ht="14.4" customHeight="1" x14ac:dyDescent="0.25">
      <c r="A110" s="1052"/>
      <c r="B110" s="119" t="str">
        <f>IF(AU$8&gt;=1,"咒剑"&amp;B108,"")</f>
        <v/>
      </c>
      <c r="C110" s="180" t="str">
        <f>C108</f>
        <v>1D8</v>
      </c>
      <c r="D110" s="180" t="str">
        <f>D108</f>
        <v>穿刺</v>
      </c>
      <c r="E110" s="354">
        <f>E108</f>
        <v>4</v>
      </c>
      <c r="F110" s="180" t="str">
        <f>F108</f>
        <v>-</v>
      </c>
      <c r="G110" s="180"/>
      <c r="H110" s="198">
        <f>H$80</f>
        <v>0</v>
      </c>
      <c r="S110" s="118" t="s">
        <v>3774</v>
      </c>
      <c r="T110" s="119">
        <v>25</v>
      </c>
      <c r="U110" s="180">
        <v>3</v>
      </c>
      <c r="V110" s="119" t="s">
        <v>4027</v>
      </c>
      <c r="W110" s="155"/>
      <c r="X110" s="130"/>
      <c r="Y110" s="130"/>
      <c r="Z110" s="130"/>
      <c r="AE110" s="130"/>
      <c r="AF110" s="130"/>
      <c r="AG110" s="130"/>
      <c r="AH110" s="130"/>
      <c r="AI110" s="130"/>
      <c r="AK110" s="157" t="str">
        <f t="array" ref="AK110">INDEX(B:B,SMALL(IF($B$3:$B$177&lt;&gt;"",ROW($3:$177),178),ROW(J109)))&amp;""</f>
        <v/>
      </c>
    </row>
    <row r="111" spans="1:37" ht="14.4" customHeight="1" x14ac:dyDescent="0.25">
      <c r="A111" s="1052"/>
      <c r="B111" s="119" t="str">
        <f>IF(AU$9=1,"匠师"&amp;B108,"")</f>
        <v/>
      </c>
      <c r="C111" s="180" t="str">
        <f>C108</f>
        <v>1D8</v>
      </c>
      <c r="D111" s="180" t="str">
        <f>D108</f>
        <v>穿刺</v>
      </c>
      <c r="E111" s="354">
        <f>E108</f>
        <v>4</v>
      </c>
      <c r="F111" s="180" t="str">
        <f>F108</f>
        <v>-</v>
      </c>
      <c r="G111" s="180"/>
      <c r="H111" s="198">
        <f>H$81</f>
        <v>4</v>
      </c>
      <c r="S111" s="118" t="s">
        <v>3783</v>
      </c>
      <c r="T111" s="180">
        <v>15</v>
      </c>
      <c r="U111" s="180">
        <v>5</v>
      </c>
      <c r="V111" s="119" t="s">
        <v>4028</v>
      </c>
      <c r="W111" s="155"/>
      <c r="X111" s="130"/>
      <c r="Y111" s="130"/>
      <c r="Z111" s="130"/>
      <c r="AE111" s="130"/>
      <c r="AF111" s="130"/>
      <c r="AG111" s="130"/>
      <c r="AH111" s="130"/>
      <c r="AI111" s="130"/>
      <c r="AK111" s="157" t="str">
        <f t="array" ref="AK111">INDEX(B:B,SMALL(IF($B$3:$B$177&lt;&gt;"",ROW($3:$177),178),ROW(J110)))&amp;""</f>
        <v/>
      </c>
    </row>
    <row r="112" spans="1:37" ht="14.4" customHeight="1" x14ac:dyDescent="0.25">
      <c r="A112" s="1052"/>
      <c r="B112" s="119" t="s">
        <v>4029</v>
      </c>
      <c r="C112" s="119" t="s">
        <v>3970</v>
      </c>
      <c r="D112" s="119" t="s">
        <v>3704</v>
      </c>
      <c r="E112" s="354">
        <v>18</v>
      </c>
      <c r="F112" s="119" t="s">
        <v>3971</v>
      </c>
      <c r="G112" s="180">
        <v>5</v>
      </c>
      <c r="H112" s="198">
        <f>H78</f>
        <v>-1</v>
      </c>
      <c r="S112" s="118" t="s">
        <v>4030</v>
      </c>
      <c r="T112" s="180">
        <v>0.1</v>
      </c>
      <c r="U112" s="180">
        <v>0</v>
      </c>
      <c r="V112" s="119" t="s">
        <v>4031</v>
      </c>
      <c r="W112" s="116"/>
      <c r="X112" s="130"/>
      <c r="Y112" s="130"/>
      <c r="Z112" s="130"/>
      <c r="AE112" s="130"/>
      <c r="AF112" s="130"/>
      <c r="AG112" s="130"/>
      <c r="AH112" s="130"/>
      <c r="AI112" s="130"/>
      <c r="AK112" s="157" t="str">
        <f t="array" ref="AK112">INDEX(B:B,SMALL(IF($B$3:$B$177&lt;&gt;"",ROW($3:$177),178),ROW(J111)))&amp;""</f>
        <v/>
      </c>
    </row>
    <row r="113" spans="1:37" ht="14.4" customHeight="1" x14ac:dyDescent="0.25">
      <c r="A113" s="1052"/>
      <c r="B113" s="119" t="str">
        <f>IF(AU$8=2,"咒剑"&amp;B112,"")</f>
        <v/>
      </c>
      <c r="C113" s="180" t="str">
        <f>C112</f>
        <v>1D10</v>
      </c>
      <c r="D113" s="180" t="str">
        <f>D112</f>
        <v>穿刺</v>
      </c>
      <c r="E113" s="354">
        <f>E112</f>
        <v>18</v>
      </c>
      <c r="F113" s="180" t="str">
        <f>F112</f>
        <v>重型，触及，双手</v>
      </c>
      <c r="G113" s="180"/>
      <c r="H113" s="198">
        <f>H$80</f>
        <v>0</v>
      </c>
      <c r="S113" s="118" t="s">
        <v>4032</v>
      </c>
      <c r="T113" s="180">
        <v>0.5</v>
      </c>
      <c r="U113" s="180">
        <v>0.5</v>
      </c>
      <c r="V113" s="119" t="str">
        <f>V112</f>
        <v>包含进行对应赌博游戏的全套赌具</v>
      </c>
      <c r="W113" s="155"/>
      <c r="X113" s="130"/>
      <c r="Y113" s="130"/>
      <c r="Z113" s="130"/>
      <c r="AE113" s="130"/>
      <c r="AF113" s="130"/>
      <c r="AG113" s="130"/>
      <c r="AH113" s="130"/>
      <c r="AI113" s="130"/>
      <c r="AK113" s="157" t="str">
        <f t="array" ref="AK113">INDEX(B:B,SMALL(IF($B$3:$B$177&lt;&gt;"",ROW($3:$177),178),ROW(J112)))&amp;""</f>
        <v/>
      </c>
    </row>
    <row r="114" spans="1:37" ht="14.4" customHeight="1" x14ac:dyDescent="0.25">
      <c r="A114" s="1052"/>
      <c r="B114" s="119" t="str">
        <f>IF(AU$9=1,"匠师"&amp;B112,"")</f>
        <v/>
      </c>
      <c r="C114" s="180" t="str">
        <f>C112</f>
        <v>1D10</v>
      </c>
      <c r="D114" s="180" t="str">
        <f>D112</f>
        <v>穿刺</v>
      </c>
      <c r="E114" s="354">
        <f>E112</f>
        <v>18</v>
      </c>
      <c r="F114" s="180" t="str">
        <f>F112</f>
        <v>重型，触及，双手</v>
      </c>
      <c r="G114" s="180"/>
      <c r="H114" s="198">
        <f>H$81</f>
        <v>4</v>
      </c>
      <c r="S114" s="118" t="s">
        <v>4033</v>
      </c>
      <c r="T114" s="180">
        <v>0.5</v>
      </c>
      <c r="U114" s="180">
        <v>0</v>
      </c>
      <c r="V114" s="119" t="str">
        <f>V112</f>
        <v>包含进行对应赌博游戏的全套赌具</v>
      </c>
      <c r="W114" s="155"/>
      <c r="X114" s="130"/>
      <c r="Y114" s="130"/>
      <c r="Z114" s="130"/>
      <c r="AE114" s="130"/>
      <c r="AF114" s="130"/>
      <c r="AG114" s="130"/>
      <c r="AH114" s="130"/>
      <c r="AI114" s="130"/>
      <c r="AK114" s="157" t="str">
        <f t="array" ref="AK114">INDEX(B:B,SMALL(IF($B$3:$B$177&lt;&gt;"",ROW($3:$177),178),ROW(J113)))&amp;""</f>
        <v/>
      </c>
    </row>
    <row r="115" spans="1:37" ht="14.4" customHeight="1" x14ac:dyDescent="0.25">
      <c r="A115" s="1052"/>
      <c r="B115" s="119" t="s">
        <v>4034</v>
      </c>
      <c r="C115" s="119" t="s">
        <v>3777</v>
      </c>
      <c r="D115" s="119" t="s">
        <v>3704</v>
      </c>
      <c r="E115" s="354">
        <v>2</v>
      </c>
      <c r="F115" s="119" t="s">
        <v>4035</v>
      </c>
      <c r="G115" s="180">
        <v>25</v>
      </c>
      <c r="H115" s="198">
        <f>H$16</f>
        <v>2</v>
      </c>
      <c r="S115" s="118" t="s">
        <v>4036</v>
      </c>
      <c r="T115" s="180">
        <v>5</v>
      </c>
      <c r="U115" s="180">
        <v>3</v>
      </c>
      <c r="V115" s="119" t="str">
        <f>V112</f>
        <v>包含进行对应赌博游戏的全套赌具</v>
      </c>
      <c r="W115" s="155"/>
      <c r="X115" s="130"/>
      <c r="Y115" s="130"/>
      <c r="Z115" s="130"/>
      <c r="AE115" s="130"/>
      <c r="AF115" s="130"/>
      <c r="AG115" s="130"/>
      <c r="AH115" s="130"/>
      <c r="AI115" s="130"/>
      <c r="AK115" s="157" t="str">
        <f t="array" ref="AK115">INDEX(B:B,SMALL(IF($B$3:$B$177&lt;&gt;"",ROW($3:$177),178),ROW(J114)))&amp;""</f>
        <v/>
      </c>
    </row>
    <row r="116" spans="1:37" ht="14.4" customHeight="1" x14ac:dyDescent="0.25">
      <c r="A116" s="1052"/>
      <c r="B116" s="180" t="str">
        <f>IF(AU$7=2,"剑圣"&amp;B115,IF(AU$7&gt;=1,"专用"&amp;B115,""))</f>
        <v/>
      </c>
      <c r="C116" s="180" t="str">
        <f>C$15</f>
        <v>1D8</v>
      </c>
      <c r="D116" s="180" t="str">
        <f>D115</f>
        <v>穿刺</v>
      </c>
      <c r="E116" s="354">
        <f>E115</f>
        <v>2</v>
      </c>
      <c r="F116" s="180" t="str">
        <f>F115</f>
        <v>灵巧</v>
      </c>
      <c r="G116" s="180"/>
      <c r="H116" s="198">
        <f>H$16</f>
        <v>2</v>
      </c>
      <c r="S116" s="118" t="s">
        <v>1538</v>
      </c>
      <c r="T116" s="180">
        <v>5</v>
      </c>
      <c r="U116" s="180">
        <v>3</v>
      </c>
      <c r="V116" s="119" t="s">
        <v>4037</v>
      </c>
      <c r="W116" s="155"/>
      <c r="X116" s="130"/>
      <c r="Y116" s="130"/>
      <c r="Z116" s="130"/>
      <c r="AE116" s="130"/>
      <c r="AF116" s="130"/>
      <c r="AG116" s="130"/>
      <c r="AH116" s="130"/>
      <c r="AI116" s="130"/>
      <c r="AK116" s="157" t="str">
        <f t="array" ref="AK116">INDEX(B:B,SMALL(IF($B$3:$B$177&lt;&gt;"",ROW($3:$177),178),ROW(J115)))&amp;""</f>
        <v/>
      </c>
    </row>
    <row r="117" spans="1:37" ht="14.4" customHeight="1" x14ac:dyDescent="0.25">
      <c r="A117" s="1052"/>
      <c r="B117" s="119" t="str">
        <f>IF(AU$8&gt;=1,"咒剑"&amp;B115,"")</f>
        <v/>
      </c>
      <c r="C117" s="180" t="str">
        <f>C115</f>
        <v>1D8</v>
      </c>
      <c r="D117" s="180" t="str">
        <f>D115</f>
        <v>穿刺</v>
      </c>
      <c r="E117" s="354">
        <f>E115</f>
        <v>2</v>
      </c>
      <c r="F117" s="180" t="str">
        <f>F115</f>
        <v>灵巧</v>
      </c>
      <c r="G117" s="180"/>
      <c r="H117" s="198">
        <f>H$18</f>
        <v>2</v>
      </c>
      <c r="S117" s="118" t="s">
        <v>4038</v>
      </c>
      <c r="T117" s="180">
        <v>30</v>
      </c>
      <c r="U117" s="180">
        <v>6</v>
      </c>
      <c r="V117" s="180" t="str">
        <f t="shared" ref="V117:V126" si="11">""</f>
        <v/>
      </c>
      <c r="W117" s="116"/>
      <c r="X117" s="130"/>
      <c r="Y117" s="130"/>
      <c r="Z117" s="130"/>
      <c r="AE117" s="130"/>
      <c r="AF117" s="130"/>
      <c r="AG117" s="130"/>
      <c r="AH117" s="130"/>
      <c r="AI117" s="130"/>
      <c r="AK117" s="157" t="str">
        <f t="array" ref="AK117">INDEX(B:B,SMALL(IF($B$3:$B$177&lt;&gt;"",ROW($3:$177),178),ROW(J116)))&amp;""</f>
        <v/>
      </c>
    </row>
    <row r="118" spans="1:37" ht="14.4" customHeight="1" x14ac:dyDescent="0.25">
      <c r="A118" s="1052"/>
      <c r="B118" s="119" t="str">
        <f>IF(AU$9=1,"匠师"&amp;B115,"")</f>
        <v/>
      </c>
      <c r="C118" s="180" t="str">
        <f>C115</f>
        <v>1D8</v>
      </c>
      <c r="D118" s="180" t="str">
        <f>D115</f>
        <v>穿刺</v>
      </c>
      <c r="E118" s="354">
        <f>E115</f>
        <v>2</v>
      </c>
      <c r="F118" s="180" t="str">
        <f>F115</f>
        <v>灵巧</v>
      </c>
      <c r="G118" s="180"/>
      <c r="H118" s="198">
        <f>H$19</f>
        <v>4</v>
      </c>
      <c r="S118" s="118" t="s">
        <v>4039</v>
      </c>
      <c r="T118" s="180">
        <v>6</v>
      </c>
      <c r="U118" s="180">
        <v>3</v>
      </c>
      <c r="V118" s="180" t="str">
        <f t="shared" si="11"/>
        <v/>
      </c>
      <c r="W118" s="155"/>
      <c r="X118" s="130"/>
      <c r="Y118" s="130"/>
      <c r="Z118" s="130"/>
      <c r="AE118" s="130"/>
      <c r="AF118" s="130"/>
      <c r="AG118" s="130"/>
      <c r="AH118" s="130"/>
      <c r="AI118" s="130"/>
      <c r="AK118" s="157" t="str">
        <f t="array" ref="AK118">INDEX(B:B,SMALL(IF($B$3:$B$177&lt;&gt;"",ROW($3:$177),178),ROW(J117)))&amp;""</f>
        <v/>
      </c>
    </row>
    <row r="119" spans="1:37" ht="14.4" customHeight="1" x14ac:dyDescent="0.25">
      <c r="A119" s="1052"/>
      <c r="B119" s="119" t="s">
        <v>4040</v>
      </c>
      <c r="C119" s="119" t="s">
        <v>3671</v>
      </c>
      <c r="D119" s="119" t="s">
        <v>3713</v>
      </c>
      <c r="E119" s="354">
        <v>3</v>
      </c>
      <c r="F119" s="119" t="s">
        <v>4041</v>
      </c>
      <c r="G119" s="180">
        <v>25</v>
      </c>
      <c r="H119" s="120">
        <f>H$16</f>
        <v>2</v>
      </c>
      <c r="S119" s="118" t="s">
        <v>4042</v>
      </c>
      <c r="T119" s="180">
        <v>25</v>
      </c>
      <c r="U119" s="180">
        <v>10</v>
      </c>
      <c r="V119" s="180" t="str">
        <f t="shared" si="11"/>
        <v/>
      </c>
      <c r="W119" s="155"/>
      <c r="X119" s="130"/>
      <c r="Y119" s="130"/>
      <c r="Z119" s="130"/>
      <c r="AE119" s="130"/>
      <c r="AF119" s="130"/>
      <c r="AG119" s="130"/>
      <c r="AH119" s="130"/>
      <c r="AI119" s="130"/>
      <c r="AK119" s="157" t="str">
        <f t="array" ref="AK119">INDEX(B:B,SMALL(IF($B$3:$B$177&lt;&gt;"",ROW($3:$177),178),ROW(J118)))&amp;""</f>
        <v/>
      </c>
    </row>
    <row r="120" spans="1:37" ht="14.4" customHeight="1" x14ac:dyDescent="0.25">
      <c r="A120" s="1052"/>
      <c r="B120" s="180" t="str">
        <f>IF(AU$7=2,"剑圣"&amp;B119,IF(AU$7&gt;=1,"专用"&amp;B119,""))</f>
        <v/>
      </c>
      <c r="C120" s="180" t="str">
        <f>C24</f>
        <v>1D6</v>
      </c>
      <c r="D120" s="180" t="str">
        <f>D119</f>
        <v>挥砍</v>
      </c>
      <c r="E120" s="354">
        <f>E119</f>
        <v>3</v>
      </c>
      <c r="F120" s="180" t="str">
        <f>F119</f>
        <v>灵巧，轻型</v>
      </c>
      <c r="G120" s="180"/>
      <c r="H120" s="198">
        <f>H$16</f>
        <v>2</v>
      </c>
      <c r="S120" s="118" t="s">
        <v>4043</v>
      </c>
      <c r="T120" s="180">
        <v>2</v>
      </c>
      <c r="U120" s="180">
        <v>1</v>
      </c>
      <c r="V120" s="180" t="str">
        <f t="shared" si="11"/>
        <v/>
      </c>
      <c r="W120" s="155"/>
      <c r="X120" s="130"/>
      <c r="Y120" s="130"/>
      <c r="Z120" s="130"/>
      <c r="AE120" s="130"/>
      <c r="AF120" s="130"/>
      <c r="AG120" s="130"/>
      <c r="AH120" s="130"/>
      <c r="AI120" s="130"/>
      <c r="AK120" s="157" t="str">
        <f t="array" ref="AK120">INDEX(B:B,SMALL(IF($B$3:$B$177&lt;&gt;"",ROW($3:$177),178),ROW(J119)))&amp;""</f>
        <v/>
      </c>
    </row>
    <row r="121" spans="1:37" ht="14.4" customHeight="1" x14ac:dyDescent="0.25">
      <c r="A121" s="1052"/>
      <c r="B121" s="119" t="str">
        <f>IF(AU$8&gt;=1,"咒剑"&amp;B119,"")</f>
        <v/>
      </c>
      <c r="C121" s="180" t="str">
        <f>C119</f>
        <v>1D6</v>
      </c>
      <c r="D121" s="180" t="str">
        <f>D119</f>
        <v>挥砍</v>
      </c>
      <c r="E121" s="354">
        <f>E119</f>
        <v>3</v>
      </c>
      <c r="F121" s="180" t="str">
        <f>F119</f>
        <v>灵巧，轻型</v>
      </c>
      <c r="G121" s="180"/>
      <c r="H121" s="198">
        <f>H$18</f>
        <v>2</v>
      </c>
      <c r="S121" s="118" t="s">
        <v>4044</v>
      </c>
      <c r="T121" s="180">
        <v>35</v>
      </c>
      <c r="U121" s="180">
        <v>2</v>
      </c>
      <c r="V121" s="180" t="str">
        <f t="shared" si="11"/>
        <v/>
      </c>
      <c r="W121" s="155"/>
      <c r="X121" s="130"/>
      <c r="Y121" s="130"/>
      <c r="Z121" s="130"/>
      <c r="AE121" s="130"/>
      <c r="AF121" s="130"/>
      <c r="AG121" s="130"/>
      <c r="AH121" s="130"/>
      <c r="AI121" s="130"/>
      <c r="AK121" s="157" t="str">
        <f t="array" ref="AK121">INDEX(B:B,SMALL(IF($B$3:$B$177&lt;&gt;"",ROW($3:$177),178),ROW(J120)))&amp;""</f>
        <v/>
      </c>
    </row>
    <row r="122" spans="1:37" ht="14.4" customHeight="1" x14ac:dyDescent="0.25">
      <c r="A122" s="1052"/>
      <c r="B122" s="119" t="str">
        <f>IF(AU$9=1,"匠师"&amp;B119,"")</f>
        <v/>
      </c>
      <c r="C122" s="180" t="str">
        <f>C119</f>
        <v>1D6</v>
      </c>
      <c r="D122" s="180" t="str">
        <f>D119</f>
        <v>挥砍</v>
      </c>
      <c r="E122" s="354">
        <f>E119</f>
        <v>3</v>
      </c>
      <c r="F122" s="180" t="str">
        <f>F119</f>
        <v>灵巧，轻型</v>
      </c>
      <c r="G122" s="180"/>
      <c r="H122" s="198">
        <f>H$19</f>
        <v>4</v>
      </c>
      <c r="S122" s="118" t="s">
        <v>4045</v>
      </c>
      <c r="T122" s="180">
        <v>30</v>
      </c>
      <c r="U122" s="180">
        <v>2</v>
      </c>
      <c r="V122" s="180" t="str">
        <f t="shared" si="11"/>
        <v/>
      </c>
      <c r="W122" s="155"/>
      <c r="X122" s="130"/>
      <c r="Y122" s="130"/>
      <c r="Z122" s="130"/>
      <c r="AE122" s="130"/>
      <c r="AF122" s="130"/>
      <c r="AG122" s="130"/>
      <c r="AH122" s="130"/>
      <c r="AI122" s="130"/>
      <c r="AK122" s="157" t="str">
        <f t="array" ref="AK122">INDEX(B:B,SMALL(IF($B$3:$B$177&lt;&gt;"",ROW($3:$177),178),ROW(J121)))&amp;""</f>
        <v/>
      </c>
    </row>
    <row r="123" spans="1:37" ht="14.4" customHeight="1" x14ac:dyDescent="0.25">
      <c r="A123" s="1052"/>
      <c r="B123" s="119" t="s">
        <v>4046</v>
      </c>
      <c r="C123" s="119" t="s">
        <v>3671</v>
      </c>
      <c r="D123" s="119" t="s">
        <v>3704</v>
      </c>
      <c r="E123" s="354">
        <v>2</v>
      </c>
      <c r="F123" s="119" t="s">
        <v>4041</v>
      </c>
      <c r="G123" s="180">
        <v>10</v>
      </c>
      <c r="H123" s="120">
        <f>H$16</f>
        <v>2</v>
      </c>
      <c r="S123" s="118" t="s">
        <v>4047</v>
      </c>
      <c r="T123" s="180">
        <v>3</v>
      </c>
      <c r="U123" s="180">
        <v>2</v>
      </c>
      <c r="V123" s="180" t="str">
        <f t="shared" si="11"/>
        <v/>
      </c>
      <c r="W123" s="155"/>
      <c r="X123" s="130"/>
      <c r="Y123" s="130"/>
      <c r="Z123" s="130"/>
      <c r="AE123" s="130"/>
      <c r="AF123" s="130"/>
      <c r="AG123" s="130"/>
      <c r="AH123" s="130"/>
      <c r="AI123" s="130"/>
      <c r="AK123" s="157" t="str">
        <f t="array" ref="AK123">INDEX(B:B,SMALL(IF($B$3:$B$177&lt;&gt;"",ROW($3:$177),178),ROW(J122)))&amp;""</f>
        <v/>
      </c>
    </row>
    <row r="124" spans="1:37" ht="14.4" customHeight="1" x14ac:dyDescent="0.25">
      <c r="A124" s="1052"/>
      <c r="B124" s="180" t="str">
        <f>IF(AU$7=2,"剑圣"&amp;B123,IF(AU$7&gt;=1,"专用"&amp;B123,""))</f>
        <v/>
      </c>
      <c r="C124" s="180" t="str">
        <f>C29</f>
        <v>1D6</v>
      </c>
      <c r="D124" s="180" t="str">
        <f>D123</f>
        <v>穿刺</v>
      </c>
      <c r="E124" s="354">
        <f>E123</f>
        <v>2</v>
      </c>
      <c r="F124" s="180" t="str">
        <f>F123</f>
        <v>灵巧，轻型</v>
      </c>
      <c r="G124" s="180"/>
      <c r="H124" s="198">
        <f>H$16</f>
        <v>2</v>
      </c>
      <c r="S124" s="118" t="s">
        <v>4048</v>
      </c>
      <c r="T124" s="180">
        <v>12</v>
      </c>
      <c r="U124" s="180">
        <v>2</v>
      </c>
      <c r="V124" s="180" t="str">
        <f t="shared" si="11"/>
        <v/>
      </c>
      <c r="W124" s="155"/>
      <c r="X124" s="130"/>
      <c r="Y124" s="130"/>
      <c r="Z124" s="130"/>
      <c r="AE124" s="130"/>
      <c r="AF124" s="130"/>
      <c r="AG124" s="130"/>
      <c r="AH124" s="130"/>
      <c r="AI124" s="130"/>
      <c r="AK124" s="157" t="str">
        <f t="array" ref="AK124">INDEX(B:B,SMALL(IF($B$3:$B$177&lt;&gt;"",ROW($3:$177),178),ROW(J123)))&amp;""</f>
        <v/>
      </c>
    </row>
    <row r="125" spans="1:37" ht="14.4" customHeight="1" x14ac:dyDescent="0.25">
      <c r="A125" s="1052"/>
      <c r="B125" s="119" t="str">
        <f>IF(AU$8&gt;=1,"咒剑"&amp;B123,"")</f>
        <v/>
      </c>
      <c r="C125" s="180" t="str">
        <f>C123</f>
        <v>1D6</v>
      </c>
      <c r="D125" s="180" t="str">
        <f>D123</f>
        <v>穿刺</v>
      </c>
      <c r="E125" s="354">
        <f>E123</f>
        <v>2</v>
      </c>
      <c r="F125" s="180" t="str">
        <f>F123</f>
        <v>灵巧，轻型</v>
      </c>
      <c r="G125" s="180"/>
      <c r="H125" s="198">
        <f>H$18</f>
        <v>2</v>
      </c>
      <c r="S125" s="118" t="s">
        <v>4049</v>
      </c>
      <c r="T125" s="180">
        <v>2</v>
      </c>
      <c r="U125" s="180">
        <v>1</v>
      </c>
      <c r="V125" s="180" t="str">
        <f t="shared" si="11"/>
        <v/>
      </c>
      <c r="W125" s="155"/>
      <c r="X125" s="130"/>
      <c r="Y125" s="130"/>
      <c r="Z125" s="130"/>
      <c r="AE125" s="130"/>
      <c r="AF125" s="130"/>
      <c r="AG125" s="130"/>
      <c r="AH125" s="130"/>
      <c r="AI125" s="130"/>
      <c r="AK125" s="157" t="str">
        <f t="array" ref="AK125">INDEX(B:B,SMALL(IF($B$3:$B$177&lt;&gt;"",ROW($3:$177),178),ROW(J124)))&amp;""</f>
        <v/>
      </c>
    </row>
    <row r="126" spans="1:37" ht="14.4" customHeight="1" x14ac:dyDescent="0.25">
      <c r="A126" s="1052"/>
      <c r="B126" s="119" t="str">
        <f>IF(AU$9=1,"匠师"&amp;B123,"")</f>
        <v/>
      </c>
      <c r="C126" s="180" t="str">
        <f>C123</f>
        <v>1D6</v>
      </c>
      <c r="D126" s="180" t="str">
        <f>D123</f>
        <v>穿刺</v>
      </c>
      <c r="E126" s="354">
        <f>E123</f>
        <v>2</v>
      </c>
      <c r="F126" s="180" t="str">
        <f>F123</f>
        <v>灵巧，轻型</v>
      </c>
      <c r="G126" s="180"/>
      <c r="H126" s="198">
        <f>H$19</f>
        <v>4</v>
      </c>
      <c r="S126" s="118" t="s">
        <v>4050</v>
      </c>
      <c r="T126" s="180">
        <v>30</v>
      </c>
      <c r="U126" s="180">
        <v>1</v>
      </c>
      <c r="V126" s="180" t="str">
        <f t="shared" si="11"/>
        <v/>
      </c>
      <c r="W126" s="155"/>
      <c r="X126" s="130"/>
      <c r="Y126" s="130"/>
      <c r="Z126" s="130"/>
      <c r="AE126" s="130"/>
      <c r="AF126" s="130"/>
      <c r="AG126" s="130"/>
      <c r="AH126" s="130"/>
      <c r="AI126" s="130"/>
      <c r="AK126" s="157" t="str">
        <f t="array" ref="AK126">INDEX(B:B,SMALL(IF($B$3:$B$177&lt;&gt;"",ROW($3:$177),178),ROW(J125)))&amp;""</f>
        <v/>
      </c>
    </row>
    <row r="127" spans="1:37" ht="14.4" customHeight="1" x14ac:dyDescent="0.25">
      <c r="A127" s="1052"/>
      <c r="B127" s="119" t="s">
        <v>4051</v>
      </c>
      <c r="C127" s="119" t="s">
        <v>3671</v>
      </c>
      <c r="D127" s="119" t="s">
        <v>3704</v>
      </c>
      <c r="E127" s="354">
        <v>4</v>
      </c>
      <c r="F127" s="119" t="s">
        <v>3883</v>
      </c>
      <c r="G127" s="180">
        <v>5</v>
      </c>
      <c r="H127" s="198">
        <f>H$78</f>
        <v>-1</v>
      </c>
      <c r="S127" s="118" t="s">
        <v>3848</v>
      </c>
      <c r="T127" s="180">
        <v>25</v>
      </c>
      <c r="U127" s="180">
        <v>2</v>
      </c>
      <c r="V127" s="119" t="s">
        <v>4052</v>
      </c>
      <c r="W127" s="155"/>
      <c r="X127" s="130"/>
      <c r="Y127" s="130"/>
      <c r="Z127" s="130"/>
      <c r="AE127" s="130"/>
      <c r="AF127" s="130"/>
      <c r="AG127" s="130"/>
      <c r="AH127" s="130"/>
      <c r="AI127" s="130"/>
      <c r="AK127" s="157" t="str">
        <f t="array" ref="AK127">INDEX(B:B,SMALL(IF($B$3:$B$177&lt;&gt;"",ROW($3:$177),178),ROW(J126)))&amp;""</f>
        <v/>
      </c>
    </row>
    <row r="128" spans="1:37" ht="14.4" customHeight="1" x14ac:dyDescent="0.25">
      <c r="A128" s="1052"/>
      <c r="B128" s="180" t="str">
        <f>IF(AU$7=2,"剑圣"&amp;B127,IF(AU$7&gt;=1,"专用"&amp;B127,""))</f>
        <v/>
      </c>
      <c r="C128" s="180" t="str">
        <f>C34</f>
        <v>1D4</v>
      </c>
      <c r="D128" s="180" t="str">
        <f>D127</f>
        <v>穿刺</v>
      </c>
      <c r="E128" s="354">
        <f>E127</f>
        <v>4</v>
      </c>
      <c r="F128" s="180" t="str">
        <f>F127</f>
        <v>投掷（射程20/60），两用（1d8）</v>
      </c>
      <c r="G128" s="180"/>
      <c r="H128" s="198">
        <f>H$3</f>
        <v>-1</v>
      </c>
      <c r="S128" s="118" t="s">
        <v>3853</v>
      </c>
      <c r="T128" s="180">
        <v>50</v>
      </c>
      <c r="U128" s="180">
        <v>2</v>
      </c>
      <c r="V128" s="119" t="s">
        <v>4053</v>
      </c>
      <c r="W128" s="155"/>
      <c r="X128" s="130"/>
      <c r="Y128" s="130"/>
      <c r="Z128" s="130"/>
      <c r="AE128" s="130"/>
      <c r="AF128" s="130"/>
      <c r="AG128" s="130"/>
      <c r="AH128" s="130"/>
      <c r="AI128" s="130"/>
      <c r="AK128" s="157" t="str">
        <f t="array" ref="AK128">INDEX(B:B,SMALL(IF($B$3:$B$177&lt;&gt;"",ROW($3:$177),178),ROW(J127)))&amp;""</f>
        <v/>
      </c>
    </row>
    <row r="129" spans="1:37" ht="14.4" customHeight="1" x14ac:dyDescent="0.25">
      <c r="A129" s="1052"/>
      <c r="B129" s="119" t="str">
        <f>IF(AU$8&gt;=1,"咒剑"&amp;B127,"")</f>
        <v/>
      </c>
      <c r="C129" s="180" t="str">
        <f>C127</f>
        <v>1D6</v>
      </c>
      <c r="D129" s="180" t="str">
        <f>D127</f>
        <v>穿刺</v>
      </c>
      <c r="E129" s="354">
        <f>E127</f>
        <v>4</v>
      </c>
      <c r="F129" s="180" t="str">
        <f>F127</f>
        <v>投掷（射程20/60），两用（1d8）</v>
      </c>
      <c r="G129" s="180"/>
      <c r="H129" s="198">
        <f>H$80</f>
        <v>0</v>
      </c>
      <c r="S129" s="118" t="s">
        <v>3856</v>
      </c>
      <c r="T129" s="180">
        <v>25</v>
      </c>
      <c r="U129" s="180">
        <v>1</v>
      </c>
      <c r="V129" s="119" t="s">
        <v>4054</v>
      </c>
      <c r="W129" s="155"/>
      <c r="X129" s="130"/>
      <c r="Y129" s="130"/>
      <c r="Z129" s="130"/>
      <c r="AE129" s="130"/>
      <c r="AF129" s="130"/>
      <c r="AG129" s="130"/>
      <c r="AH129" s="130"/>
      <c r="AI129" s="130"/>
      <c r="AK129" s="157" t="str">
        <f t="array" ref="AK129">INDEX(B:B,SMALL(IF($B$3:$B$177&lt;&gt;"",ROW($3:$177),178),ROW(J128)))&amp;""</f>
        <v/>
      </c>
    </row>
    <row r="130" spans="1:37" ht="14.4" customHeight="1" x14ac:dyDescent="0.25">
      <c r="A130" s="1052"/>
      <c r="B130" s="119" t="str">
        <f>IF(AU$9=1,"匠师"&amp;B127,"")</f>
        <v/>
      </c>
      <c r="C130" s="180" t="str">
        <f>C127</f>
        <v>1D6</v>
      </c>
      <c r="D130" s="180" t="str">
        <f>D127</f>
        <v>穿刺</v>
      </c>
      <c r="E130" s="354">
        <f>E127</f>
        <v>4</v>
      </c>
      <c r="F130" s="180" t="str">
        <f>F127</f>
        <v>投掷（射程20/60），两用（1d8）</v>
      </c>
      <c r="G130" s="180"/>
      <c r="H130" s="198">
        <f>H$81</f>
        <v>4</v>
      </c>
      <c r="S130" s="115" t="s">
        <v>4055</v>
      </c>
      <c r="T130" s="130">
        <v>2</v>
      </c>
      <c r="U130" s="180">
        <v>70</v>
      </c>
      <c r="V130" s="119" t="s">
        <v>4056</v>
      </c>
      <c r="W130" s="155"/>
      <c r="X130" s="130"/>
      <c r="Y130" s="130"/>
      <c r="Z130" s="130"/>
      <c r="AA130" s="130"/>
      <c r="AB130" s="130"/>
      <c r="AC130" s="130"/>
      <c r="AD130" s="130"/>
      <c r="AE130" s="130"/>
      <c r="AF130" s="130"/>
      <c r="AG130" s="130"/>
      <c r="AH130" s="130"/>
      <c r="AI130" s="130"/>
      <c r="AK130" s="157" t="str">
        <f t="array" ref="AK130">INDEX(B:B,SMALL(IF($B$3:$B$177&lt;&gt;"",ROW($3:$177),178),ROW(J129)))&amp;""</f>
        <v/>
      </c>
    </row>
    <row r="131" spans="1:37" ht="14.4" customHeight="1" x14ac:dyDescent="0.25">
      <c r="A131" s="1052"/>
      <c r="B131" s="119" t="s">
        <v>4057</v>
      </c>
      <c r="C131" s="119" t="s">
        <v>3777</v>
      </c>
      <c r="D131" s="119" t="s">
        <v>3704</v>
      </c>
      <c r="E131" s="354">
        <v>2</v>
      </c>
      <c r="F131" s="119" t="s">
        <v>3845</v>
      </c>
      <c r="G131" s="180">
        <v>5</v>
      </c>
      <c r="H131" s="198">
        <f>H$78</f>
        <v>-1</v>
      </c>
      <c r="S131" s="115" t="s">
        <v>4058</v>
      </c>
      <c r="T131" s="130">
        <v>2</v>
      </c>
      <c r="U131" s="180">
        <v>2</v>
      </c>
      <c r="V131" s="119" t="s">
        <v>4059</v>
      </c>
      <c r="W131" s="155"/>
      <c r="X131" s="130"/>
      <c r="Y131" s="130"/>
      <c r="Z131" s="130"/>
      <c r="AA131" s="130"/>
      <c r="AB131" s="130"/>
      <c r="AC131" s="130"/>
      <c r="AD131" s="130"/>
      <c r="AE131" s="130"/>
      <c r="AF131" s="130"/>
      <c r="AG131" s="130"/>
      <c r="AH131" s="130"/>
      <c r="AI131" s="130"/>
      <c r="AK131" s="157" t="str">
        <f t="array" ref="AK131">INDEX(B:B,SMALL(IF($B$3:$B$177&lt;&gt;"",ROW($3:$177),178),ROW(J130)))&amp;""</f>
        <v/>
      </c>
    </row>
    <row r="132" spans="1:37" ht="14.4" customHeight="1" x14ac:dyDescent="0.25">
      <c r="A132" s="1052"/>
      <c r="B132" s="180" t="str">
        <f>IF(AU$7=2,"剑圣"&amp;B131,IF(AU$7&gt;=1,"专用"&amp;B131,""))</f>
        <v/>
      </c>
      <c r="C132" s="180" t="str">
        <f>C$15</f>
        <v>1D8</v>
      </c>
      <c r="D132" s="180" t="str">
        <f>D131</f>
        <v>穿刺</v>
      </c>
      <c r="E132" s="354">
        <f>E131</f>
        <v>2</v>
      </c>
      <c r="F132" s="180" t="str">
        <f>F131</f>
        <v>-</v>
      </c>
      <c r="G132" s="180"/>
      <c r="H132" s="198">
        <f>H$3</f>
        <v>-1</v>
      </c>
      <c r="S132" s="115" t="s">
        <v>4060</v>
      </c>
      <c r="T132" s="130">
        <v>0.05</v>
      </c>
      <c r="U132" s="180">
        <v>2</v>
      </c>
      <c r="V132" s="119" t="s">
        <v>4061</v>
      </c>
      <c r="W132" s="155"/>
      <c r="X132" s="130"/>
      <c r="Y132" s="130"/>
      <c r="Z132" s="130"/>
      <c r="AA132" s="130"/>
      <c r="AB132" s="130"/>
      <c r="AC132" s="130"/>
      <c r="AD132" s="130"/>
      <c r="AE132" s="130"/>
      <c r="AF132" s="130"/>
      <c r="AG132" s="130"/>
      <c r="AH132" s="130"/>
      <c r="AI132" s="130"/>
      <c r="AK132" s="157" t="str">
        <f t="array" ref="AK132">INDEX(B:B,SMALL(IF($B$3:$B$177&lt;&gt;"",ROW($3:$177),178),ROW(J131)))&amp;""</f>
        <v/>
      </c>
    </row>
    <row r="133" spans="1:37" ht="14.4" customHeight="1" x14ac:dyDescent="0.25">
      <c r="A133" s="1052"/>
      <c r="B133" s="119" t="str">
        <f>IF(AU$8&gt;=1,"咒剑"&amp;B131,"")</f>
        <v/>
      </c>
      <c r="C133" s="180" t="str">
        <f>C131</f>
        <v>1D8</v>
      </c>
      <c r="D133" s="180" t="str">
        <f>D131</f>
        <v>穿刺</v>
      </c>
      <c r="E133" s="354">
        <f>E131</f>
        <v>2</v>
      </c>
      <c r="F133" s="180" t="str">
        <f>F131</f>
        <v>-</v>
      </c>
      <c r="G133" s="180"/>
      <c r="H133" s="198">
        <f>H$80</f>
        <v>0</v>
      </c>
      <c r="S133" s="115" t="s">
        <v>4062</v>
      </c>
      <c r="T133" s="130">
        <v>0.02</v>
      </c>
      <c r="U133" s="180">
        <v>1</v>
      </c>
      <c r="V133" s="119" t="s">
        <v>4063</v>
      </c>
      <c r="W133" s="155"/>
      <c r="X133" s="130"/>
      <c r="Y133" s="130"/>
      <c r="Z133" s="130"/>
      <c r="AA133" s="130"/>
      <c r="AB133" s="130"/>
      <c r="AC133" s="130"/>
      <c r="AD133" s="130"/>
      <c r="AE133" s="130"/>
      <c r="AF133" s="130"/>
      <c r="AG133" s="130"/>
      <c r="AH133" s="130"/>
      <c r="AI133" s="130"/>
      <c r="AK133" s="157" t="str">
        <f t="array" ref="AK133">INDEX(B:B,SMALL(IF($B$3:$B$177&lt;&gt;"",ROW($3:$177),178),ROW(J132)))&amp;""</f>
        <v/>
      </c>
    </row>
    <row r="134" spans="1:37" ht="14.4" customHeight="1" x14ac:dyDescent="0.25">
      <c r="A134" s="1052"/>
      <c r="B134" s="119" t="str">
        <f>IF(AU$9=1,"匠师"&amp;B131,"")</f>
        <v/>
      </c>
      <c r="C134" s="180" t="str">
        <f>C131</f>
        <v>1D8</v>
      </c>
      <c r="D134" s="180" t="str">
        <f>D131</f>
        <v>穿刺</v>
      </c>
      <c r="E134" s="354">
        <f>E131</f>
        <v>2</v>
      </c>
      <c r="F134" s="180" t="str">
        <f>F131</f>
        <v>-</v>
      </c>
      <c r="G134" s="180"/>
      <c r="H134" s="198">
        <f>H$81</f>
        <v>4</v>
      </c>
      <c r="S134" s="115" t="s">
        <v>4064</v>
      </c>
      <c r="T134" s="130">
        <v>0.02</v>
      </c>
      <c r="U134" s="180">
        <v>4</v>
      </c>
      <c r="V134" s="119" t="s">
        <v>4065</v>
      </c>
      <c r="W134" s="155"/>
      <c r="X134" s="130"/>
      <c r="Y134" s="130"/>
      <c r="Z134" s="130"/>
      <c r="AA134" s="130"/>
      <c r="AB134" s="130"/>
      <c r="AC134" s="130"/>
      <c r="AD134" s="130"/>
      <c r="AE134" s="130"/>
      <c r="AF134" s="130"/>
      <c r="AG134" s="130"/>
      <c r="AH134" s="130"/>
      <c r="AI134" s="130"/>
      <c r="AK134" s="157" t="str">
        <f t="array" ref="AK134">INDEX(B:B,SMALL(IF($B$3:$B$177&lt;&gt;"",ROW($3:$177),178),ROW(J133)))&amp;""</f>
        <v/>
      </c>
    </row>
    <row r="135" spans="1:37" ht="14.4" customHeight="1" x14ac:dyDescent="0.25">
      <c r="A135" s="1052"/>
      <c r="B135" s="119" t="s">
        <v>4066</v>
      </c>
      <c r="C135" s="119" t="s">
        <v>3777</v>
      </c>
      <c r="D135" s="119" t="s">
        <v>127</v>
      </c>
      <c r="E135" s="354">
        <v>2</v>
      </c>
      <c r="F135" s="119" t="s">
        <v>3953</v>
      </c>
      <c r="G135" s="180">
        <v>15</v>
      </c>
      <c r="H135" s="198">
        <f>H$78</f>
        <v>-1</v>
      </c>
      <c r="S135" s="115" t="s">
        <v>4067</v>
      </c>
      <c r="T135" s="130">
        <v>2</v>
      </c>
      <c r="U135" s="180">
        <v>10</v>
      </c>
      <c r="V135" s="119" t="s">
        <v>4065</v>
      </c>
      <c r="W135" s="155"/>
      <c r="X135" s="130"/>
      <c r="AG135" s="130"/>
      <c r="AH135" s="130"/>
      <c r="AI135" s="130"/>
      <c r="AK135" s="157" t="str">
        <f t="array" ref="AK135">INDEX(B:B,SMALL(IF($B$3:$B$177&lt;&gt;"",ROW($3:$177),178),ROW(J134)))&amp;""</f>
        <v/>
      </c>
    </row>
    <row r="136" spans="1:37" ht="14.4" customHeight="1" x14ac:dyDescent="0.25">
      <c r="A136" s="1052"/>
      <c r="B136" s="180" t="str">
        <f>IF(AU$7=2,"剑圣"&amp;B135,IF(AU$7&gt;=1,"专用"&amp;B135,""))</f>
        <v/>
      </c>
      <c r="C136" s="180" t="str">
        <f>C$15</f>
        <v>1D8</v>
      </c>
      <c r="D136" s="180" t="str">
        <f>D135</f>
        <v>钝击</v>
      </c>
      <c r="E136" s="354">
        <f>E135</f>
        <v>2</v>
      </c>
      <c r="F136" s="180" t="str">
        <f>F135</f>
        <v>两用（1d10）</v>
      </c>
      <c r="G136" s="180"/>
      <c r="H136" s="198">
        <f>H$3</f>
        <v>-1</v>
      </c>
      <c r="S136" s="115" t="s">
        <v>4068</v>
      </c>
      <c r="T136" s="130">
        <v>1</v>
      </c>
      <c r="U136" s="180">
        <v>0</v>
      </c>
      <c r="V136" s="119" t="s">
        <v>4069</v>
      </c>
      <c r="W136" s="155"/>
      <c r="X136" s="130"/>
      <c r="AG136" s="130"/>
      <c r="AH136" s="130"/>
      <c r="AI136" s="130"/>
      <c r="AK136" s="157" t="str">
        <f t="array" ref="AK136">INDEX(B:B,SMALL(IF($B$3:$B$177&lt;&gt;"",ROW($3:$177),178),ROW(J135)))&amp;""</f>
        <v/>
      </c>
    </row>
    <row r="137" spans="1:37" ht="14.4" customHeight="1" x14ac:dyDescent="0.25">
      <c r="A137" s="1052"/>
      <c r="B137" s="119" t="str">
        <f>IF(AU$8&gt;=1,"咒剑"&amp;B135,"")</f>
        <v/>
      </c>
      <c r="C137" s="180" t="str">
        <f>C135</f>
        <v>1D8</v>
      </c>
      <c r="D137" s="180" t="str">
        <f>D135</f>
        <v>钝击</v>
      </c>
      <c r="E137" s="354">
        <f>E135</f>
        <v>2</v>
      </c>
      <c r="F137" s="180" t="str">
        <f>F135</f>
        <v>两用（1d10）</v>
      </c>
      <c r="G137" s="180"/>
      <c r="H137" s="198">
        <f>H$80</f>
        <v>0</v>
      </c>
      <c r="S137" s="115" t="s">
        <v>4070</v>
      </c>
      <c r="T137" s="130">
        <v>0.2</v>
      </c>
      <c r="U137" s="180">
        <v>5</v>
      </c>
      <c r="V137" s="119" t="s">
        <v>4071</v>
      </c>
      <c r="W137" s="155"/>
      <c r="X137" s="130"/>
      <c r="AG137" s="130"/>
      <c r="AH137" s="130"/>
      <c r="AI137" s="130"/>
      <c r="AK137" s="157" t="str">
        <f t="array" ref="AK137">INDEX(B:B,SMALL(IF($B$3:$B$177&lt;&gt;"",ROW($3:$177),178),ROW(J136)))&amp;""</f>
        <v/>
      </c>
    </row>
    <row r="138" spans="1:37" ht="14.4" customHeight="1" x14ac:dyDescent="0.25">
      <c r="A138" s="1052"/>
      <c r="B138" s="119" t="str">
        <f>IF(AU$9=1,"匠师"&amp;B135,"")</f>
        <v/>
      </c>
      <c r="C138" s="180" t="str">
        <f>C135</f>
        <v>1D8</v>
      </c>
      <c r="D138" s="180" t="str">
        <f>D135</f>
        <v>钝击</v>
      </c>
      <c r="E138" s="354">
        <f>E135</f>
        <v>2</v>
      </c>
      <c r="F138" s="180" t="str">
        <f>F135</f>
        <v>两用（1d10）</v>
      </c>
      <c r="G138" s="180"/>
      <c r="H138" s="198">
        <f>H$81</f>
        <v>4</v>
      </c>
      <c r="S138" s="115" t="s">
        <v>264</v>
      </c>
      <c r="T138" s="130">
        <v>2</v>
      </c>
      <c r="U138" s="180">
        <v>5</v>
      </c>
      <c r="V138" s="119" t="s">
        <v>4072</v>
      </c>
      <c r="W138" s="155">
        <v>30</v>
      </c>
      <c r="X138" s="130"/>
      <c r="AH138" s="130"/>
      <c r="AI138" s="130"/>
      <c r="AK138" s="157" t="str">
        <f t="array" ref="AK138">INDEX(B:B,SMALL(IF($B$3:$B$177&lt;&gt;"",ROW($3:$177),178),ROW(J137)))&amp;""</f>
        <v/>
      </c>
    </row>
    <row r="139" spans="1:37" ht="14.4" customHeight="1" x14ac:dyDescent="0.25">
      <c r="A139" s="1052"/>
      <c r="B139" s="119" t="s">
        <v>4073</v>
      </c>
      <c r="C139" s="119" t="s">
        <v>3925</v>
      </c>
      <c r="D139" s="119" t="s">
        <v>3713</v>
      </c>
      <c r="E139" s="354">
        <v>3</v>
      </c>
      <c r="F139" s="119" t="s">
        <v>4074</v>
      </c>
      <c r="G139" s="180">
        <v>2</v>
      </c>
      <c r="H139" s="120">
        <f>H16</f>
        <v>2</v>
      </c>
      <c r="S139" s="115" t="s">
        <v>4075</v>
      </c>
      <c r="T139" s="130">
        <v>0.4</v>
      </c>
      <c r="U139" s="180">
        <v>2</v>
      </c>
      <c r="V139" s="119" t="s">
        <v>4076</v>
      </c>
      <c r="W139" s="155">
        <v>40</v>
      </c>
      <c r="X139" s="130"/>
      <c r="AH139" s="130"/>
      <c r="AI139" s="130"/>
      <c r="AK139" s="157" t="str">
        <f t="array" ref="AK139">INDEX(B:B,SMALL(IF($B$3:$B$177&lt;&gt;"",ROW($3:$177),178),ROW(J138)))&amp;""</f>
        <v/>
      </c>
    </row>
    <row r="140" spans="1:37" ht="14.4" customHeight="1" x14ac:dyDescent="0.25">
      <c r="A140" s="1052"/>
      <c r="B140" s="180" t="str">
        <f>IF(AU$7=2,"剑圣"&amp;B139,IF(AU$7&gt;=1,"专用"&amp;B139,""))</f>
        <v/>
      </c>
      <c r="C140" s="180" t="str">
        <f>C$11</f>
        <v>1D4</v>
      </c>
      <c r="D140" s="180" t="str">
        <f>D139</f>
        <v>挥砍</v>
      </c>
      <c r="E140" s="354">
        <f>E139</f>
        <v>3</v>
      </c>
      <c r="F140" s="180" t="str">
        <f>F139</f>
        <v>灵巧，触及</v>
      </c>
      <c r="G140" s="180"/>
      <c r="H140" s="198">
        <f>H$16</f>
        <v>2</v>
      </c>
      <c r="S140" s="115" t="s">
        <v>4077</v>
      </c>
      <c r="T140" s="130">
        <v>5</v>
      </c>
      <c r="U140" s="180">
        <v>25</v>
      </c>
      <c r="V140" s="119" t="s">
        <v>4078</v>
      </c>
      <c r="W140" s="155">
        <v>300</v>
      </c>
      <c r="X140" s="130"/>
      <c r="AH140" s="130"/>
      <c r="AI140" s="130"/>
      <c r="AK140" s="157" t="str">
        <f t="array" ref="AK140">INDEX(B:B,SMALL(IF($B$3:$B$177&lt;&gt;"",ROW($3:$177),178),ROW(J139)))&amp;""</f>
        <v/>
      </c>
    </row>
    <row r="141" spans="1:37" ht="14.4" customHeight="1" x14ac:dyDescent="0.25">
      <c r="A141" s="1052"/>
      <c r="B141" s="119" t="str">
        <f>IF(AU$8&gt;=1,"咒剑"&amp;B139,"")</f>
        <v/>
      </c>
      <c r="C141" s="180" t="str">
        <f>C139</f>
        <v>1D4</v>
      </c>
      <c r="D141" s="180" t="str">
        <f>D139</f>
        <v>挥砍</v>
      </c>
      <c r="E141" s="354">
        <f>E139</f>
        <v>3</v>
      </c>
      <c r="F141" s="180" t="str">
        <f>F139</f>
        <v>灵巧，触及</v>
      </c>
      <c r="G141" s="180"/>
      <c r="H141" s="198">
        <f>H$18</f>
        <v>2</v>
      </c>
      <c r="S141" s="115" t="s">
        <v>265</v>
      </c>
      <c r="T141" s="130">
        <v>0.5</v>
      </c>
      <c r="U141" s="180">
        <v>1</v>
      </c>
      <c r="V141" s="119" t="s">
        <v>4079</v>
      </c>
      <c r="W141" s="155">
        <v>6</v>
      </c>
      <c r="X141" s="130"/>
      <c r="AH141" s="130"/>
      <c r="AI141" s="130"/>
      <c r="AK141" s="157" t="str">
        <f t="array" ref="AK141">INDEX(B:B,SMALL(IF($B$3:$B$177&lt;&gt;"",ROW($3:$177),178),ROW(J140)))&amp;""</f>
        <v/>
      </c>
    </row>
    <row r="142" spans="1:37" ht="14.4" customHeight="1" x14ac:dyDescent="0.25">
      <c r="A142" s="1052"/>
      <c r="B142" s="119" t="str">
        <f>IF(AU$9=1,"匠师"&amp;B139,"")</f>
        <v/>
      </c>
      <c r="C142" s="180" t="str">
        <f>C139</f>
        <v>1D4</v>
      </c>
      <c r="D142" s="180" t="str">
        <f>D139</f>
        <v>挥砍</v>
      </c>
      <c r="E142" s="354">
        <f>E139</f>
        <v>3</v>
      </c>
      <c r="F142" s="180" t="str">
        <f>F139</f>
        <v>灵巧，触及</v>
      </c>
      <c r="G142" s="180"/>
      <c r="H142" s="198">
        <f>H$19</f>
        <v>4</v>
      </c>
      <c r="S142" s="123" t="s">
        <v>4080</v>
      </c>
      <c r="T142" s="175">
        <v>0.01</v>
      </c>
      <c r="U142" s="175">
        <v>0.5</v>
      </c>
      <c r="V142" s="129" t="s">
        <v>4072</v>
      </c>
      <c r="W142" s="183">
        <v>30</v>
      </c>
      <c r="X142" s="130"/>
      <c r="AH142" s="130"/>
      <c r="AI142" s="130"/>
      <c r="AK142" s="157" t="str">
        <f t="array" ref="AK142">INDEX(B:B,SMALL(IF($B$3:$B$177&lt;&gt;"",ROW($3:$177),178),ROW(J141)))&amp;""</f>
        <v/>
      </c>
    </row>
    <row r="143" spans="1:37" ht="14.4" customHeight="1" x14ac:dyDescent="0.25">
      <c r="A143" s="1052"/>
      <c r="B143" s="370" t="str">
        <f>IF(综合数据!B19=TRUE,"双刃弯刀","")</f>
        <v/>
      </c>
      <c r="C143" s="119" t="s">
        <v>4081</v>
      </c>
      <c r="D143" s="119" t="s">
        <v>3713</v>
      </c>
      <c r="E143" s="354">
        <v>6</v>
      </c>
      <c r="F143" s="119" t="s">
        <v>4082</v>
      </c>
      <c r="G143" s="180">
        <v>100</v>
      </c>
      <c r="H143" s="198">
        <f>IF(COUNTIF(专长数据!E2:E7,专长数据!A92),H16,H78)</f>
        <v>-1</v>
      </c>
      <c r="X143" s="130"/>
      <c r="AH143" s="130"/>
      <c r="AK143" s="157" t="str">
        <f t="array" ref="AK143">INDEX(B:B,SMALL(IF($B$3:$B$177&lt;&gt;"",ROW($3:$177),178),ROW(J142)))&amp;""</f>
        <v/>
      </c>
    </row>
    <row r="144" spans="1:37" ht="14.4" customHeight="1" x14ac:dyDescent="0.25">
      <c r="A144" s="1052"/>
      <c r="B144" s="119" t="str">
        <f>IF(B143="","",IF(AU$8=2,"咒剑"&amp;B143,""))</f>
        <v/>
      </c>
      <c r="C144" s="180" t="str">
        <f>C143</f>
        <v>2D4</v>
      </c>
      <c r="D144" s="180" t="str">
        <f>D143</f>
        <v>挥砍</v>
      </c>
      <c r="E144" s="354">
        <f>E143</f>
        <v>6</v>
      </c>
      <c r="F144" s="180" t="str">
        <f>F143</f>
        <v>双手,特殊</v>
      </c>
      <c r="G144" s="180"/>
      <c r="H144" s="198">
        <f>MAX(主要!R$19,装备数据!H143)</f>
        <v>0</v>
      </c>
      <c r="X144" s="130"/>
      <c r="AH144" s="130"/>
      <c r="AK144" s="157" t="str">
        <f t="array" ref="AK144">INDEX(B:B,SMALL(IF($B$3:$B$177&lt;&gt;"",ROW($3:$177),178),ROW(J143)))&amp;""</f>
        <v/>
      </c>
    </row>
    <row r="145" spans="1:37" ht="14.4" customHeight="1" x14ac:dyDescent="0.25">
      <c r="A145" s="1052"/>
      <c r="B145" s="119" t="str">
        <f>IF(B143="","",IF(AU$9=1,"匠师"&amp;B143,""))</f>
        <v/>
      </c>
      <c r="C145" s="180" t="str">
        <f>C143</f>
        <v>2D4</v>
      </c>
      <c r="D145" s="180" t="str">
        <f>D143</f>
        <v>挥砍</v>
      </c>
      <c r="E145" s="354">
        <f>E143</f>
        <v>6</v>
      </c>
      <c r="F145" s="180" t="str">
        <f>F143</f>
        <v>双手,特殊</v>
      </c>
      <c r="G145" s="180"/>
      <c r="H145" s="198">
        <f>MAX(主要!R$17,装备数据!H143)</f>
        <v>4</v>
      </c>
      <c r="AK145" s="157" t="str">
        <f t="array" ref="AK145">INDEX(B:B,SMALL(IF($B$3:$B$177&lt;&gt;"",ROW($3:$177),178),ROW(J144)))&amp;""</f>
        <v/>
      </c>
    </row>
    <row r="146" spans="1:37" ht="14.4" customHeight="1" x14ac:dyDescent="0.25">
      <c r="A146" s="1052" t="s">
        <v>4083</v>
      </c>
      <c r="B146" s="119" t="s">
        <v>4084</v>
      </c>
      <c r="C146" s="180">
        <v>1</v>
      </c>
      <c r="D146" s="119" t="s">
        <v>3704</v>
      </c>
      <c r="E146" s="354">
        <v>1</v>
      </c>
      <c r="F146" s="119" t="s">
        <v>4085</v>
      </c>
      <c r="G146" s="180">
        <v>10</v>
      </c>
      <c r="H146" s="198">
        <f>H$59</f>
        <v>2</v>
      </c>
      <c r="AK146" s="157" t="str">
        <f t="array" ref="AK146">INDEX(B:B,SMALL(IF($B$3:$B$177&lt;&gt;"",ROW($3:$177),178),ROW(J145)))&amp;""</f>
        <v/>
      </c>
    </row>
    <row r="147" spans="1:37" ht="14.4" customHeight="1" x14ac:dyDescent="0.25">
      <c r="A147" s="1052"/>
      <c r="B147" s="180" t="str">
        <f>IF(AU$7=2,"剑圣"&amp;B146,IF(AU$7&gt;=1,"专用"&amp;B146,""))</f>
        <v/>
      </c>
      <c r="C147" s="180" t="str">
        <f>IF(AU6=1,"1D","")&amp;IF(AU6=1,IF(职业数据!AG7&gt;=17,10,IF(职业数据!AG7&gt;=11,8,IF(职业数据!AG7&gt;=5,6,IF(职业数据!AG7&gt;=1,4,1)))),1)</f>
        <v>1</v>
      </c>
      <c r="D147" s="180" t="str">
        <f>D146</f>
        <v>穿刺</v>
      </c>
      <c r="E147" s="354">
        <f>E146</f>
        <v>1</v>
      </c>
      <c r="F147" s="180" t="str">
        <f>F146</f>
        <v>弹药（射程25/100），装填</v>
      </c>
      <c r="G147" s="180"/>
      <c r="H147" s="198">
        <f>H$3</f>
        <v>-1</v>
      </c>
      <c r="AK147" s="157" t="str">
        <f t="array" ref="AK147">INDEX(B:B,SMALL(IF($B$3:$B$177&lt;&gt;"",ROW($3:$177),178),ROW(J146)))&amp;""</f>
        <v/>
      </c>
    </row>
    <row r="148" spans="1:37" ht="14.4" customHeight="1" x14ac:dyDescent="0.25">
      <c r="A148" s="1052"/>
      <c r="B148" s="119" t="str">
        <f>IF(AU$8&gt;=1,"咒剑"&amp;B146,"")</f>
        <v/>
      </c>
      <c r="C148" s="180">
        <f>C146</f>
        <v>1</v>
      </c>
      <c r="D148" s="180" t="str">
        <f>D146</f>
        <v>穿刺</v>
      </c>
      <c r="E148" s="354">
        <f>E146</f>
        <v>1</v>
      </c>
      <c r="F148" s="180" t="str">
        <f>F146</f>
        <v>弹药（射程25/100），装填</v>
      </c>
      <c r="G148" s="180"/>
      <c r="H148" s="198">
        <f>H$61</f>
        <v>2</v>
      </c>
      <c r="AK148" s="157" t="str">
        <f t="array" ref="AK148">INDEX(B:B,SMALL(IF($B$3:$B$177&lt;&gt;"",ROW($3:$177),178),ROW(J147)))&amp;""</f>
        <v/>
      </c>
    </row>
    <row r="149" spans="1:37" ht="14.4" customHeight="1" x14ac:dyDescent="0.25">
      <c r="A149" s="1052"/>
      <c r="B149" s="119" t="str">
        <f>IF(AU$9=1,"匠师"&amp;B146,"")</f>
        <v/>
      </c>
      <c r="C149" s="180">
        <f>C146</f>
        <v>1</v>
      </c>
      <c r="D149" s="180" t="str">
        <f>D146</f>
        <v>穿刺</v>
      </c>
      <c r="E149" s="354">
        <f>E146</f>
        <v>1</v>
      </c>
      <c r="F149" s="180" t="str">
        <f>F146</f>
        <v>弹药（射程25/100），装填</v>
      </c>
      <c r="G149" s="180"/>
      <c r="H149" s="198">
        <f>H$62</f>
        <v>4</v>
      </c>
      <c r="AK149" s="157" t="str">
        <f t="array" ref="AK149">INDEX(B:B,SMALL(IF($B$3:$B$177&lt;&gt;"",ROW($3:$177),178),ROW(J148)))&amp;""</f>
        <v/>
      </c>
    </row>
    <row r="150" spans="1:37" ht="14.4" customHeight="1" x14ac:dyDescent="0.25">
      <c r="A150" s="1052"/>
      <c r="B150" s="119" t="s">
        <v>4086</v>
      </c>
      <c r="C150" s="119" t="s">
        <v>3671</v>
      </c>
      <c r="D150" s="119" t="s">
        <v>3704</v>
      </c>
      <c r="E150" s="354">
        <v>3</v>
      </c>
      <c r="F150" s="119" t="s">
        <v>4087</v>
      </c>
      <c r="G150" s="180">
        <v>75</v>
      </c>
      <c r="H150" s="198">
        <f>H$59</f>
        <v>2</v>
      </c>
      <c r="AK150" s="157" t="str">
        <f t="array" ref="AK150">INDEX(B:B,SMALL(IF($B$3:$B$177&lt;&gt;"",ROW($3:$177),178),ROW(J149)))&amp;""</f>
        <v/>
      </c>
    </row>
    <row r="151" spans="1:37" ht="14.4" customHeight="1" x14ac:dyDescent="0.25">
      <c r="A151" s="1052"/>
      <c r="B151" s="180" t="str">
        <f>IF(AU$7=2,"剑圣"&amp;B150,IF(AU$7&gt;=1,"专用"&amp;B150,""))</f>
        <v/>
      </c>
      <c r="C151" s="180" t="str">
        <f>C$24</f>
        <v>1D6</v>
      </c>
      <c r="D151" s="180" t="str">
        <f>D150</f>
        <v>穿刺</v>
      </c>
      <c r="E151" s="354">
        <f>E150</f>
        <v>3</v>
      </c>
      <c r="F151" s="180" t="str">
        <f>F150</f>
        <v>弹药（射程30/120），轻型，装填</v>
      </c>
      <c r="G151" s="180"/>
      <c r="H151" s="198">
        <f>H$3</f>
        <v>-1</v>
      </c>
      <c r="AK151" s="157" t="str">
        <f t="array" ref="AK151">INDEX(B:B,SMALL(IF($B$3:$B$177&lt;&gt;"",ROW($3:$177),178),ROW(J150)))&amp;""</f>
        <v/>
      </c>
    </row>
    <row r="152" spans="1:37" ht="14.4" customHeight="1" x14ac:dyDescent="0.25">
      <c r="A152" s="1052"/>
      <c r="B152" s="119" t="str">
        <f>IF(AU$8&gt;=1,"咒剑"&amp;B150,"")</f>
        <v/>
      </c>
      <c r="C152" s="180" t="str">
        <f>C150</f>
        <v>1D6</v>
      </c>
      <c r="D152" s="180" t="str">
        <f>D150</f>
        <v>穿刺</v>
      </c>
      <c r="E152" s="354">
        <f>E150</f>
        <v>3</v>
      </c>
      <c r="F152" s="180" t="str">
        <f>F150</f>
        <v>弹药（射程30/120），轻型，装填</v>
      </c>
      <c r="G152" s="180"/>
      <c r="H152" s="198">
        <f>H$61</f>
        <v>2</v>
      </c>
      <c r="AK152" s="157" t="str">
        <f t="array" ref="AK152">INDEX(B:B,SMALL(IF($B$3:$B$177&lt;&gt;"",ROW($3:$177),178),ROW(J151)))&amp;""</f>
        <v/>
      </c>
    </row>
    <row r="153" spans="1:37" ht="14.4" customHeight="1" x14ac:dyDescent="0.25">
      <c r="A153" s="1052"/>
      <c r="B153" s="119" t="str">
        <f>IF(AU$9=1,"匠师"&amp;B150,"")</f>
        <v/>
      </c>
      <c r="C153" s="180" t="str">
        <f>C150</f>
        <v>1D6</v>
      </c>
      <c r="D153" s="180" t="str">
        <f>D150</f>
        <v>穿刺</v>
      </c>
      <c r="E153" s="354">
        <f>E150</f>
        <v>3</v>
      </c>
      <c r="F153" s="180" t="str">
        <f>F150</f>
        <v>弹药（射程30/120），轻型，装填</v>
      </c>
      <c r="G153" s="180"/>
      <c r="H153" s="198">
        <f>H$62</f>
        <v>4</v>
      </c>
      <c r="AK153" s="157" t="str">
        <f t="array" ref="AK153">INDEX(B:B,SMALL(IF($B$3:$B$177&lt;&gt;"",ROW($3:$177),178),ROW(J152)))&amp;""</f>
        <v/>
      </c>
    </row>
    <row r="154" spans="1:37" ht="14.4" customHeight="1" x14ac:dyDescent="0.25">
      <c r="A154" s="1052"/>
      <c r="B154" s="119" t="s">
        <v>4088</v>
      </c>
      <c r="C154" s="119" t="s">
        <v>3970</v>
      </c>
      <c r="D154" s="119" t="s">
        <v>3704</v>
      </c>
      <c r="E154" s="354">
        <v>18</v>
      </c>
      <c r="F154" s="119" t="s">
        <v>4089</v>
      </c>
      <c r="G154" s="180">
        <v>50</v>
      </c>
      <c r="H154" s="198">
        <f>H$59</f>
        <v>2</v>
      </c>
      <c r="AK154" s="157" t="str">
        <f t="array" ref="AK154">INDEX(B:B,SMALL(IF($B$3:$B$177&lt;&gt;"",ROW($3:$177),178),ROW(J153)))&amp;""</f>
        <v/>
      </c>
    </row>
    <row r="155" spans="1:37" ht="14.4" customHeight="1" x14ac:dyDescent="0.25">
      <c r="A155" s="1052"/>
      <c r="B155" s="119" t="str">
        <f>IF(AU$8=2,"咒剑"&amp;B154,"")</f>
        <v/>
      </c>
      <c r="C155" s="180" t="str">
        <f>C154</f>
        <v>1D10</v>
      </c>
      <c r="D155" s="180" t="str">
        <f>D154</f>
        <v>穿刺</v>
      </c>
      <c r="E155" s="354">
        <f>E154</f>
        <v>18</v>
      </c>
      <c r="F155" s="180" t="str">
        <f>F154</f>
        <v>弹药（射程100/400），重型，装填，双手</v>
      </c>
      <c r="G155" s="180"/>
      <c r="H155" s="198">
        <f>H$61</f>
        <v>2</v>
      </c>
      <c r="AK155" s="157" t="str">
        <f t="array" ref="AK155">INDEX(B:B,SMALL(IF($B$3:$B$177&lt;&gt;"",ROW($3:$177),178),ROW(J154)))&amp;""</f>
        <v/>
      </c>
    </row>
    <row r="156" spans="1:37" ht="14.4" customHeight="1" x14ac:dyDescent="0.25">
      <c r="A156" s="1052"/>
      <c r="B156" s="119" t="str">
        <f>IF(AU$9=1,"匠师"&amp;B154,"")</f>
        <v/>
      </c>
      <c r="C156" s="180" t="str">
        <f>C154</f>
        <v>1D10</v>
      </c>
      <c r="D156" s="180" t="str">
        <f>D154</f>
        <v>穿刺</v>
      </c>
      <c r="E156" s="354">
        <f>E154</f>
        <v>18</v>
      </c>
      <c r="F156" s="180" t="str">
        <f>F154</f>
        <v>弹药（射程100/400），重型，装填，双手</v>
      </c>
      <c r="G156" s="180"/>
      <c r="H156" s="198">
        <f>H$62</f>
        <v>4</v>
      </c>
      <c r="AK156" s="157" t="str">
        <f t="array" ref="AK156">INDEX(B:B,SMALL(IF($B$3:$B$177&lt;&gt;"",ROW($3:$177),178),ROW(J155)))&amp;""</f>
        <v/>
      </c>
    </row>
    <row r="157" spans="1:37" ht="14.4" customHeight="1" x14ac:dyDescent="0.25">
      <c r="A157" s="1052"/>
      <c r="B157" s="119" t="s">
        <v>4090</v>
      </c>
      <c r="C157" s="119" t="s">
        <v>3777</v>
      </c>
      <c r="D157" s="119" t="s">
        <v>3704</v>
      </c>
      <c r="E157" s="354">
        <v>2</v>
      </c>
      <c r="F157" s="119" t="s">
        <v>4091</v>
      </c>
      <c r="G157" s="180">
        <v>50</v>
      </c>
      <c r="H157" s="198">
        <f>H$59</f>
        <v>2</v>
      </c>
      <c r="AK157" s="157" t="str">
        <f t="array" ref="AK157">INDEX(B:B,SMALL(IF($B$3:$B$177&lt;&gt;"",ROW($3:$177),178),ROW(J156)))&amp;""</f>
        <v/>
      </c>
    </row>
    <row r="158" spans="1:37" ht="14.4" customHeight="1" x14ac:dyDescent="0.25">
      <c r="A158" s="1052"/>
      <c r="B158" s="119" t="str">
        <f>IF(AU$8=2,"咒剑"&amp;B157,"")</f>
        <v/>
      </c>
      <c r="C158" s="180" t="str">
        <f>C157</f>
        <v>1D8</v>
      </c>
      <c r="D158" s="180" t="str">
        <f>D157</f>
        <v>穿刺</v>
      </c>
      <c r="E158" s="354">
        <f>E157</f>
        <v>2</v>
      </c>
      <c r="F158" s="180" t="str">
        <f>F157</f>
        <v>弹药（射程150/600），重型，双手</v>
      </c>
      <c r="G158" s="180"/>
      <c r="H158" s="198">
        <f>H$61</f>
        <v>2</v>
      </c>
      <c r="AK158" s="157" t="str">
        <f t="array" ref="AK158">INDEX(B:B,SMALL(IF($B$3:$B$177&lt;&gt;"",ROW($3:$177),178),ROW(J157)))&amp;""</f>
        <v/>
      </c>
    </row>
    <row r="159" spans="1:37" ht="14.4" customHeight="1" x14ac:dyDescent="0.25">
      <c r="A159" s="1052"/>
      <c r="B159" s="119" t="str">
        <f>IF(AU$9=1,"匠师"&amp;B157,"")</f>
        <v/>
      </c>
      <c r="C159" s="180" t="str">
        <f>C157</f>
        <v>1D8</v>
      </c>
      <c r="D159" s="180" t="str">
        <f>D157</f>
        <v>穿刺</v>
      </c>
      <c r="E159" s="354">
        <f>E157</f>
        <v>2</v>
      </c>
      <c r="F159" s="180" t="str">
        <f>F157</f>
        <v>弹药（射程150/600），重型，双手</v>
      </c>
      <c r="G159" s="180"/>
      <c r="H159" s="198">
        <f>H$62</f>
        <v>4</v>
      </c>
      <c r="AK159" s="157" t="str">
        <f t="array" ref="AK159">INDEX(B:B,SMALL(IF($B$3:$B$177&lt;&gt;"",ROW($3:$177),178),ROW(J158)))&amp;""</f>
        <v/>
      </c>
    </row>
    <row r="160" spans="1:37" ht="14.4" customHeight="1" x14ac:dyDescent="0.25">
      <c r="A160" s="1052"/>
      <c r="B160" s="119" t="s">
        <v>4092</v>
      </c>
      <c r="C160" s="119" t="str">
        <f>""</f>
        <v/>
      </c>
      <c r="D160" s="119" t="str">
        <f>""</f>
        <v/>
      </c>
      <c r="E160" s="354">
        <v>3</v>
      </c>
      <c r="F160" s="119" t="s">
        <v>4093</v>
      </c>
      <c r="G160" s="180">
        <v>1</v>
      </c>
      <c r="H160" s="198">
        <f>H$59</f>
        <v>2</v>
      </c>
      <c r="AK160" s="157" t="str">
        <f t="array" ref="AK160">INDEX(B:B,SMALL(IF($B$3:$B$177&lt;&gt;"",ROW($3:$177),178),ROW(J159)))&amp;""</f>
        <v/>
      </c>
    </row>
    <row r="161" spans="1:37" ht="14.4" customHeight="1" x14ac:dyDescent="0.25">
      <c r="A161" s="1052"/>
      <c r="B161" s="119" t="str">
        <f>IF(AU$8&gt;=1,"咒剑"&amp;B160,"")</f>
        <v/>
      </c>
      <c r="C161" s="180" t="str">
        <f>C160</f>
        <v/>
      </c>
      <c r="D161" s="180" t="str">
        <f>D160</f>
        <v/>
      </c>
      <c r="E161" s="354">
        <f>E160</f>
        <v>3</v>
      </c>
      <c r="F161" s="180" t="str">
        <f>F160</f>
        <v>特殊，投掷（射程5/15）</v>
      </c>
      <c r="G161" s="180"/>
      <c r="H161" s="198">
        <f>H$61</f>
        <v>2</v>
      </c>
      <c r="AK161" s="157" t="str">
        <f t="array" ref="AK161">INDEX(B:B,SMALL(IF($B$3:$B$177&lt;&gt;"",ROW($3:$177),178),ROW(J160)))&amp;""</f>
        <v/>
      </c>
    </row>
    <row r="162" spans="1:37" ht="14.4" customHeight="1" x14ac:dyDescent="0.25">
      <c r="A162" s="1052"/>
      <c r="B162" s="119" t="str">
        <f>IF(AU$9=1,"匠师"&amp;B160,"")</f>
        <v/>
      </c>
      <c r="C162" s="180" t="str">
        <f>C160</f>
        <v/>
      </c>
      <c r="D162" s="180" t="str">
        <f>D160</f>
        <v/>
      </c>
      <c r="E162" s="354">
        <f>E160</f>
        <v>3</v>
      </c>
      <c r="F162" s="180" t="str">
        <f>F160</f>
        <v>特殊，投掷（射程5/15）</v>
      </c>
      <c r="G162" s="180"/>
      <c r="H162" s="198">
        <f>H$62</f>
        <v>4</v>
      </c>
      <c r="AK162" s="157" t="str">
        <f t="array" ref="AK162">INDEX(B:B,SMALL(IF($B$3:$B$177&lt;&gt;"",ROW($3:$177),178),ROW(J161)))&amp;""</f>
        <v/>
      </c>
    </row>
    <row r="163" spans="1:37" ht="14.4" customHeight="1" x14ac:dyDescent="0.25">
      <c r="A163" s="1052"/>
      <c r="B163" s="371" t="str">
        <f>IF(综合数据!B3=TRUE,"手枪","")</f>
        <v>手枪</v>
      </c>
      <c r="C163" s="119" t="s">
        <v>3970</v>
      </c>
      <c r="D163" s="119" t="s">
        <v>3704</v>
      </c>
      <c r="E163" s="354">
        <v>3</v>
      </c>
      <c r="F163" s="119" t="s">
        <v>4094</v>
      </c>
      <c r="G163" s="180">
        <v>250</v>
      </c>
      <c r="H163" s="198">
        <f>H$59</f>
        <v>2</v>
      </c>
      <c r="AK163" s="157" t="str">
        <f t="array" ref="AK163">INDEX(B:B,SMALL(IF($B$3:$B$177&lt;&gt;"",ROW($3:$177),178),ROW(J162)))&amp;""</f>
        <v/>
      </c>
    </row>
    <row r="164" spans="1:37" ht="14.4" customHeight="1" x14ac:dyDescent="0.25">
      <c r="A164" s="1052"/>
      <c r="B164" s="180" t="str">
        <f>IF(B163="","",IF(AU$7=2,"剑圣"&amp;B163,IF(AU$7&gt;=1,"专用"&amp;B163,"")))</f>
        <v/>
      </c>
      <c r="C164" s="180" t="str">
        <f>C163</f>
        <v>1D10</v>
      </c>
      <c r="D164" s="180" t="str">
        <f>D163</f>
        <v>穿刺</v>
      </c>
      <c r="E164" s="354">
        <f>E163</f>
        <v>3</v>
      </c>
      <c r="F164" s="180" t="str">
        <f>F163</f>
        <v>弹药（射程20/90），装填</v>
      </c>
      <c r="G164" s="180"/>
      <c r="H164" s="198">
        <f>H$3</f>
        <v>-1</v>
      </c>
      <c r="AK164" s="157" t="str">
        <f t="array" ref="AK164">INDEX(B:B,SMALL(IF($B$3:$B$177&lt;&gt;"",ROW($3:$177),178),ROW(J163)))&amp;""</f>
        <v/>
      </c>
    </row>
    <row r="165" spans="1:37" ht="14.4" customHeight="1" x14ac:dyDescent="0.25">
      <c r="A165" s="1052"/>
      <c r="B165" s="119" t="str">
        <f>IF(B163="","",IF(AU$8=2,"咒剑"&amp;B163,""))</f>
        <v/>
      </c>
      <c r="C165" s="180" t="str">
        <f>C163</f>
        <v>1D10</v>
      </c>
      <c r="D165" s="180" t="str">
        <f>D163</f>
        <v>穿刺</v>
      </c>
      <c r="E165" s="354">
        <f>E163</f>
        <v>3</v>
      </c>
      <c r="F165" s="180" t="str">
        <f>F163</f>
        <v>弹药（射程20/90），装填</v>
      </c>
      <c r="G165" s="180"/>
      <c r="H165" s="198">
        <f>H$61</f>
        <v>2</v>
      </c>
      <c r="AK165" s="157" t="str">
        <f t="array" ref="AK165">INDEX(B:B,SMALL(IF($B$3:$B$177&lt;&gt;"",ROW($3:$177),178),ROW(J164)))&amp;""</f>
        <v/>
      </c>
    </row>
    <row r="166" spans="1:37" ht="14.4" customHeight="1" x14ac:dyDescent="0.25">
      <c r="A166" s="1052"/>
      <c r="B166" s="119" t="str">
        <f>IF(B163="","",IF(AU$9=1,"匠师"&amp;B163,""))</f>
        <v/>
      </c>
      <c r="C166" s="180" t="str">
        <f>C163</f>
        <v>1D10</v>
      </c>
      <c r="D166" s="180" t="str">
        <f>D163</f>
        <v>穿刺</v>
      </c>
      <c r="E166" s="354">
        <f>E163</f>
        <v>3</v>
      </c>
      <c r="F166" s="180" t="str">
        <f>F163</f>
        <v>弹药（射程20/90），装填</v>
      </c>
      <c r="G166" s="180"/>
      <c r="H166" s="198">
        <f>H$62</f>
        <v>4</v>
      </c>
      <c r="AK166" s="157" t="str">
        <f t="array" ref="AK166">INDEX(B:B,SMALL(IF($B$3:$B$177&lt;&gt;"",ROW($3:$177),178),ROW(J165)))&amp;""</f>
        <v/>
      </c>
    </row>
    <row r="167" spans="1:37" ht="14.4" customHeight="1" x14ac:dyDescent="0.25">
      <c r="A167" s="1052"/>
      <c r="B167" s="371" t="str">
        <f>IF(综合数据!B3=TRUE,"滑膛枪","")</f>
        <v>滑膛枪</v>
      </c>
      <c r="C167" s="119" t="s">
        <v>3976</v>
      </c>
      <c r="D167" s="119" t="s">
        <v>3704</v>
      </c>
      <c r="E167" s="354">
        <v>10</v>
      </c>
      <c r="F167" s="119" t="s">
        <v>4095</v>
      </c>
      <c r="G167" s="180">
        <v>500</v>
      </c>
      <c r="H167" s="198">
        <f>H$59</f>
        <v>2</v>
      </c>
      <c r="AK167" s="157" t="str">
        <f t="array" ref="AK167">INDEX(B:B,SMALL(IF($B$3:$B$177&lt;&gt;"",ROW($3:$177),178),ROW(J166)))&amp;""</f>
        <v/>
      </c>
    </row>
    <row r="168" spans="1:37" ht="14.4" customHeight="1" x14ac:dyDescent="0.25">
      <c r="A168" s="1052"/>
      <c r="B168" s="180" t="str">
        <f>IF(B167="","",IF(AU$7=2,"剑圣"&amp;B167,IF(AU$7&gt;=1,"专用"&amp;B167,"")))</f>
        <v/>
      </c>
      <c r="C168" s="180" t="str">
        <f>C167</f>
        <v>1D12</v>
      </c>
      <c r="D168" s="180" t="str">
        <f>D167</f>
        <v>穿刺</v>
      </c>
      <c r="E168" s="354">
        <f>E167</f>
        <v>10</v>
      </c>
      <c r="F168" s="180" t="str">
        <f>F167</f>
        <v>弹药（射程40/120），装填，双手</v>
      </c>
      <c r="G168" s="180"/>
      <c r="H168" s="198">
        <f>H$3</f>
        <v>-1</v>
      </c>
      <c r="AK168" s="157" t="str">
        <f t="array" ref="AK168">INDEX(B:B,SMALL(IF($B$3:$B$177&lt;&gt;"",ROW($3:$177),178),ROW(J167)))&amp;""</f>
        <v/>
      </c>
    </row>
    <row r="169" spans="1:37" ht="14.4" customHeight="1" x14ac:dyDescent="0.25">
      <c r="A169" s="1052"/>
      <c r="B169" s="119" t="str">
        <f>IF(B167="","",IF(AU$8=2,"咒剑"&amp;B167,""))</f>
        <v/>
      </c>
      <c r="C169" s="180" t="str">
        <f>C167</f>
        <v>1D12</v>
      </c>
      <c r="D169" s="180" t="str">
        <f>D167</f>
        <v>穿刺</v>
      </c>
      <c r="E169" s="354">
        <f>E167</f>
        <v>10</v>
      </c>
      <c r="F169" s="180" t="str">
        <f>F167</f>
        <v>弹药（射程40/120），装填，双手</v>
      </c>
      <c r="G169" s="180"/>
      <c r="H169" s="198">
        <f>H$61</f>
        <v>2</v>
      </c>
      <c r="AK169" s="157" t="str">
        <f t="array" ref="AK169">INDEX(B:B,SMALL(IF($B$3:$B$177&lt;&gt;"",ROW($3:$177),178),ROW(J168)))&amp;""</f>
        <v/>
      </c>
    </row>
    <row r="170" spans="1:37" ht="14.4" customHeight="1" x14ac:dyDescent="0.25">
      <c r="A170" s="1052"/>
      <c r="B170" s="119" t="str">
        <f>IF(B167="","",IF(AU$9=1,"匠师"&amp;B167,""))</f>
        <v/>
      </c>
      <c r="C170" s="180" t="str">
        <f>C167</f>
        <v>1D12</v>
      </c>
      <c r="D170" s="180" t="str">
        <f>D167</f>
        <v>穿刺</v>
      </c>
      <c r="E170" s="354">
        <f>E167</f>
        <v>10</v>
      </c>
      <c r="F170" s="180" t="str">
        <f>F167</f>
        <v>弹药（射程40/120），装填，双手</v>
      </c>
      <c r="G170" s="180"/>
      <c r="H170" s="198">
        <f>H$62</f>
        <v>4</v>
      </c>
      <c r="AK170" s="157" t="str">
        <f t="array" ref="AK170">INDEX(B:B,SMALL(IF($B$3:$B$177&lt;&gt;"",ROW($3:$177),178),ROW(J169)))&amp;""</f>
        <v/>
      </c>
    </row>
    <row r="171" spans="1:37" ht="14.4" customHeight="1" x14ac:dyDescent="0.25">
      <c r="A171" s="250"/>
      <c r="B171" s="180" t="str">
        <f>IF(AND(COUNTIF(J31:J33,AL2),COUNTIF(职业数据!AD16:AD18,职业数据!D2)),"战狂装甲","")</f>
        <v/>
      </c>
      <c r="C171" s="119" t="s">
        <v>3925</v>
      </c>
      <c r="D171" s="119" t="s">
        <v>3704</v>
      </c>
      <c r="E171" s="354"/>
      <c r="F171" s="119" t="str">
        <f>""</f>
        <v/>
      </c>
      <c r="G171" s="180"/>
      <c r="H171" s="198">
        <f>H78</f>
        <v>-1</v>
      </c>
      <c r="AK171" s="157" t="str">
        <f t="array" ref="AK171">INDEX(B:B,SMALL(IF($B$3:$B$177&lt;&gt;"",ROW($3:$177),178),ROW(J170)))&amp;""</f>
        <v/>
      </c>
    </row>
    <row r="172" spans="1:37" ht="14.4" customHeight="1" x14ac:dyDescent="0.25">
      <c r="A172" s="250"/>
      <c r="B172" s="180" t="str">
        <f>IF(B171="","",IF(AU$7=2,"剑圣"&amp;B171,IF(AU$7&gt;=1,"专用"&amp;B171,"")))</f>
        <v/>
      </c>
      <c r="C172" s="180" t="str">
        <f>C11</f>
        <v>1D4</v>
      </c>
      <c r="D172" s="180" t="str">
        <f>D171</f>
        <v>穿刺</v>
      </c>
      <c r="E172" s="354">
        <f>E171</f>
        <v>0</v>
      </c>
      <c r="F172" s="180" t="str">
        <f>F171</f>
        <v/>
      </c>
      <c r="G172" s="180"/>
      <c r="H172" s="198">
        <f>H79</f>
        <v>-1</v>
      </c>
      <c r="AK172" s="157" t="str">
        <f t="array" ref="AK172">INDEX(B:B,SMALL(IF($B$3:$B$177&lt;&gt;"",ROW($3:$177),178),ROW(J171)))&amp;""</f>
        <v/>
      </c>
    </row>
    <row r="173" spans="1:37" ht="14.4" customHeight="1" x14ac:dyDescent="0.25">
      <c r="A173" s="250"/>
      <c r="B173" s="119" t="str">
        <f>IF(B171="","",IF(AU$8=2,"咒剑"&amp;B171,""))</f>
        <v/>
      </c>
      <c r="C173" s="180" t="str">
        <f>C171</f>
        <v>1D4</v>
      </c>
      <c r="D173" s="180" t="str">
        <f>D171</f>
        <v>穿刺</v>
      </c>
      <c r="E173" s="354">
        <f>E171</f>
        <v>0</v>
      </c>
      <c r="F173" s="180" t="str">
        <f>F171</f>
        <v/>
      </c>
      <c r="G173" s="180"/>
      <c r="H173" s="198">
        <f>H80</f>
        <v>0</v>
      </c>
      <c r="AK173" s="157" t="str">
        <f t="array" ref="AK173">INDEX(B:B,SMALL(IF($B$3:$B$177&lt;&gt;"",ROW($3:$177),178),ROW(J172)))&amp;""</f>
        <v/>
      </c>
    </row>
    <row r="174" spans="1:37" ht="14.4" customHeight="1" x14ac:dyDescent="0.25">
      <c r="A174" s="250"/>
      <c r="B174" s="119" t="s">
        <v>4096</v>
      </c>
      <c r="C174" s="119" t="s">
        <v>3777</v>
      </c>
      <c r="D174" s="119" t="s">
        <v>3681</v>
      </c>
      <c r="E174" s="354"/>
      <c r="F174" s="119" t="s">
        <v>4097</v>
      </c>
      <c r="G174" s="180"/>
      <c r="H174" s="198">
        <f>IF(AU9=1,MAX(主要!R17,主要!R14),主要!R14)</f>
        <v>-1</v>
      </c>
      <c r="AK174" s="157" t="str">
        <f t="array" ref="AK174">INDEX(B:B,SMALL(IF($B$3:$B$177&lt;&gt;"",ROW($3:$177),178),ROW(J173)))&amp;""</f>
        <v/>
      </c>
    </row>
    <row r="175" spans="1:37" ht="14.4" customHeight="1" x14ac:dyDescent="0.25">
      <c r="A175" s="250"/>
      <c r="B175" s="180" t="str">
        <f>IF(AU$7=2,"剑圣"&amp;B174,IF(AU$7&gt;=1,"专用"&amp;B174,""))</f>
        <v/>
      </c>
      <c r="C175" s="180" t="str">
        <f>C$15</f>
        <v>1D8</v>
      </c>
      <c r="D175" s="180" t="str">
        <f>D174</f>
        <v>力场</v>
      </c>
      <c r="E175" s="354">
        <f>E174</f>
        <v>0</v>
      </c>
      <c r="F175" s="180" t="str">
        <f>F174</f>
        <v>投掷（射程20/60）</v>
      </c>
      <c r="G175" s="180"/>
      <c r="H175" s="198">
        <f>H$3</f>
        <v>-1</v>
      </c>
      <c r="AK175" s="157" t="str">
        <f t="array" ref="AK175">INDEX(B:B,SMALL(IF($B$3:$B$177&lt;&gt;"",ROW($3:$177),178),ROW(J174)))&amp;""</f>
        <v/>
      </c>
    </row>
    <row r="176" spans="1:37" ht="14.4" customHeight="1" x14ac:dyDescent="0.25">
      <c r="A176" s="250"/>
      <c r="B176" s="119" t="str">
        <f>IF(AU$8&gt;=1,"咒剑"&amp;B174,"")</f>
        <v/>
      </c>
      <c r="C176" s="180" t="str">
        <f>C174</f>
        <v>1D8</v>
      </c>
      <c r="D176" s="180" t="str">
        <f>D174</f>
        <v>力场</v>
      </c>
      <c r="E176" s="354">
        <f>E174</f>
        <v>0</v>
      </c>
      <c r="F176" s="180" t="str">
        <f>F174</f>
        <v>投掷（射程20/60）</v>
      </c>
      <c r="G176" s="180"/>
      <c r="H176" s="198">
        <f>H$80</f>
        <v>0</v>
      </c>
      <c r="AK176" s="192" t="str">
        <f t="array" ref="AK176">INDEX(B:B,SMALL(IF($B$3:$B$177&lt;&gt;"",ROW($3:$177),178),ROW(J175)))&amp;""</f>
        <v/>
      </c>
    </row>
    <row r="177" spans="1:8" ht="14.4" customHeight="1" x14ac:dyDescent="0.25">
      <c r="A177" s="339"/>
      <c r="B177" s="129" t="str">
        <f>IF(COUNTIF(职业数据!AD16:AD18,职业数据!H7),"阳光箭","")</f>
        <v/>
      </c>
      <c r="C177" s="235" t="str">
        <f>C11</f>
        <v>1D4</v>
      </c>
      <c r="D177" s="129" t="s">
        <v>3773</v>
      </c>
      <c r="E177" s="372"/>
      <c r="F177" s="129" t="s">
        <v>4098</v>
      </c>
      <c r="G177" s="235"/>
      <c r="H177" s="280">
        <f>主要!R15</f>
        <v>2</v>
      </c>
    </row>
    <row r="207" spans="32:32" ht="14.4" customHeight="1" x14ac:dyDescent="0.25">
      <c r="AF207" s="130"/>
    </row>
    <row r="208" spans="32:32" ht="14.4" customHeight="1" x14ac:dyDescent="0.25">
      <c r="AF208" s="130"/>
    </row>
    <row r="209" spans="32:32" ht="14.4" customHeight="1" x14ac:dyDescent="0.25">
      <c r="AF209" s="130"/>
    </row>
    <row r="211" spans="32:32" ht="14.4" customHeight="1" x14ac:dyDescent="0.25">
      <c r="AF211" s="130"/>
    </row>
    <row r="212" spans="32:32" ht="14.4" customHeight="1" x14ac:dyDescent="0.25">
      <c r="AF212" s="130"/>
    </row>
    <row r="213" spans="32:32" ht="14.4" customHeight="1" x14ac:dyDescent="0.25">
      <c r="AF213" s="130"/>
    </row>
    <row r="214" spans="32:32" ht="14.4" customHeight="1" x14ac:dyDescent="0.25">
      <c r="AF214" s="130"/>
    </row>
    <row r="215" spans="32:32" ht="14.4" customHeight="1" x14ac:dyDescent="0.25">
      <c r="AF215" s="130"/>
    </row>
    <row r="216" spans="32:32" ht="14.4" customHeight="1" x14ac:dyDescent="0.25">
      <c r="AF216" s="130"/>
    </row>
    <row r="217" spans="32:32" ht="14.4" customHeight="1" x14ac:dyDescent="0.25">
      <c r="AF217" s="130"/>
    </row>
    <row r="218" spans="32:32" ht="14.4" customHeight="1" x14ac:dyDescent="0.25">
      <c r="AF218" s="130"/>
    </row>
    <row r="219" spans="32:32" ht="14.4" customHeight="1" x14ac:dyDescent="0.25">
      <c r="AF219" s="130"/>
    </row>
    <row r="220" spans="32:32" ht="14.4" customHeight="1" x14ac:dyDescent="0.25">
      <c r="AF220" s="130"/>
    </row>
    <row r="221" spans="32:32" ht="14.4" customHeight="1" x14ac:dyDescent="0.25">
      <c r="AF221" s="130"/>
    </row>
    <row r="222" spans="32:32" ht="14.4" customHeight="1" x14ac:dyDescent="0.25">
      <c r="AF222" s="130"/>
    </row>
    <row r="223" spans="32:32" ht="14.4" customHeight="1" x14ac:dyDescent="0.25">
      <c r="AF223" s="130"/>
    </row>
    <row r="224" spans="32:32" ht="14.4" customHeight="1" x14ac:dyDescent="0.25">
      <c r="AF224" s="130"/>
    </row>
    <row r="225" spans="32:32" ht="14.4" customHeight="1" x14ac:dyDescent="0.25">
      <c r="AF225" s="130"/>
    </row>
    <row r="226" spans="32:32" ht="14.4" customHeight="1" x14ac:dyDescent="0.25">
      <c r="AF226" s="130"/>
    </row>
    <row r="227" spans="32:32" ht="14.4" customHeight="1" x14ac:dyDescent="0.25">
      <c r="AF227" s="130"/>
    </row>
    <row r="230" spans="32:32" ht="14.4" customHeight="1" x14ac:dyDescent="0.25">
      <c r="AF230" s="130"/>
    </row>
    <row r="231" spans="32:32" ht="14.4" customHeight="1" x14ac:dyDescent="0.25">
      <c r="AF231" s="130"/>
    </row>
    <row r="232" spans="32:32" ht="14.4" customHeight="1" x14ac:dyDescent="0.25">
      <c r="AF232" s="130"/>
    </row>
    <row r="233" spans="32:32" ht="14.4" customHeight="1" x14ac:dyDescent="0.25">
      <c r="AF233" s="130"/>
    </row>
    <row r="234" spans="32:32" ht="14.4" customHeight="1" x14ac:dyDescent="0.25">
      <c r="AF234" s="130"/>
    </row>
    <row r="235" spans="32:32" ht="14.4" customHeight="1" x14ac:dyDescent="0.25">
      <c r="AF235" s="130"/>
    </row>
    <row r="236" spans="32:32" ht="14.4" customHeight="1" x14ac:dyDescent="0.25">
      <c r="AF236" s="130"/>
    </row>
    <row r="237" spans="32:32" ht="14.4" customHeight="1" x14ac:dyDescent="0.25">
      <c r="AF237" s="130"/>
    </row>
    <row r="238" spans="32:32" ht="14.4" customHeight="1" x14ac:dyDescent="0.25">
      <c r="AF238" s="130"/>
    </row>
    <row r="239" spans="32:32" ht="14.4" customHeight="1" x14ac:dyDescent="0.25">
      <c r="AF239" s="130"/>
    </row>
    <row r="240" spans="32:32" ht="14.4" customHeight="1" x14ac:dyDescent="0.25">
      <c r="AF240" s="130"/>
    </row>
    <row r="241" spans="32:32" ht="14.4" customHeight="1" x14ac:dyDescent="0.25">
      <c r="AF241" s="130"/>
    </row>
    <row r="242" spans="32:32" ht="14.4" customHeight="1" x14ac:dyDescent="0.25">
      <c r="AF242" s="130"/>
    </row>
    <row r="243" spans="32:32" ht="14.4" customHeight="1" x14ac:dyDescent="0.25">
      <c r="AF243" s="130"/>
    </row>
    <row r="244" spans="32:32" ht="14.4" customHeight="1" x14ac:dyDescent="0.25">
      <c r="AF244" s="130"/>
    </row>
    <row r="245" spans="32:32" ht="14.4" customHeight="1" x14ac:dyDescent="0.25">
      <c r="AF245" s="130"/>
    </row>
    <row r="246" spans="32:32" ht="14.4" customHeight="1" x14ac:dyDescent="0.25">
      <c r="AF246" s="130"/>
    </row>
    <row r="247" spans="32:32" ht="14.4" customHeight="1" x14ac:dyDescent="0.25">
      <c r="AF247" s="130"/>
    </row>
    <row r="248" spans="32:32" ht="14.4" customHeight="1" x14ac:dyDescent="0.25">
      <c r="AF248" s="130"/>
    </row>
    <row r="249" spans="32:32" ht="14.4" customHeight="1" x14ac:dyDescent="0.25">
      <c r="AF249" s="130"/>
    </row>
  </sheetData>
  <sheetProtection sheet="1" objects="1" scenarios="1"/>
  <mergeCells count="16">
    <mergeCell ref="A146:A170"/>
    <mergeCell ref="S1:W1"/>
    <mergeCell ref="AL11:AN11"/>
    <mergeCell ref="A1:H1"/>
    <mergeCell ref="X1:Z1"/>
    <mergeCell ref="A78:A145"/>
    <mergeCell ref="A59:A77"/>
    <mergeCell ref="A11:A58"/>
    <mergeCell ref="I7:I15"/>
    <mergeCell ref="I1:Q1"/>
    <mergeCell ref="I16:I33"/>
    <mergeCell ref="AE1:AG1"/>
    <mergeCell ref="AE26:AE35"/>
    <mergeCell ref="AE21:AE24"/>
    <mergeCell ref="AE2:AE18"/>
    <mergeCell ref="I34:I45"/>
  </mergeCells>
  <phoneticPr fontId="8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F115"/>
  <sheetViews>
    <sheetView workbookViewId="0">
      <selection activeCell="J8" sqref="J8"/>
    </sheetView>
  </sheetViews>
  <sheetFormatPr defaultColWidth="8.90625" defaultRowHeight="14.4" customHeight="1" x14ac:dyDescent="0.25"/>
  <cols>
    <col min="1" max="6" width="8.90625" style="349"/>
    <col min="7" max="7" width="8.90625" style="349" customWidth="1"/>
    <col min="8" max="9" width="8.90625" style="349"/>
    <col min="10" max="10" width="8.90625" style="180"/>
    <col min="11" max="15" width="8.90625" style="349"/>
    <col min="16" max="18" width="8.90625" style="180"/>
    <col min="19" max="16384" width="8.90625" style="349"/>
  </cols>
  <sheetData>
    <row r="1" spans="1:71" ht="14.4" customHeight="1" x14ac:dyDescent="0.25">
      <c r="A1" s="270" t="str">
        <f>IF(背景!E5="",0,背景!E5)</f>
        <v>园丁</v>
      </c>
      <c r="B1" s="373" t="s">
        <v>39</v>
      </c>
      <c r="C1" s="244" t="s">
        <v>54</v>
      </c>
      <c r="D1" s="373" t="s">
        <v>21</v>
      </c>
      <c r="E1" s="244" t="s">
        <v>4099</v>
      </c>
      <c r="F1" s="1047" t="s">
        <v>4</v>
      </c>
      <c r="G1" s="1049"/>
      <c r="H1" s="374" t="e">
        <f>VLOOKUP(A1,K:L,2,0)</f>
        <v>#N/A</v>
      </c>
      <c r="I1" s="277" t="s">
        <v>165</v>
      </c>
      <c r="J1" s="374" t="e">
        <f>VLOOKUP(A2,K:L,2,0)</f>
        <v>#N/A</v>
      </c>
      <c r="K1" s="337"/>
      <c r="L1" s="338"/>
      <c r="M1" s="277" t="s">
        <v>4100</v>
      </c>
      <c r="N1" s="277" t="s">
        <v>4101</v>
      </c>
      <c r="O1" s="277" t="s">
        <v>4102</v>
      </c>
      <c r="P1" s="375" t="s">
        <v>4103</v>
      </c>
      <c r="Q1" s="375" t="s">
        <v>4104</v>
      </c>
      <c r="R1" s="277" t="s">
        <v>4105</v>
      </c>
      <c r="S1" s="1049" t="s">
        <v>4106</v>
      </c>
      <c r="T1" s="1049"/>
      <c r="U1" s="1049"/>
      <c r="V1" s="1049"/>
      <c r="W1" s="1049"/>
      <c r="X1" s="1049"/>
      <c r="Y1" s="1049"/>
      <c r="Z1" s="1049"/>
      <c r="AA1" s="1049" t="s">
        <v>5</v>
      </c>
      <c r="AB1" s="1049"/>
      <c r="AC1" s="1049"/>
      <c r="AD1" s="1049"/>
      <c r="AE1" s="1049"/>
      <c r="AF1" s="1049"/>
      <c r="AG1" s="1049" t="s">
        <v>7</v>
      </c>
      <c r="AH1" s="1049"/>
      <c r="AI1" s="1049"/>
      <c r="AJ1" s="1049"/>
      <c r="AK1" s="1049"/>
      <c r="AL1" s="1049"/>
      <c r="AM1" s="1049" t="s">
        <v>9</v>
      </c>
      <c r="AN1" s="1049"/>
      <c r="AO1" s="1049"/>
      <c r="AP1" s="1049"/>
      <c r="AQ1" s="1049"/>
      <c r="AR1" s="1049"/>
      <c r="AS1" s="1049" t="s">
        <v>4107</v>
      </c>
      <c r="AT1" s="1049"/>
      <c r="AU1" s="1049"/>
      <c r="AV1" s="1049"/>
      <c r="AW1" s="1049"/>
      <c r="AX1" s="1049"/>
      <c r="AY1" s="277" t="s">
        <v>4108</v>
      </c>
      <c r="AZ1" s="1049" t="s">
        <v>4109</v>
      </c>
      <c r="BA1" s="1049"/>
      <c r="BB1" s="1049"/>
      <c r="BC1" s="1049"/>
      <c r="BD1" s="1049"/>
      <c r="BE1" s="1049"/>
      <c r="BF1" s="1049"/>
      <c r="BG1" s="1049"/>
      <c r="BH1" s="1049"/>
      <c r="BI1" s="1049"/>
      <c r="BJ1" s="1049"/>
      <c r="BK1" s="1049"/>
      <c r="BL1" s="1049"/>
      <c r="BM1" s="1049"/>
      <c r="BN1" s="1049"/>
      <c r="BO1" s="1049"/>
      <c r="BP1" s="1049"/>
      <c r="BQ1" s="1049"/>
      <c r="BR1" s="1049"/>
      <c r="BS1" s="1048"/>
    </row>
    <row r="2" spans="1:71" ht="14.4" customHeight="1" x14ac:dyDescent="0.25">
      <c r="A2" s="270" t="str">
        <f>IF(主要!R4="",0,主要!R4)</f>
        <v>秘学士</v>
      </c>
      <c r="B2" s="376" t="s">
        <v>4110</v>
      </c>
      <c r="C2" s="118" t="s">
        <v>4111</v>
      </c>
      <c r="D2" s="376" t="s">
        <v>4112</v>
      </c>
      <c r="E2" s="118" t="str">
        <f t="array" ref="E2">INDEX(K:K,SMALL(IF($K$2:$K$59&lt;&gt;"",ROW($2:$59),60),ROW(K1)))&amp;""</f>
        <v>侍僧</v>
      </c>
      <c r="F2" s="118" t="s">
        <v>237</v>
      </c>
      <c r="G2" s="119" t="str">
        <f>IFERROR(INDEX(M2:Q60,H1,1),"")</f>
        <v/>
      </c>
      <c r="H2" s="120"/>
      <c r="I2" s="1059" t="s">
        <v>4113</v>
      </c>
      <c r="J2" s="198" t="str">
        <f>IFERROR(INDEX($M$62:$R$74,$J$1,1),"")</f>
        <v/>
      </c>
      <c r="K2" s="377" t="s">
        <v>4114</v>
      </c>
      <c r="L2" s="119">
        <v>1</v>
      </c>
      <c r="M2" s="119" t="s">
        <v>4115</v>
      </c>
      <c r="N2" s="180"/>
      <c r="O2" s="119" t="s">
        <v>4116</v>
      </c>
      <c r="P2" s="283" t="s">
        <v>4117</v>
      </c>
      <c r="Q2" s="283" t="s">
        <v>4118</v>
      </c>
      <c r="R2" s="119"/>
      <c r="S2" s="378" t="s">
        <v>4119</v>
      </c>
      <c r="T2" s="378" t="s">
        <v>4120</v>
      </c>
      <c r="U2" s="378" t="s">
        <v>4121</v>
      </c>
      <c r="V2" s="378" t="s">
        <v>4122</v>
      </c>
      <c r="W2" s="378" t="s">
        <v>4123</v>
      </c>
      <c r="X2" s="378" t="s">
        <v>4124</v>
      </c>
      <c r="Y2" s="378" t="s">
        <v>4125</v>
      </c>
      <c r="Z2" s="378" t="s">
        <v>4126</v>
      </c>
      <c r="AA2" s="290" t="s">
        <v>4127</v>
      </c>
      <c r="AB2" s="290" t="s">
        <v>4128</v>
      </c>
      <c r="AC2" s="290" t="s">
        <v>4129</v>
      </c>
      <c r="AD2" s="290" t="s">
        <v>4130</v>
      </c>
      <c r="AE2" s="379" t="s">
        <v>4131</v>
      </c>
      <c r="AF2" s="290" t="s">
        <v>4132</v>
      </c>
      <c r="AG2" s="380" t="s">
        <v>4133</v>
      </c>
      <c r="AH2" s="380" t="s">
        <v>4134</v>
      </c>
      <c r="AI2" s="380" t="s">
        <v>4135</v>
      </c>
      <c r="AJ2" s="380" t="s">
        <v>4136</v>
      </c>
      <c r="AK2" s="380" t="s">
        <v>4137</v>
      </c>
      <c r="AL2" s="380" t="s">
        <v>4138</v>
      </c>
      <c r="AM2" s="381" t="s">
        <v>4139</v>
      </c>
      <c r="AN2" s="381" t="s">
        <v>4140</v>
      </c>
      <c r="AO2" s="381" t="s">
        <v>4141</v>
      </c>
      <c r="AP2" s="381" t="s">
        <v>4142</v>
      </c>
      <c r="AQ2" s="381" t="s">
        <v>4143</v>
      </c>
      <c r="AR2" s="381" t="s">
        <v>4144</v>
      </c>
      <c r="AS2" s="382" t="s">
        <v>4145</v>
      </c>
      <c r="AT2" s="382" t="s">
        <v>4146</v>
      </c>
      <c r="AU2" s="382" t="s">
        <v>4147</v>
      </c>
      <c r="AV2" s="382" t="s">
        <v>4148</v>
      </c>
      <c r="AW2" s="382" t="s">
        <v>4149</v>
      </c>
      <c r="AX2" s="382" t="s">
        <v>4150</v>
      </c>
      <c r="AY2" s="180"/>
      <c r="AZ2" s="285"/>
      <c r="BA2" s="285"/>
      <c r="BB2" s="285"/>
      <c r="BC2" s="285"/>
      <c r="BD2" s="285"/>
      <c r="BE2" s="285"/>
      <c r="BF2" s="285"/>
      <c r="BG2" s="285"/>
      <c r="BH2" s="285"/>
      <c r="BI2" s="285"/>
      <c r="BJ2" s="285"/>
      <c r="BK2" s="285"/>
      <c r="BL2" s="285"/>
      <c r="BM2" s="285"/>
      <c r="BN2" s="285"/>
      <c r="BO2" s="285"/>
      <c r="BP2" s="285"/>
      <c r="BQ2" s="285"/>
      <c r="BR2" s="285"/>
      <c r="BS2" s="383"/>
    </row>
    <row r="3" spans="1:71" ht="14.4" customHeight="1" x14ac:dyDescent="0.25">
      <c r="A3" s="132" t="s">
        <v>242</v>
      </c>
      <c r="B3" s="376" t="s">
        <v>4151</v>
      </c>
      <c r="C3" s="118" t="s">
        <v>4152</v>
      </c>
      <c r="D3" s="376" t="s">
        <v>4153</v>
      </c>
      <c r="E3" s="118" t="str">
        <f t="array" ref="E3">INDEX(K:K,SMALL(IF($K$2:$K$59&lt;&gt;"",ROW($2:$59),60),ROW(K2)))&amp;""</f>
        <v>骗子</v>
      </c>
      <c r="F3" s="118" t="s">
        <v>235</v>
      </c>
      <c r="G3" s="119" t="str">
        <f>IFERROR(IF(INDEX(M2:Q60,H1,2)=0,"",INDEX(M2:Q60,H1,2)),"")</f>
        <v/>
      </c>
      <c r="H3" s="120"/>
      <c r="I3" s="1059"/>
      <c r="J3" s="198" t="str">
        <f>IFERROR(INDEX($M$62:$R$74,$J$1,2),"")</f>
        <v/>
      </c>
      <c r="K3" s="377" t="s">
        <v>4154</v>
      </c>
      <c r="L3" s="119">
        <v>2</v>
      </c>
      <c r="M3" s="119" t="s">
        <v>4155</v>
      </c>
      <c r="N3" s="119" t="s">
        <v>4156</v>
      </c>
      <c r="O3" s="180"/>
      <c r="P3" s="283" t="s">
        <v>4157</v>
      </c>
      <c r="Q3" s="283" t="s">
        <v>4158</v>
      </c>
      <c r="R3" s="119"/>
      <c r="S3" s="378" t="s">
        <v>4159</v>
      </c>
      <c r="T3" s="378" t="s">
        <v>4160</v>
      </c>
      <c r="U3" s="378" t="s">
        <v>4161</v>
      </c>
      <c r="V3" s="378" t="s">
        <v>4162</v>
      </c>
      <c r="W3" s="378" t="s">
        <v>4163</v>
      </c>
      <c r="X3" s="378" t="s">
        <v>4164</v>
      </c>
      <c r="Y3" s="378" t="s">
        <v>4165</v>
      </c>
      <c r="Z3" s="378" t="s">
        <v>4166</v>
      </c>
      <c r="AA3" s="290" t="s">
        <v>4167</v>
      </c>
      <c r="AB3" s="290" t="s">
        <v>4168</v>
      </c>
      <c r="AC3" s="290" t="s">
        <v>4169</v>
      </c>
      <c r="AD3" s="290" t="s">
        <v>4170</v>
      </c>
      <c r="AE3" s="379" t="s">
        <v>4171</v>
      </c>
      <c r="AF3" s="290" t="s">
        <v>4172</v>
      </c>
      <c r="AG3" s="380" t="s">
        <v>4173</v>
      </c>
      <c r="AH3" s="380" t="s">
        <v>4174</v>
      </c>
      <c r="AI3" s="380" t="s">
        <v>4175</v>
      </c>
      <c r="AJ3" s="380" t="s">
        <v>4176</v>
      </c>
      <c r="AK3" s="380" t="s">
        <v>4177</v>
      </c>
      <c r="AL3" s="380" t="s">
        <v>4178</v>
      </c>
      <c r="AM3" s="381" t="s">
        <v>4179</v>
      </c>
      <c r="AN3" s="381" t="s">
        <v>4180</v>
      </c>
      <c r="AO3" s="381" t="s">
        <v>4181</v>
      </c>
      <c r="AP3" s="381" t="s">
        <v>4182</v>
      </c>
      <c r="AQ3" s="381" t="s">
        <v>4183</v>
      </c>
      <c r="AR3" s="381" t="s">
        <v>4184</v>
      </c>
      <c r="AS3" s="382" t="s">
        <v>4185</v>
      </c>
      <c r="AT3" s="382" t="s">
        <v>4186</v>
      </c>
      <c r="AU3" s="382" t="s">
        <v>4187</v>
      </c>
      <c r="AV3" s="382" t="s">
        <v>4188</v>
      </c>
      <c r="AW3" s="382" t="s">
        <v>4189</v>
      </c>
      <c r="AX3" s="382" t="s">
        <v>4190</v>
      </c>
      <c r="AY3" s="119" t="s">
        <v>4191</v>
      </c>
      <c r="AZ3" s="285" t="s">
        <v>4192</v>
      </c>
      <c r="BA3" s="285" t="s">
        <v>4193</v>
      </c>
      <c r="BB3" s="285" t="s">
        <v>4194</v>
      </c>
      <c r="BC3" s="285" t="s">
        <v>4195</v>
      </c>
      <c r="BD3" s="285" t="s">
        <v>4196</v>
      </c>
      <c r="BE3" s="285" t="s">
        <v>4197</v>
      </c>
      <c r="BF3" s="285"/>
      <c r="BG3" s="285"/>
      <c r="BH3" s="285"/>
      <c r="BI3" s="285"/>
      <c r="BJ3" s="285"/>
      <c r="BK3" s="285"/>
      <c r="BL3" s="285"/>
      <c r="BM3" s="285"/>
      <c r="BN3" s="285"/>
      <c r="BO3" s="285"/>
      <c r="BP3" s="285"/>
      <c r="BQ3" s="285"/>
      <c r="BR3" s="285"/>
      <c r="BS3" s="383"/>
    </row>
    <row r="4" spans="1:71" ht="14.4" customHeight="1" x14ac:dyDescent="0.25">
      <c r="A4" s="194" t="s">
        <v>245</v>
      </c>
      <c r="B4" s="384" t="s">
        <v>15</v>
      </c>
      <c r="C4" s="118" t="s">
        <v>4198</v>
      </c>
      <c r="D4" s="376" t="s">
        <v>4199</v>
      </c>
      <c r="E4" s="118" t="str">
        <f t="array" ref="E4">INDEX(K:K,SMALL(IF($K$2:$K$59&lt;&gt;"",ROW($2:$59),60),ROW(K3)))&amp;""</f>
        <v>罪犯</v>
      </c>
      <c r="F4" s="118" t="s">
        <v>4102</v>
      </c>
      <c r="G4" s="119" t="str">
        <f>IFERROR(IF(INDEX(M2:Q60,H1,3)=0,"",INDEX(M2:Q60,H1,3)),"")</f>
        <v/>
      </c>
      <c r="H4" s="120"/>
      <c r="I4" s="1059"/>
      <c r="J4" s="198" t="str">
        <f>IFERROR(INDEX($M$62:$R$74,$J$1,3),"")</f>
        <v/>
      </c>
      <c r="K4" s="377" t="s">
        <v>4200</v>
      </c>
      <c r="L4" s="119">
        <v>3</v>
      </c>
      <c r="M4" s="119" t="s">
        <v>4201</v>
      </c>
      <c r="N4" s="119" t="s">
        <v>4202</v>
      </c>
      <c r="O4" s="180"/>
      <c r="P4" s="283" t="s">
        <v>4203</v>
      </c>
      <c r="Q4" s="283" t="s">
        <v>4204</v>
      </c>
      <c r="R4" s="119"/>
      <c r="S4" s="378" t="s">
        <v>4205</v>
      </c>
      <c r="T4" s="378" t="s">
        <v>4206</v>
      </c>
      <c r="U4" s="378" t="s">
        <v>4207</v>
      </c>
      <c r="V4" s="378" t="s">
        <v>4208</v>
      </c>
      <c r="W4" s="378" t="s">
        <v>4209</v>
      </c>
      <c r="X4" s="378" t="s">
        <v>4210</v>
      </c>
      <c r="Y4" s="378" t="s">
        <v>4211</v>
      </c>
      <c r="Z4" s="378" t="s">
        <v>4212</v>
      </c>
      <c r="AA4" s="290" t="s">
        <v>4213</v>
      </c>
      <c r="AB4" s="290" t="s">
        <v>4214</v>
      </c>
      <c r="AC4" s="290" t="s">
        <v>4215</v>
      </c>
      <c r="AD4" s="290" t="s">
        <v>4216</v>
      </c>
      <c r="AE4" s="379" t="s">
        <v>4217</v>
      </c>
      <c r="AF4" s="290" t="s">
        <v>4218</v>
      </c>
      <c r="AG4" s="380" t="s">
        <v>4219</v>
      </c>
      <c r="AH4" s="380" t="s">
        <v>4220</v>
      </c>
      <c r="AI4" s="380" t="s">
        <v>4221</v>
      </c>
      <c r="AJ4" s="380" t="s">
        <v>4222</v>
      </c>
      <c r="AK4" s="380" t="s">
        <v>4223</v>
      </c>
      <c r="AL4" s="380" t="s">
        <v>4224</v>
      </c>
      <c r="AM4" s="381" t="s">
        <v>4225</v>
      </c>
      <c r="AN4" s="381" t="s">
        <v>4226</v>
      </c>
      <c r="AO4" s="381" t="s">
        <v>4227</v>
      </c>
      <c r="AP4" s="381" t="s">
        <v>4228</v>
      </c>
      <c r="AQ4" s="381" t="s">
        <v>4229</v>
      </c>
      <c r="AR4" s="381" t="s">
        <v>4230</v>
      </c>
      <c r="AS4" s="382" t="s">
        <v>4231</v>
      </c>
      <c r="AT4" s="382" t="s">
        <v>4232</v>
      </c>
      <c r="AU4" s="382" t="s">
        <v>4233</v>
      </c>
      <c r="AV4" s="382" t="s">
        <v>4234</v>
      </c>
      <c r="AW4" s="382" t="s">
        <v>4235</v>
      </c>
      <c r="AX4" s="382" t="s">
        <v>4236</v>
      </c>
      <c r="AY4" s="119" t="s">
        <v>4237</v>
      </c>
      <c r="AZ4" s="283" t="s">
        <v>4238</v>
      </c>
      <c r="BA4" s="283" t="s">
        <v>4239</v>
      </c>
      <c r="BB4" s="283" t="s">
        <v>4240</v>
      </c>
      <c r="BC4" s="283" t="s">
        <v>4241</v>
      </c>
      <c r="BD4" s="283" t="s">
        <v>4242</v>
      </c>
      <c r="BE4" s="283" t="s">
        <v>4243</v>
      </c>
      <c r="BF4" s="283" t="s">
        <v>4244</v>
      </c>
      <c r="BG4" s="283" t="s">
        <v>4245</v>
      </c>
      <c r="BH4" s="285"/>
      <c r="BI4" s="285"/>
      <c r="BJ4" s="285"/>
      <c r="BK4" s="285"/>
      <c r="BL4" s="285"/>
      <c r="BM4" s="285"/>
      <c r="BN4" s="285"/>
      <c r="BO4" s="285"/>
      <c r="BP4" s="285"/>
      <c r="BQ4" s="285"/>
      <c r="BR4" s="285"/>
      <c r="BS4" s="383"/>
    </row>
    <row r="5" spans="1:71" ht="14.4" customHeight="1" x14ac:dyDescent="0.25">
      <c r="A5" s="385" t="s">
        <v>249</v>
      </c>
      <c r="C5" s="118" t="s">
        <v>4246</v>
      </c>
      <c r="D5" s="376" t="s">
        <v>4247</v>
      </c>
      <c r="E5" s="118" t="str">
        <f t="array" ref="E5">INDEX(K:K,SMALL(IF($K$2:$K$59&lt;&gt;"",ROW($2:$59),60),ROW(K4)))&amp;""</f>
        <v>密探</v>
      </c>
      <c r="F5" s="118" t="str">
        <f>IFERROR(INDEX(M2:Q51,H1,4),"")</f>
        <v/>
      </c>
      <c r="G5" s="349" t="str">
        <f>IFERROR(INDEX(M2:Q60,H1,5),"")</f>
        <v/>
      </c>
      <c r="H5" s="352"/>
      <c r="I5" s="1059"/>
      <c r="J5" s="198" t="str">
        <f>IFERROR(INDEX($M$62:$R$74,$J$1,4),"")</f>
        <v/>
      </c>
      <c r="K5" s="377" t="s">
        <v>4248</v>
      </c>
      <c r="L5" s="119">
        <v>4</v>
      </c>
      <c r="M5" s="119" t="str">
        <f>M4</f>
        <v>欺瞒、隐匿</v>
      </c>
      <c r="N5" s="119" t="str">
        <f>N4</f>
        <v>一种赌具、盗贼工具</v>
      </c>
      <c r="O5" s="119"/>
      <c r="P5" s="283" t="str">
        <f>P4</f>
        <v>罪犯接头人</v>
      </c>
      <c r="Q5" s="283" t="str">
        <f>Q4</f>
        <v>你有一个可靠可信的接头人，来帮你组织进罪犯们组成的联系网中。即使遥隔千里你也知道如何从接头人处收发信息。此外，你还知道哪些人能为你捎信，他们可能是本地的信使，可贿赂的商队主管，或是衣衫褴褛的水手。</v>
      </c>
      <c r="R5" s="119"/>
      <c r="S5" s="378" t="str">
        <f t="shared" ref="S5:AX5" si="0">S4</f>
        <v>我总是计划好事情变糟时的应对方法。</v>
      </c>
      <c r="T5" s="378" t="str">
        <f t="shared" si="0"/>
        <v>无论情形如何我总能保持冷静。我从不会忽然提高音调或是让情绪影响自己。</v>
      </c>
      <c r="U5" s="378" t="str">
        <f t="shared" si="0"/>
        <v>我每到一个新地方做的第一件事就是记下每个有价值之物的位置——或是可能藏有类似东西的地点。</v>
      </c>
      <c r="V5" s="378" t="str">
        <f t="shared" si="0"/>
        <v>比起制造一个新敌人，我宁可交一个新朋友。</v>
      </c>
      <c r="W5" s="378" t="str">
        <f t="shared" si="0"/>
        <v>我极端的不易信任他人。表面上看上去越公正的人通常都藏着越多见不得光的事。</v>
      </c>
      <c r="X5" s="378" t="str">
        <f t="shared" si="0"/>
        <v>我不会考虑某个情形中的风险。永远别跟我谈几率。</v>
      </c>
      <c r="Y5" s="378" t="str">
        <f t="shared" si="0"/>
        <v>令我做某件事的最好手段就是跟我说不能那样做。</v>
      </c>
      <c r="Z5" s="378" t="str">
        <f t="shared" si="0"/>
        <v>最轻微的侮辱也能把我气炸了。</v>
      </c>
      <c r="AA5" s="290" t="str">
        <f t="shared" si="0"/>
        <v>荣誉：我不会偷行家的东西。</v>
      </c>
      <c r="AB5" s="290" t="str">
        <f t="shared" si="0"/>
        <v>自由：枷锁的存在以及即是被打破，而那些铸造枷锁的人也该受同样对待。</v>
      </c>
      <c r="AC5" s="290" t="str">
        <f t="shared" si="0"/>
        <v>仁爱：我从富人处窃取财富然后帮助有需要的人。</v>
      </c>
      <c r="AD5" s="290" t="str">
        <f t="shared" si="0"/>
        <v>贪婪：为了致富我愿意做任何事。</v>
      </c>
      <c r="AE5" s="379" t="str">
        <f t="shared" si="0"/>
        <v>人民：我忠于我的朋友而非任何理想，此外的其他人就算下到冥河里也与我无关。</v>
      </c>
      <c r="AF5" s="290" t="str">
        <f t="shared" si="0"/>
        <v>救赎：人人心中有善念。</v>
      </c>
      <c r="AG5" s="380" t="str">
        <f t="shared" si="0"/>
        <v>我试图偿还一个慷慨的资助者的老债务。</v>
      </c>
      <c r="AH5" s="380" t="str">
        <f t="shared" si="0"/>
        <v>我的非法所得是为了支持我的家庭。</v>
      </c>
      <c r="AI5" s="380" t="str">
        <f t="shared" si="0"/>
        <v>我有一件重要的东西被夺走了，并且我想要把它偷回来。</v>
      </c>
      <c r="AJ5" s="380" t="str">
        <f t="shared" si="0"/>
        <v>我会成为有史以来最伟大的盗贼。</v>
      </c>
      <c r="AK5" s="380" t="str">
        <f t="shared" si="0"/>
        <v>我因一桩严重罪行而内疚。并希望从中寻求自我救赎。</v>
      </c>
      <c r="AL5" s="380" t="str">
        <f t="shared" si="0"/>
        <v>我深爱的某人因我犯下的错误而死。而我决不会让这种事情再发生了。</v>
      </c>
      <c r="AM5" s="381" t="str">
        <f t="shared" si="0"/>
        <v>当我看到一些有价值的东西时，就会一心只想如何偷到它。</v>
      </c>
      <c r="AN5" s="381" t="str">
        <f t="shared" si="0"/>
        <v>在面对金钱与朋友间的抉择时，我通常都选择金钱。</v>
      </c>
      <c r="AO5" s="381" t="str">
        <f t="shared" si="0"/>
        <v>每当要记住某个计划时，我总会忘掉。就是无法忘掉，我也会选择性无视它。</v>
      </c>
      <c r="AP5" s="381" t="str">
        <f t="shared" si="0"/>
        <v>我撒谎时会故意作出某些习惯动作。</v>
      </c>
      <c r="AQ5" s="381" t="str">
        <f t="shared" si="0"/>
        <v>当事情看起来似乎开始糟糕时，我会转身掉头就跑。</v>
      </c>
      <c r="AR5" s="381" t="str">
        <f t="shared" si="0"/>
        <v>一名无辜者因我犯下的某桩罪行而进了监狱。这事我觉得挺好</v>
      </c>
      <c r="AS5" s="382" t="str">
        <f t="shared" si="0"/>
        <v>我早年痛恨当局权威，并且认为当一个罪犯是对抗暴政和压迫的最好方式。</v>
      </c>
      <c r="AT5" s="382" t="str">
        <f t="shared" si="0"/>
        <v>我被迫走上犯罪的道路，这是我唯一能活下来的方法。</v>
      </c>
      <c r="AU5" s="382" t="str">
        <f t="shared" si="0"/>
        <v>我和一群无赖与废柴们混在一起，从他们那儿学到了我的罪犯专业。</v>
      </c>
      <c r="AV5" s="382" t="str">
        <f t="shared" si="0"/>
        <v>父亲/母亲或者某位亲戚教会了我这项罪犯专业，好让我加入家族的生意。</v>
      </c>
      <c r="AW5" s="382" t="str">
        <f t="shared" si="0"/>
        <v>我离开了家，在盗贼行会或者其他犯罪组织里找到了一席之地。</v>
      </c>
      <c r="AX5" s="382" t="str">
        <f t="shared" si="0"/>
        <v>我总是觉得无聊，所以转向犯罪来打发时间，并且发现我挺擅长干这个。</v>
      </c>
      <c r="AY5" s="119" t="s">
        <v>4249</v>
      </c>
      <c r="AZ5" s="283" t="s">
        <v>4250</v>
      </c>
      <c r="BA5" s="283" t="s">
        <v>4251</v>
      </c>
      <c r="BB5" s="283"/>
      <c r="BC5" s="283"/>
      <c r="BD5" s="283"/>
      <c r="BE5" s="283"/>
      <c r="BF5" s="283"/>
      <c r="BG5" s="283"/>
      <c r="BH5" s="285"/>
      <c r="BI5" s="285"/>
      <c r="BJ5" s="285"/>
      <c r="BK5" s="285"/>
      <c r="BL5" s="285"/>
      <c r="BM5" s="285"/>
      <c r="BN5" s="285"/>
      <c r="BO5" s="285"/>
      <c r="BP5" s="285"/>
      <c r="BQ5" s="285"/>
      <c r="BR5" s="285"/>
      <c r="BS5" s="383"/>
    </row>
    <row r="6" spans="1:71" ht="14.4" customHeight="1" x14ac:dyDescent="0.25">
      <c r="A6" s="386" t="s">
        <v>250</v>
      </c>
      <c r="C6" s="118" t="s">
        <v>4252</v>
      </c>
      <c r="D6" s="376" t="s">
        <v>4253</v>
      </c>
      <c r="E6" s="118" t="str">
        <f t="array" ref="E6">INDEX(K:K,SMALL(IF($K$2:$K$59&lt;&gt;"",ROW($2:$59),60),ROW(K5)))&amp;""</f>
        <v>艺人</v>
      </c>
      <c r="F6" s="387" t="str">
        <f>IF(综合数据!B15=TRUE,"继承人","")</f>
        <v>继承人</v>
      </c>
      <c r="G6" s="388" t="s">
        <v>4254</v>
      </c>
      <c r="H6" s="389"/>
      <c r="I6" s="1059"/>
      <c r="J6" s="198" t="str">
        <f>IFERROR(INDEX($M$62:$R$74,$J$1,5),"")</f>
        <v/>
      </c>
      <c r="K6" s="377" t="s">
        <v>4255</v>
      </c>
      <c r="L6" s="119">
        <v>5</v>
      </c>
      <c r="M6" s="119" t="s">
        <v>4256</v>
      </c>
      <c r="N6" s="119" t="s">
        <v>4257</v>
      </c>
      <c r="O6" s="180"/>
      <c r="P6" s="283" t="s">
        <v>4258</v>
      </c>
      <c r="Q6" s="283" t="s">
        <v>4259</v>
      </c>
      <c r="R6" s="119"/>
      <c r="S6" s="378" t="s">
        <v>4260</v>
      </c>
      <c r="T6" s="378" t="s">
        <v>4261</v>
      </c>
      <c r="U6" s="378" t="s">
        <v>4262</v>
      </c>
      <c r="V6" s="378" t="s">
        <v>4263</v>
      </c>
      <c r="W6" s="378" t="s">
        <v>4264</v>
      </c>
      <c r="X6" s="378" t="s">
        <v>4265</v>
      </c>
      <c r="Y6" s="378" t="s">
        <v>4266</v>
      </c>
      <c r="Z6" s="378" t="s">
        <v>4267</v>
      </c>
      <c r="AA6" s="290" t="s">
        <v>4268</v>
      </c>
      <c r="AB6" s="290" t="s">
        <v>4269</v>
      </c>
      <c r="AC6" s="290" t="s">
        <v>4270</v>
      </c>
      <c r="AD6" s="290" t="s">
        <v>4271</v>
      </c>
      <c r="AE6" s="379" t="s">
        <v>4272</v>
      </c>
      <c r="AF6" s="290" t="s">
        <v>4273</v>
      </c>
      <c r="AG6" s="380" t="s">
        <v>4274</v>
      </c>
      <c r="AH6" s="380" t="s">
        <v>4275</v>
      </c>
      <c r="AI6" s="380" t="s">
        <v>4276</v>
      </c>
      <c r="AJ6" s="380" t="s">
        <v>4277</v>
      </c>
      <c r="AK6" s="380" t="s">
        <v>4278</v>
      </c>
      <c r="AL6" s="380" t="s">
        <v>4279</v>
      </c>
      <c r="AM6" s="381" t="s">
        <v>4280</v>
      </c>
      <c r="AN6" s="381" t="s">
        <v>4281</v>
      </c>
      <c r="AO6" s="381" t="s">
        <v>4282</v>
      </c>
      <c r="AP6" s="381" t="s">
        <v>4283</v>
      </c>
      <c r="AQ6" s="381" t="s">
        <v>4284</v>
      </c>
      <c r="AR6" s="381" t="s">
        <v>4285</v>
      </c>
      <c r="AS6" s="382" t="s">
        <v>4286</v>
      </c>
      <c r="AT6" s="382" t="s">
        <v>4287</v>
      </c>
      <c r="AU6" s="382" t="s">
        <v>4288</v>
      </c>
      <c r="AV6" s="382" t="s">
        <v>4289</v>
      </c>
      <c r="AW6" s="382" t="s">
        <v>4290</v>
      </c>
      <c r="AX6" s="382" t="s">
        <v>4291</v>
      </c>
      <c r="AY6" s="119" t="s">
        <v>4292</v>
      </c>
      <c r="AZ6" s="283" t="s">
        <v>4293</v>
      </c>
      <c r="BA6" s="283" t="s">
        <v>4294</v>
      </c>
      <c r="BB6" s="283" t="s">
        <v>4295</v>
      </c>
      <c r="BC6" s="283" t="s">
        <v>4296</v>
      </c>
      <c r="BD6" s="283" t="s">
        <v>4297</v>
      </c>
      <c r="BE6" s="283" t="s">
        <v>4298</v>
      </c>
      <c r="BF6" s="283" t="s">
        <v>4299</v>
      </c>
      <c r="BG6" s="283" t="s">
        <v>4300</v>
      </c>
      <c r="BH6" s="283" t="s">
        <v>4301</v>
      </c>
      <c r="BI6" s="283" t="s">
        <v>4302</v>
      </c>
      <c r="BJ6" s="285"/>
      <c r="BK6" s="285"/>
      <c r="BL6" s="285"/>
      <c r="BM6" s="285"/>
      <c r="BN6" s="285"/>
      <c r="BO6" s="285"/>
      <c r="BP6" s="285"/>
      <c r="BQ6" s="285"/>
      <c r="BR6" s="285"/>
      <c r="BS6" s="383"/>
    </row>
    <row r="7" spans="1:71" ht="14.4" customHeight="1" x14ac:dyDescent="0.25">
      <c r="A7" s="390" t="s">
        <v>342</v>
      </c>
      <c r="C7" s="118" t="s">
        <v>4303</v>
      </c>
      <c r="D7" s="376" t="s">
        <v>4304</v>
      </c>
      <c r="E7" s="118" t="str">
        <f t="array" ref="E7">INDEX(K:K,SMALL(IF($K$2:$K$59&lt;&gt;"",ROW($2:$59),60),ROW(K6)))&amp;""</f>
        <v>角斗士</v>
      </c>
      <c r="F7" s="387" t="str">
        <f>IF(综合数据!B15=TRUE,"迷雾漫游者","")</f>
        <v>迷雾漫游者</v>
      </c>
      <c r="G7" s="388" t="s">
        <v>4305</v>
      </c>
      <c r="H7" s="389"/>
      <c r="I7" s="1059"/>
      <c r="J7" s="198" t="str">
        <f>IFERROR(INDEX($M$62:$R$74,$J$1,6),"")</f>
        <v/>
      </c>
      <c r="K7" s="377" t="s">
        <v>4306</v>
      </c>
      <c r="L7" s="119">
        <v>6</v>
      </c>
      <c r="M7" s="119" t="str">
        <f>M6</f>
        <v>体操、表演</v>
      </c>
      <c r="N7" s="119" t="s">
        <v>4307</v>
      </c>
      <c r="O7" s="119"/>
      <c r="P7" s="283" t="str">
        <f>P6</f>
        <v>人见人爱</v>
      </c>
      <c r="Q7" s="283" t="str">
        <f>Q6</f>
        <v>你总是能找到表演场地，通常是某个斗剑场，或是黑拳俱乐部，偶尔也会是马戏团、剧院，甚至是贵族厅堂。只要你每晚维持出演，就可以在表演地获得简朴或舒适水平的免费食宿（取决于表演的规模）。此外，表演生涯使你在当地获得一定名气。当你在演出的城镇被陌生人认出时，通常都会受到善待。</v>
      </c>
      <c r="R7" s="119"/>
      <c r="S7" s="378" t="str">
        <f t="shared" ref="S7:AX7" si="1">S6</f>
        <v>我知道一个几乎适合所有情况的故事。</v>
      </c>
      <c r="T7" s="378" t="str">
        <f t="shared" si="1"/>
        <v>我到一个新地方后就会着手收集当地的流言和小道消息。</v>
      </c>
      <c r="U7" s="378" t="str">
        <f t="shared" si="1"/>
        <v>我是无可救药的浪漫病，总是在找“有缘人”。</v>
      </c>
      <c r="V7" s="378" t="str">
        <f t="shared" si="1"/>
        <v>我周围的人都不会生气太久，因为我总能缓和紧张的气氛。</v>
      </c>
      <c r="W7" s="378" t="str">
        <f t="shared" si="1"/>
        <v>我喜欢精妙的讽刺，即使那是对我的讽刺也一样。</v>
      </c>
      <c r="X7" s="378" t="str">
        <f t="shared" si="1"/>
        <v>我一旦不能成为众人焦点就会很难受。</v>
      </c>
      <c r="Y7" s="378" t="str">
        <f t="shared" si="1"/>
        <v>我是完美主义者。</v>
      </c>
      <c r="Z7" s="378" t="str">
        <f t="shared" si="1"/>
        <v>我的情绪和思想变得和弹琴轮指一样快。</v>
      </c>
      <c r="AA7" s="290" t="str">
        <f t="shared" si="1"/>
        <v>美好：我表演时的世界会显得更美好。</v>
      </c>
      <c r="AB7" s="290" t="str">
        <f t="shared" si="1"/>
        <v>传统：过去的故事、史诗以及歌谣塑造了我们，因而他们不该被遗忘。</v>
      </c>
      <c r="AC7" s="290" t="str">
        <f t="shared" si="1"/>
        <v>创新：世界需要崭新的创意和大胆的行动。</v>
      </c>
      <c r="AD7" s="290" t="str">
        <f t="shared" si="1"/>
        <v>贪婪：我只是为名为利罢了。</v>
      </c>
      <c r="AE7" s="379" t="str">
        <f t="shared" si="1"/>
        <v>人民：我喜欢表演时人们脸上的笑容。那就是我想要的。</v>
      </c>
      <c r="AF7" s="290" t="str">
        <f t="shared" si="1"/>
        <v>正直：艺术展现灵魂。它应当发自内心，揭露本我。</v>
      </c>
      <c r="AG7" s="380" t="str">
        <f t="shared" si="1"/>
        <v>我的乐器是我最宝贵的财富，它纪念着某个我所爱之人。</v>
      </c>
      <c r="AH7" s="380" t="str">
        <f t="shared" si="1"/>
        <v>有人偷走了我珍爱的乐器，而我一定要夺回来。</v>
      </c>
      <c r="AI7" s="380" t="str">
        <f t="shared" si="1"/>
        <v>我要不惜一切代价让自己出名。</v>
      </c>
      <c r="AJ7" s="380" t="str">
        <f t="shared" si="1"/>
        <v>我崇拜古老传奇中的某位英雄，并时时以他作榜样。</v>
      </c>
      <c r="AK7" s="380" t="str">
        <f t="shared" si="1"/>
        <v>只要能证明我比那个可恨的对手强，我愿意做任何事情。</v>
      </c>
      <c r="AL7" s="380" t="str">
        <f t="shared" si="1"/>
        <v>我可以为老剧团的同伴做任何事。</v>
      </c>
      <c r="AM7" s="381" t="str">
        <f t="shared" si="1"/>
        <v>我会不择手段的去获取声誉和名望。</v>
      </c>
      <c r="AN7" s="381" t="str">
        <f t="shared" si="1"/>
        <v>我对漂亮脸蛋非常着迷。</v>
      </c>
      <c r="AO7" s="381" t="str">
        <f t="shared" si="1"/>
        <v>某个丑闻让我背井离乡。而这麻烦依然如影随形。</v>
      </c>
      <c r="AP7" s="381" t="str">
        <f t="shared" si="1"/>
        <v>我曾经讽刺过一个贵族，现在他仍然想要我的脑袋。而这错误我可能还会再犯。</v>
      </c>
      <c r="AQ7" s="381" t="str">
        <f t="shared" si="1"/>
        <v>我总是忍不住道出自己的真实感受。而我的刻薄言辞也经常带给我麻烦。</v>
      </c>
      <c r="AR7" s="381" t="str">
        <f t="shared" si="1"/>
        <v>就算我尽了全力，我的朋友们还是认为我靠不住。</v>
      </c>
      <c r="AS7" s="382" t="str">
        <f t="shared" si="1"/>
        <v>我的家族就靠表演这一行糊口，我顺理成章地选择了相同的行当。</v>
      </c>
      <c r="AT7" s="382" t="str">
        <f t="shared" si="1"/>
        <v>我总是能敏锐地洞悉他人，所以可以用歌曲或故事让他们或大笑或者痛哭。</v>
      </c>
      <c r="AU7" s="382" t="str">
        <f t="shared" si="1"/>
        <v>我离家出走追随一个艺人剧团。</v>
      </c>
      <c r="AV7" s="382" t="str">
        <f t="shared" si="1"/>
        <v>我曾经看过一次吟游诗人演出，在那一刹那我就明白，我生来就是做这个的。</v>
      </c>
      <c r="AW7" s="382" t="str">
        <f t="shared" si="1"/>
        <v>我在街角演出赚取硬币，最终打拼出了自己的名声。</v>
      </c>
      <c r="AX7" s="382" t="str">
        <f t="shared" si="1"/>
        <v>一位旅行艺人收留了我，教会了我这门营生。</v>
      </c>
      <c r="AY7" s="119"/>
      <c r="AZ7" s="283"/>
      <c r="BA7" s="283"/>
      <c r="BB7" s="283"/>
      <c r="BC7" s="283"/>
      <c r="BD7" s="283"/>
      <c r="BE7" s="283"/>
      <c r="BF7" s="283"/>
      <c r="BG7" s="283"/>
      <c r="BH7" s="283"/>
      <c r="BI7" s="283"/>
      <c r="BJ7" s="285"/>
      <c r="BK7" s="285"/>
      <c r="BL7" s="285"/>
      <c r="BM7" s="285"/>
      <c r="BN7" s="285"/>
      <c r="BO7" s="285"/>
      <c r="BP7" s="285"/>
      <c r="BQ7" s="285"/>
      <c r="BR7" s="285"/>
      <c r="BS7" s="383"/>
    </row>
    <row r="8" spans="1:71" ht="14.4" customHeight="1" x14ac:dyDescent="0.25">
      <c r="A8" s="391" t="s">
        <v>431</v>
      </c>
      <c r="C8" s="118" t="s">
        <v>4308</v>
      </c>
      <c r="D8" s="376" t="s">
        <v>4309</v>
      </c>
      <c r="E8" s="118" t="str">
        <f t="array" ref="E8">INDEX(K:K,SMALL(IF($K$2:$K$59&lt;&gt;"",ROW($2:$59),60),ROW(K7)))&amp;""</f>
        <v>平民英雄</v>
      </c>
      <c r="F8" s="387" t="str">
        <f>IF(综合数据!B15=TRUE,"灵媒","")</f>
        <v>灵媒</v>
      </c>
      <c r="G8" s="388" t="s">
        <v>4310</v>
      </c>
      <c r="H8" s="389"/>
      <c r="I8" s="1057">
        <f>IFERROR(INDEX(S62:S74,J1,1),0)</f>
        <v>0</v>
      </c>
      <c r="J8" s="198" t="str">
        <f>IFERROR(INDEX($T$62:$Y$74,$J$1,1),"")</f>
        <v/>
      </c>
      <c r="K8" s="377" t="s">
        <v>4311</v>
      </c>
      <c r="L8" s="119">
        <v>7</v>
      </c>
      <c r="M8" s="119" t="s">
        <v>4312</v>
      </c>
      <c r="N8" s="119" t="s">
        <v>4313</v>
      </c>
      <c r="O8" s="180"/>
      <c r="P8" s="283" t="s">
        <v>4314</v>
      </c>
      <c r="Q8" s="283" t="s">
        <v>4315</v>
      </c>
      <c r="R8" s="119"/>
      <c r="S8" s="378" t="s">
        <v>4316</v>
      </c>
      <c r="T8" s="378" t="s">
        <v>4317</v>
      </c>
      <c r="U8" s="378" t="s">
        <v>4318</v>
      </c>
      <c r="V8" s="378" t="s">
        <v>4319</v>
      </c>
      <c r="W8" s="378" t="s">
        <v>4320</v>
      </c>
      <c r="X8" s="378" t="s">
        <v>4321</v>
      </c>
      <c r="Y8" s="378" t="s">
        <v>4322</v>
      </c>
      <c r="Z8" s="378" t="s">
        <v>4323</v>
      </c>
      <c r="AA8" s="290" t="s">
        <v>4324</v>
      </c>
      <c r="AB8" s="290" t="s">
        <v>4325</v>
      </c>
      <c r="AC8" s="290" t="s">
        <v>4326</v>
      </c>
      <c r="AD8" s="290" t="s">
        <v>4327</v>
      </c>
      <c r="AE8" s="379" t="s">
        <v>4328</v>
      </c>
      <c r="AF8" s="290" t="s">
        <v>4329</v>
      </c>
      <c r="AG8" s="380" t="s">
        <v>4330</v>
      </c>
      <c r="AH8" s="380" t="s">
        <v>4331</v>
      </c>
      <c r="AI8" s="380" t="s">
        <v>4332</v>
      </c>
      <c r="AJ8" s="380" t="s">
        <v>4333</v>
      </c>
      <c r="AK8" s="380" t="s">
        <v>4334</v>
      </c>
      <c r="AL8" s="380" t="s">
        <v>4335</v>
      </c>
      <c r="AM8" s="381" t="s">
        <v>4336</v>
      </c>
      <c r="AN8" s="381" t="s">
        <v>4337</v>
      </c>
      <c r="AO8" s="381" t="s">
        <v>4338</v>
      </c>
      <c r="AP8" s="381" t="s">
        <v>4339</v>
      </c>
      <c r="AQ8" s="381" t="s">
        <v>4340</v>
      </c>
      <c r="AR8" s="381" t="s">
        <v>4341</v>
      </c>
      <c r="AS8" s="382" t="s">
        <v>4342</v>
      </c>
      <c r="AT8" s="382" t="s">
        <v>4343</v>
      </c>
      <c r="AU8" s="382" t="s">
        <v>4344</v>
      </c>
      <c r="AV8" s="382" t="s">
        <v>4345</v>
      </c>
      <c r="AW8" s="382" t="s">
        <v>4346</v>
      </c>
      <c r="AX8" s="382" t="s">
        <v>4347</v>
      </c>
      <c r="AY8" s="119" t="s">
        <v>4348</v>
      </c>
      <c r="AZ8" s="285" t="s">
        <v>4349</v>
      </c>
      <c r="BA8" s="285" t="s">
        <v>4350</v>
      </c>
      <c r="BB8" s="285" t="s">
        <v>4351</v>
      </c>
      <c r="BC8" s="285" t="s">
        <v>4352</v>
      </c>
      <c r="BD8" s="285" t="s">
        <v>4353</v>
      </c>
      <c r="BE8" s="285" t="s">
        <v>4354</v>
      </c>
      <c r="BF8" s="285" t="s">
        <v>4355</v>
      </c>
      <c r="BG8" s="285" t="s">
        <v>4356</v>
      </c>
      <c r="BH8" s="285" t="s">
        <v>4357</v>
      </c>
      <c r="BI8" s="285" t="s">
        <v>4358</v>
      </c>
      <c r="BJ8" s="285"/>
      <c r="BK8" s="285"/>
      <c r="BL8" s="285"/>
      <c r="BM8" s="285"/>
      <c r="BN8" s="285"/>
      <c r="BO8" s="285"/>
      <c r="BP8" s="285"/>
      <c r="BQ8" s="285"/>
      <c r="BR8" s="285"/>
      <c r="BS8" s="383"/>
    </row>
    <row r="9" spans="1:71" ht="14.4" customHeight="1" x14ac:dyDescent="0.25">
      <c r="A9" s="392" t="s">
        <v>253</v>
      </c>
      <c r="C9" s="118" t="s">
        <v>4359</v>
      </c>
      <c r="D9" s="376" t="s">
        <v>4360</v>
      </c>
      <c r="E9" s="118" t="str">
        <f t="array" ref="E9">INDEX(K:K,SMALL(IF($K$2:$K$59&lt;&gt;"",ROW($2:$59),60),ROW(K8)))&amp;""</f>
        <v>公会工匠</v>
      </c>
      <c r="F9" s="387" t="str">
        <f>IF(综合数据!B15=TRUE,"苦难幸存者","")</f>
        <v>苦难幸存者</v>
      </c>
      <c r="G9" s="388" t="s">
        <v>4361</v>
      </c>
      <c r="H9" s="389"/>
      <c r="I9" s="1057"/>
      <c r="J9" s="198" t="str">
        <f>IFERROR(INDEX($T$62:$Y$74,$J$1,2),"")</f>
        <v/>
      </c>
      <c r="K9" s="377" t="s">
        <v>4362</v>
      </c>
      <c r="L9" s="119">
        <v>8</v>
      </c>
      <c r="M9" s="119" t="s">
        <v>4363</v>
      </c>
      <c r="N9" s="119" t="s">
        <v>4364</v>
      </c>
      <c r="O9" s="119" t="s">
        <v>4365</v>
      </c>
      <c r="P9" s="283" t="s">
        <v>4366</v>
      </c>
      <c r="Q9" s="283" t="s">
        <v>4367</v>
      </c>
      <c r="R9" s="119"/>
      <c r="S9" s="378" t="s">
        <v>4368</v>
      </c>
      <c r="T9" s="378" t="s">
        <v>4369</v>
      </c>
      <c r="U9" s="378" t="s">
        <v>4370</v>
      </c>
      <c r="V9" s="378" t="s">
        <v>4371</v>
      </c>
      <c r="W9" s="378" t="s">
        <v>4372</v>
      </c>
      <c r="X9" s="378" t="s">
        <v>4373</v>
      </c>
      <c r="Y9" s="378" t="s">
        <v>4374</v>
      </c>
      <c r="Z9" s="378" t="s">
        <v>4375</v>
      </c>
      <c r="AA9" s="290" t="s">
        <v>4376</v>
      </c>
      <c r="AB9" s="290" t="s">
        <v>4377</v>
      </c>
      <c r="AC9" s="290" t="s">
        <v>4378</v>
      </c>
      <c r="AD9" s="290" t="s">
        <v>4379</v>
      </c>
      <c r="AE9" s="379" t="s">
        <v>4380</v>
      </c>
      <c r="AF9" s="290" t="s">
        <v>4381</v>
      </c>
      <c r="AG9" s="380" t="s">
        <v>4382</v>
      </c>
      <c r="AH9" s="380" t="s">
        <v>4383</v>
      </c>
      <c r="AI9" s="380" t="s">
        <v>4384</v>
      </c>
      <c r="AJ9" s="380" t="s">
        <v>4385</v>
      </c>
      <c r="AK9" s="380" t="s">
        <v>4386</v>
      </c>
      <c r="AL9" s="380" t="s">
        <v>4387</v>
      </c>
      <c r="AM9" s="381" t="s">
        <v>4388</v>
      </c>
      <c r="AN9" s="381" t="s">
        <v>4389</v>
      </c>
      <c r="AO9" s="381" t="s">
        <v>4390</v>
      </c>
      <c r="AP9" s="381" t="s">
        <v>4391</v>
      </c>
      <c r="AQ9" s="381" t="s">
        <v>4392</v>
      </c>
      <c r="AR9" s="381" t="s">
        <v>4393</v>
      </c>
      <c r="AS9" s="382" t="s">
        <v>4394</v>
      </c>
      <c r="AT9" s="382" t="s">
        <v>4395</v>
      </c>
      <c r="AU9" s="382" t="s">
        <v>4396</v>
      </c>
      <c r="AV9" s="382" t="s">
        <v>4397</v>
      </c>
      <c r="AW9" s="382" t="s">
        <v>4398</v>
      </c>
      <c r="AX9" s="382" t="s">
        <v>4399</v>
      </c>
      <c r="AY9" s="119" t="s">
        <v>4400</v>
      </c>
      <c r="AZ9" s="285" t="s">
        <v>4401</v>
      </c>
      <c r="BA9" s="285" t="s">
        <v>4402</v>
      </c>
      <c r="BB9" s="285" t="s">
        <v>4403</v>
      </c>
      <c r="BC9" s="285" t="s">
        <v>4404</v>
      </c>
      <c r="BD9" s="285" t="s">
        <v>4405</v>
      </c>
      <c r="BE9" s="285" t="s">
        <v>4406</v>
      </c>
      <c r="BF9" s="285" t="s">
        <v>4407</v>
      </c>
      <c r="BG9" s="285" t="s">
        <v>4408</v>
      </c>
      <c r="BH9" s="285" t="s">
        <v>4409</v>
      </c>
      <c r="BI9" s="285" t="s">
        <v>4410</v>
      </c>
      <c r="BJ9" s="285" t="s">
        <v>4411</v>
      </c>
      <c r="BK9" s="285" t="s">
        <v>4412</v>
      </c>
      <c r="BL9" s="285" t="s">
        <v>4413</v>
      </c>
      <c r="BM9" s="285" t="s">
        <v>4414</v>
      </c>
      <c r="BN9" s="285" t="s">
        <v>4415</v>
      </c>
      <c r="BO9" s="285" t="s">
        <v>4416</v>
      </c>
      <c r="BP9" s="285" t="s">
        <v>4417</v>
      </c>
      <c r="BQ9" s="285" t="s">
        <v>4418</v>
      </c>
      <c r="BR9" s="283" t="s">
        <v>4419</v>
      </c>
      <c r="BS9" s="383" t="s">
        <v>4420</v>
      </c>
    </row>
    <row r="10" spans="1:71" ht="14.4" customHeight="1" x14ac:dyDescent="0.25">
      <c r="C10" s="118" t="s">
        <v>4421</v>
      </c>
      <c r="D10" s="376" t="s">
        <v>4422</v>
      </c>
      <c r="E10" s="118" t="str">
        <f t="array" ref="E10">INDEX(K:K,SMALL(IF($K$2:$K$59&lt;&gt;"",ROW($2:$59),60),ROW(K9)))&amp;""</f>
        <v>公会商人</v>
      </c>
      <c r="F10" s="387" t="str">
        <f>IF(综合数据!B15=TRUE,"旅行者","")</f>
        <v>旅行者</v>
      </c>
      <c r="G10" s="388" t="s">
        <v>4423</v>
      </c>
      <c r="H10" s="352"/>
      <c r="I10" s="1057"/>
      <c r="J10" s="198" t="str">
        <f>IFERROR(INDEX($T$62:$Y$74,$J$1,3),"")</f>
        <v/>
      </c>
      <c r="K10" s="377" t="s">
        <v>4424</v>
      </c>
      <c r="L10" s="119">
        <v>9</v>
      </c>
      <c r="M10" s="180" t="str">
        <f>M9</f>
        <v>洞悉、游说</v>
      </c>
      <c r="N10" s="333" t="s">
        <v>4425</v>
      </c>
      <c r="O10" s="119" t="s">
        <v>4365</v>
      </c>
      <c r="P10" s="285" t="str">
        <f>P9</f>
        <v>公会成员</v>
      </c>
      <c r="Q10" s="285" t="str">
        <f>Q9</f>
        <v>你身为公会中一名备受尊敬的正式成员，可以享受到公会所提供的一些好处。公会中的同僚会在你需要时为你提供食宿，甚至在必要时为你安排身后事。公会在某些市镇设置有会馆，你可以以此作为与同行交流的场所，也可以从中开发潜在的客户、合作伙伴或雇工。
公会常常掌握着庞大的政治资源。当你被指控某项罪名时，公会可以为你提供全面的支持，前提是你必须为自己的清白做出举证，或是你的罪名必须仍可接受辩护。倘若你身处公会高层，甚至可以藉由公会获取有力的政治地位。而这些人脉资源都需要你为公会捐赠金钱或魔法物品来维持。
你每个月必须上交5gp作为会费。若你因故未缴这笔费用，则必须在补齐后才能重获公会的青睐。</v>
      </c>
      <c r="S10" s="378" t="str">
        <f t="shared" ref="S10:AX10" si="2">S9</f>
        <v>我确信能做的事就要做到最好。而我必须要做到最好——我是完美主义者。</v>
      </c>
      <c r="T10" s="378" t="str">
        <f t="shared" si="2"/>
        <v>我瞧不起那些不懂审美的家伙。</v>
      </c>
      <c r="U10" s="378" t="str">
        <f t="shared" si="2"/>
        <v>我总是想搞清楚事物如何运作，人们为何奔波。</v>
      </c>
      <c r="V10" s="378" t="str">
        <f t="shared" si="2"/>
        <v>我有一肚子格言警句，总是能恰到好处地掉书袋。</v>
      </c>
      <c r="W10" s="378" t="str">
        <f t="shared" si="2"/>
        <v>我对那些不像我那样努力工作、公平竞争的人并不会以礼相待。</v>
      </c>
      <c r="X10" s="378" t="str">
        <f t="shared" si="2"/>
        <v>我喜欢对我的行当高谈阔论。</v>
      </c>
      <c r="Y10" s="378" t="str">
        <f t="shared" si="2"/>
        <v>我不会轻易花钱，砍价也总是砍到最低。</v>
      </c>
      <c r="Z10" s="378" t="str">
        <f t="shared" si="2"/>
        <v>我在我这行鼎鼎有名，而我要确保所有人都认同这点。如果人们没听说过我，就会让我大吃一惊。</v>
      </c>
      <c r="AA10" s="290" t="str">
        <f t="shared" si="2"/>
        <v>团结：加强集体团结，保卫社区安全，是文明人应尽的义务。</v>
      </c>
      <c r="AB10" s="290" t="str">
        <f t="shared" si="2"/>
        <v>慷慨：既然我有天赋，我就要造福世界。</v>
      </c>
      <c r="AC10" s="290" t="str">
        <f t="shared" si="2"/>
        <v>自由：任何人都有选择营生方式的自由。</v>
      </c>
      <c r="AD10" s="290" t="str">
        <f t="shared" si="2"/>
        <v>贪婪：我干这行就只为钱。</v>
      </c>
      <c r="AE10" s="379" t="str">
        <f t="shared" si="2"/>
        <v>人民：我为我在乎的人奋斗，而不是为了什么理想。</v>
      </c>
      <c r="AF10" s="290" t="str">
        <f t="shared" si="2"/>
        <v>抱负：我努力钻研是为了成为本行中的翘楚。</v>
      </c>
      <c r="AG10" s="380" t="str">
        <f t="shared" si="2"/>
        <v>我学习技艺的厂房对我来说是世界上最重要的地方。</v>
      </c>
      <c r="AH10" s="380" t="str">
        <f t="shared" si="2"/>
        <v>我为某人造出了一件绝世珍品，却发现对方根本配不上它。而我仍在找配得上它的人。</v>
      </c>
      <c r="AI10" s="380" t="str">
        <f t="shared" si="2"/>
        <v>公会造就了今天的我，因此我仍欠公会良多。</v>
      </c>
      <c r="AJ10" s="380" t="str">
        <f t="shared" si="2"/>
        <v>我为了向某人求爱而攒钱。</v>
      </c>
      <c r="AK10" s="380" t="str">
        <f t="shared" si="2"/>
        <v>终有一天，我会回到公会，然后证明我是其中最厉害的工匠。</v>
      </c>
      <c r="AL10" s="380" t="str">
        <f t="shared" si="2"/>
        <v>我要向那个破坏我工坊，毁掉我生活的邪恶势力复仇。</v>
      </c>
      <c r="AM10" s="381" t="str">
        <f t="shared" si="2"/>
        <v>我会为了获得某些珍贵无价之物做任何事。</v>
      </c>
      <c r="AN10" s="381" t="str">
        <f t="shared" si="2"/>
        <v>我常常很急躁地认定某人正在骗我。</v>
      </c>
      <c r="AO10" s="381" t="str">
        <f t="shared" si="2"/>
        <v>应当没人知道我曾经从公会金库里偷过钱。</v>
      </c>
      <c r="AP10" s="381" t="str">
        <f t="shared" si="2"/>
        <v>我从未知足于自己所有之物，而总是欲壑难填。</v>
      </c>
      <c r="AQ10" s="381" t="str">
        <f t="shared" si="2"/>
        <v>我极度渴望贵族头衔。</v>
      </c>
      <c r="AR10" s="381" t="str">
        <f t="shared" si="2"/>
        <v>我妒忌任何手艺胜我一筹的人。而我无论走到哪里却都是对手环绕。</v>
      </c>
      <c r="AS10" s="382" t="str">
        <f t="shared" si="2"/>
        <v xml:space="preserve">我曾是一位大师的学徒，他教导了我行会生意。 </v>
      </c>
      <c r="AT10" s="382" t="str">
        <f t="shared" si="2"/>
        <v>我曾帮一名行会工匠保守秘密或者完成某个任务，作为回报，他收我为徒。</v>
      </c>
      <c r="AU10" s="382" t="str">
        <f t="shared" si="2"/>
        <v>我家族里有一个人是行会成员，他为我谋了个位置。</v>
      </c>
      <c r="AV10" s="382" t="str">
        <f t="shared" si="2"/>
        <v>我的手艺很好，所以抓住机会学了一门生意。</v>
      </c>
      <c r="AW10" s="382" t="str">
        <f t="shared" si="2"/>
        <v>我想要离家独立，开始新的人生。</v>
      </c>
      <c r="AX10" s="382" t="str">
        <f t="shared" si="2"/>
        <v>我从一个导师那里学了些基础，但需要加入行会才能完成所有的训练。</v>
      </c>
      <c r="AY10" s="180"/>
      <c r="AZ10" s="285"/>
      <c r="BA10" s="285"/>
      <c r="BB10" s="285"/>
      <c r="BC10" s="285"/>
      <c r="BD10" s="285"/>
      <c r="BE10" s="285"/>
      <c r="BF10" s="285"/>
      <c r="BG10" s="285"/>
      <c r="BH10" s="285"/>
      <c r="BI10" s="285"/>
      <c r="BJ10" s="285"/>
      <c r="BK10" s="285"/>
      <c r="BL10" s="285"/>
      <c r="BM10" s="285"/>
      <c r="BN10" s="285"/>
      <c r="BO10" s="285"/>
      <c r="BP10" s="285"/>
      <c r="BQ10" s="285"/>
      <c r="BR10" s="285"/>
      <c r="BS10" s="383"/>
    </row>
    <row r="11" spans="1:71" ht="14.4" customHeight="1" x14ac:dyDescent="0.25">
      <c r="A11" s="168" t="s">
        <v>379</v>
      </c>
      <c r="C11" s="128" t="s">
        <v>4426</v>
      </c>
      <c r="D11" s="376" t="s">
        <v>4427</v>
      </c>
      <c r="E11" s="118" t="str">
        <f t="array" ref="E11">INDEX(K:K,SMALL(IF($K$2:$K$59&lt;&gt;"",ROW($2:$59),60),ROW(K10)))&amp;""</f>
        <v>隐士</v>
      </c>
      <c r="F11" s="250" t="str">
        <f>IF(G11="","",IF(COUNTIF(K33:K42,A1),"公会法术","学院法术"))</f>
        <v/>
      </c>
      <c r="G11" s="349" t="str">
        <f>IFERROR(IF(INDEX(M2:R60,H1,6)=0,"",INDEX(M2:R60,H1,6)),"")</f>
        <v/>
      </c>
      <c r="H11" s="352"/>
      <c r="I11" s="1057"/>
      <c r="J11" s="198" t="str">
        <f>IFERROR(INDEX($T$62:$Y$74,$J$1,4),"")</f>
        <v/>
      </c>
      <c r="K11" s="377" t="s">
        <v>4428</v>
      </c>
      <c r="L11" s="119">
        <v>10</v>
      </c>
      <c r="M11" s="119" t="s">
        <v>4429</v>
      </c>
      <c r="N11" s="119" t="s">
        <v>1538</v>
      </c>
      <c r="O11" s="119" t="s">
        <v>4365</v>
      </c>
      <c r="P11" s="283" t="s">
        <v>4430</v>
      </c>
      <c r="Q11" s="283" t="s">
        <v>4431</v>
      </c>
      <c r="R11" s="119"/>
      <c r="S11" s="378" t="s">
        <v>4432</v>
      </c>
      <c r="T11" s="378" t="s">
        <v>4433</v>
      </c>
      <c r="U11" s="378" t="s">
        <v>4434</v>
      </c>
      <c r="V11" s="378" t="s">
        <v>4435</v>
      </c>
      <c r="W11" s="378" t="s">
        <v>4436</v>
      </c>
      <c r="X11" s="378" t="s">
        <v>4437</v>
      </c>
      <c r="Y11" s="378" t="s">
        <v>4438</v>
      </c>
      <c r="Z11" s="378" t="s">
        <v>4439</v>
      </c>
      <c r="AA11" s="290" t="s">
        <v>4440</v>
      </c>
      <c r="AB11" s="290" t="s">
        <v>4441</v>
      </c>
      <c r="AC11" s="290" t="s">
        <v>4442</v>
      </c>
      <c r="AD11" s="290" t="s">
        <v>4443</v>
      </c>
      <c r="AE11" s="379" t="s">
        <v>4444</v>
      </c>
      <c r="AF11" s="290" t="s">
        <v>4445</v>
      </c>
      <c r="AG11" s="380" t="s">
        <v>4446</v>
      </c>
      <c r="AH11" s="380" t="s">
        <v>4447</v>
      </c>
      <c r="AI11" s="380" t="s">
        <v>4448</v>
      </c>
      <c r="AJ11" s="380" t="s">
        <v>4449</v>
      </c>
      <c r="AK11" s="380" t="s">
        <v>4450</v>
      </c>
      <c r="AL11" s="380" t="s">
        <v>4451</v>
      </c>
      <c r="AM11" s="381" t="s">
        <v>4452</v>
      </c>
      <c r="AN11" s="381" t="s">
        <v>4453</v>
      </c>
      <c r="AO11" s="381" t="s">
        <v>4454</v>
      </c>
      <c r="AP11" s="381" t="s">
        <v>4455</v>
      </c>
      <c r="AQ11" s="381" t="s">
        <v>4456</v>
      </c>
      <c r="AR11" s="381" t="s">
        <v>4457</v>
      </c>
      <c r="AS11" s="382" t="s">
        <v>4458</v>
      </c>
      <c r="AT11" s="382" t="s">
        <v>4459</v>
      </c>
      <c r="AU11" s="382" t="s">
        <v>4460</v>
      </c>
      <c r="AV11" s="382" t="s">
        <v>4461</v>
      </c>
      <c r="AW11" s="382" t="s">
        <v>4462</v>
      </c>
      <c r="AX11" s="382" t="s">
        <v>4463</v>
      </c>
      <c r="AY11" s="119" t="s">
        <v>4464</v>
      </c>
      <c r="AZ11" s="285" t="s">
        <v>4465</v>
      </c>
      <c r="BA11" s="285" t="s">
        <v>4466</v>
      </c>
      <c r="BB11" s="285" t="s">
        <v>4467</v>
      </c>
      <c r="BC11" s="285" t="s">
        <v>4468</v>
      </c>
      <c r="BD11" s="285" t="s">
        <v>4469</v>
      </c>
      <c r="BE11" s="285" t="s">
        <v>4470</v>
      </c>
      <c r="BF11" s="285" t="s">
        <v>4471</v>
      </c>
      <c r="BG11" s="285" t="s">
        <v>4472</v>
      </c>
      <c r="BH11" s="285"/>
      <c r="BI11" s="285"/>
      <c r="BJ11" s="285"/>
      <c r="BK11" s="285"/>
      <c r="BL11" s="285"/>
      <c r="BM11" s="285"/>
      <c r="BN11" s="285"/>
      <c r="BO11" s="285"/>
      <c r="BP11" s="285"/>
      <c r="BQ11" s="285"/>
      <c r="BR11" s="285"/>
      <c r="BS11" s="383"/>
    </row>
    <row r="12" spans="1:71" ht="14.4" customHeight="1" x14ac:dyDescent="0.25">
      <c r="A12" s="1047" t="s">
        <v>4473</v>
      </c>
      <c r="B12" s="1061"/>
      <c r="D12" s="376" t="s">
        <v>4474</v>
      </c>
      <c r="E12" s="118" t="str">
        <f t="array" ref="E12">INDEX(K:K,SMALL(IF($K$2:$K$59&lt;&gt;"",ROW($2:$59),60),ROW(K11)))&amp;""</f>
        <v>贵族</v>
      </c>
      <c r="F12" s="1063" t="s">
        <v>4106</v>
      </c>
      <c r="G12" s="180" t="str">
        <f>IFERROR(INDEX($S$2:$Z$60,$H$1,1),"")</f>
        <v/>
      </c>
      <c r="H12" s="198" t="e">
        <f t="array" ref="H12">INDEX(G:G,SMALL(IF($G$12:$G$31&lt;&gt;"",ROW($12:$31),32),ROW(H1)))&amp;""</f>
        <v>#N/A</v>
      </c>
      <c r="I12" s="1057"/>
      <c r="J12" s="198" t="str">
        <f>IFERROR(INDEX($T$62:$Y$74,$J$1,5),"")</f>
        <v/>
      </c>
      <c r="K12" s="377" t="s">
        <v>4475</v>
      </c>
      <c r="L12" s="119">
        <v>11</v>
      </c>
      <c r="M12" s="119" t="s">
        <v>4476</v>
      </c>
      <c r="N12" s="119" t="s">
        <v>4477</v>
      </c>
      <c r="O12" s="119" t="s">
        <v>4365</v>
      </c>
      <c r="P12" s="283" t="s">
        <v>4478</v>
      </c>
      <c r="Q12" s="283" t="s">
        <v>4479</v>
      </c>
      <c r="R12" s="119"/>
      <c r="S12" s="378" t="s">
        <v>4480</v>
      </c>
      <c r="T12" s="378" t="s">
        <v>4481</v>
      </c>
      <c r="U12" s="378" t="s">
        <v>4482</v>
      </c>
      <c r="V12" s="378" t="s">
        <v>4483</v>
      </c>
      <c r="W12" s="378" t="s">
        <v>4484</v>
      </c>
      <c r="X12" s="378" t="s">
        <v>4485</v>
      </c>
      <c r="Y12" s="378" t="s">
        <v>4486</v>
      </c>
      <c r="Z12" s="378" t="s">
        <v>4487</v>
      </c>
      <c r="AA12" s="290" t="s">
        <v>4488</v>
      </c>
      <c r="AB12" s="290" t="s">
        <v>4489</v>
      </c>
      <c r="AC12" s="290" t="s">
        <v>4490</v>
      </c>
      <c r="AD12" s="290" t="s">
        <v>4491</v>
      </c>
      <c r="AE12" s="379" t="s">
        <v>4492</v>
      </c>
      <c r="AF12" s="290" t="s">
        <v>4493</v>
      </c>
      <c r="AG12" s="380" t="s">
        <v>4494</v>
      </c>
      <c r="AH12" s="380" t="s">
        <v>4495</v>
      </c>
      <c r="AI12" s="380" t="s">
        <v>4496</v>
      </c>
      <c r="AJ12" s="380" t="s">
        <v>4497</v>
      </c>
      <c r="AK12" s="380" t="s">
        <v>4498</v>
      </c>
      <c r="AL12" s="380" t="s">
        <v>4499</v>
      </c>
      <c r="AM12" s="381" t="s">
        <v>4500</v>
      </c>
      <c r="AN12" s="381" t="s">
        <v>4501</v>
      </c>
      <c r="AO12" s="381" t="s">
        <v>4502</v>
      </c>
      <c r="AP12" s="381" t="s">
        <v>4503</v>
      </c>
      <c r="AQ12" s="381" t="s">
        <v>4504</v>
      </c>
      <c r="AR12" s="381" t="s">
        <v>4505</v>
      </c>
      <c r="AS12" s="382" t="s">
        <v>4506</v>
      </c>
      <c r="AT12" s="382" t="s">
        <v>4507</v>
      </c>
      <c r="AU12" s="382" t="s">
        <v>4508</v>
      </c>
      <c r="AV12" s="382" t="s">
        <v>4509</v>
      </c>
      <c r="AW12" s="382" t="s">
        <v>4510</v>
      </c>
      <c r="AX12" s="382" t="s">
        <v>4511</v>
      </c>
      <c r="AY12" s="180"/>
      <c r="AZ12" s="285"/>
      <c r="BA12" s="285"/>
      <c r="BB12" s="285"/>
      <c r="BC12" s="285"/>
      <c r="BD12" s="285"/>
      <c r="BE12" s="285"/>
      <c r="BF12" s="285"/>
      <c r="BG12" s="285"/>
      <c r="BH12" s="285"/>
      <c r="BI12" s="285"/>
      <c r="BJ12" s="285"/>
      <c r="BK12" s="285"/>
      <c r="BL12" s="285"/>
      <c r="BM12" s="285"/>
      <c r="BN12" s="285"/>
      <c r="BO12" s="285"/>
      <c r="BP12" s="285"/>
      <c r="BQ12" s="285"/>
      <c r="BR12" s="285"/>
      <c r="BS12" s="383"/>
    </row>
    <row r="13" spans="1:71" ht="14.4" customHeight="1" x14ac:dyDescent="0.25">
      <c r="A13" s="393" t="str">
        <f>IFERROR(IF(COUNTIF($A$25:$A$29,F2),"",F2),"")</f>
        <v/>
      </c>
      <c r="B13" s="352" t="str">
        <f t="array" ref="B13">INDEX(A:A,SMALL(IF($A$13:$A$22&lt;&gt;"",ROW($13:$22),23),ROW(A1)))&amp;""</f>
        <v>背景语言</v>
      </c>
      <c r="D13" s="376" t="s">
        <v>4512</v>
      </c>
      <c r="E13" s="118" t="str">
        <f t="array" ref="E13">INDEX(K:K,SMALL(IF($K$2:$K$59&lt;&gt;"",ROW($2:$59),60),ROW(K12)))&amp;""</f>
        <v>骑士</v>
      </c>
      <c r="F13" s="1063"/>
      <c r="G13" s="180" t="str">
        <f>IFERROR(INDEX($S$2:$Z$60,$H$1,2),"")</f>
        <v/>
      </c>
      <c r="H13" s="198" t="e">
        <f t="array" ref="H13">INDEX(G:G,SMALL(IF($G$12:$G$31&lt;&gt;"",ROW($12:$31),32),ROW(H2)))&amp;""</f>
        <v>#N/A</v>
      </c>
      <c r="I13" s="1057"/>
      <c r="J13" s="198" t="str">
        <f>IFERROR(INDEX($T$62:$Y$74,$J$1,6),"")</f>
        <v/>
      </c>
      <c r="K13" s="377" t="s">
        <v>4513</v>
      </c>
      <c r="L13" s="119">
        <v>12</v>
      </c>
      <c r="M13" s="180" t="str">
        <f>M12</f>
        <v>历史、游说</v>
      </c>
      <c r="N13" s="180" t="str">
        <f>N12</f>
        <v>一种赌具</v>
      </c>
      <c r="O13" s="180" t="str">
        <f>O12</f>
        <v>任选一门语言</v>
      </c>
      <c r="P13" s="283" t="s">
        <v>4514</v>
      </c>
      <c r="Q13" s="283" t="s">
        <v>4515</v>
      </c>
      <c r="R13" s="119"/>
      <c r="S13" s="378" t="str">
        <f t="shared" ref="S13:AX13" si="3">S12</f>
        <v>我的阿谀奉承能让其他人觉得自己举世无双。</v>
      </c>
      <c r="T13" s="378" t="str">
        <f t="shared" si="3"/>
        <v>平民们因我的仁慈和慷慨而喜爱我。</v>
      </c>
      <c r="U13" s="378" t="str">
        <f t="shared" si="3"/>
        <v>众所周知只要看一眼我威严的仪态，就能明白我和下层民众截然不同。</v>
      </c>
      <c r="V13" s="378" t="str">
        <f t="shared" si="3"/>
        <v>我为了时尚和美貌忍受了很大痛苦。</v>
      </c>
      <c r="W13" s="378" t="str">
        <f t="shared" si="3"/>
        <v>我不喜欢干脏活，更不会因不舒适的食宿勉强自己。</v>
      </c>
      <c r="X13" s="378" t="str">
        <f t="shared" si="3"/>
        <v>我拥有贵族的血统，但并不认为自己比平民百姓更高贵。我们流的血是相同的。</v>
      </c>
      <c r="Y13" s="378" t="str">
        <f t="shared" si="3"/>
        <v>一旦辜负我的期待，就将永远失去我的青睐。</v>
      </c>
      <c r="Z13" s="378" t="str">
        <f t="shared" si="3"/>
        <v>我一受到伤害就要碾碎对方，乃至辱其名声毁其土地。</v>
      </c>
      <c r="AA13" s="290" t="str">
        <f t="shared" si="3"/>
        <v>尊重：人们尊敬我是因为我的地位，但任何人无论地位高低，都应该被体面地对待。</v>
      </c>
      <c r="AB13" s="290" t="str">
        <f t="shared" si="3"/>
        <v>责任：我将服从上级视为责任，正如我的下属也必须要服从我一样。</v>
      </c>
      <c r="AC13" s="290" t="str">
        <f t="shared" si="3"/>
        <v>独立：我必须证明自己即使不借助家族的力量也仍可以自食其力。</v>
      </c>
      <c r="AD13" s="290" t="str">
        <f t="shared" si="3"/>
        <v>权力：只要我掌握了更大的权力，就没人能对我指手画脚了。</v>
      </c>
      <c r="AE13" s="379" t="str">
        <f t="shared" si="3"/>
        <v>家族：血浓于水。</v>
      </c>
      <c r="AF13" s="290" t="str">
        <f t="shared" si="3"/>
        <v>贵族义务：保护依附我的人们，是我的责任。</v>
      </c>
      <c r="AG13" s="380" t="str">
        <f t="shared" si="3"/>
        <v>为了获得家族的认可，我可以面对任何挑战。</v>
      </c>
      <c r="AH13" s="380" t="str">
        <f t="shared" si="3"/>
        <v>我必须不惜代价的维持住两个家族之间的联姻关系。</v>
      </c>
      <c r="AI13" s="380" t="str">
        <f t="shared" si="3"/>
        <v>任何事物都不如家族血亲更重要。</v>
      </c>
      <c r="AJ13" s="380" t="str">
        <f t="shared" si="3"/>
        <v>我爱上了家族所不齿的另一个家族的子嗣。</v>
      </c>
      <c r="AK13" s="380" t="str">
        <f t="shared" si="3"/>
        <v>我对主君的忠诚固若泰山。</v>
      </c>
      <c r="AL13" s="380" t="str">
        <f t="shared" si="3"/>
        <v>平民们将我视作人民的英雄。</v>
      </c>
      <c r="AM13" s="381" t="str">
        <f t="shared" si="3"/>
        <v>我暗自认为自己比所有人都高贵。</v>
      </c>
      <c r="AN13" s="381" t="str">
        <f t="shared" si="3"/>
        <v>我努力遮掩一个会永远摧毁家族的可耻秘密。</v>
      </c>
      <c r="AO13" s="381" t="str">
        <f t="shared" si="3"/>
        <v>我总会听到针对我的隐晦侮辱与威胁，且轻易就会因此而发怒。</v>
      </c>
      <c r="AP13" s="381" t="str">
        <f t="shared" si="3"/>
        <v>我总是放纵自己的肉体欲望。</v>
      </c>
      <c r="AQ13" s="381" t="str">
        <f t="shared" si="3"/>
        <v>事实上，世界就是围着我转的。</v>
      </c>
      <c r="AR13" s="381" t="str">
        <f t="shared" si="3"/>
        <v>我的言行总会为家族带来耻辱。</v>
      </c>
      <c r="AS13" s="382" t="str">
        <f t="shared" si="3"/>
        <v>我来自一个古老而显赫的家族，我必须要对得起家族的名誉。</v>
      </c>
      <c r="AT13" s="382" t="str">
        <f t="shared" si="3"/>
        <v>我的家族已经蒙羞，我打算挽回它的名誉。</v>
      </c>
      <c r="AU13" s="382" t="str">
        <f t="shared" si="3"/>
        <v>我的家族刚刚获得贵族头衔，这项拔擢把我们陡然推进了一个全新而奇异的世界。</v>
      </c>
      <c r="AV13" s="382" t="str">
        <f t="shared" si="3"/>
        <v>我的家族空有贵族头衔，祖上从没出过一个有名望的人。</v>
      </c>
      <c r="AW13" s="382" t="str">
        <f t="shared" si="3"/>
        <v>我的家族里人才济济，我希望自己不辜负这些榜样。</v>
      </c>
      <c r="AX13" s="382" t="str">
        <f t="shared" si="3"/>
        <v>我希望增加我家族的权利和影响力。</v>
      </c>
      <c r="AY13" s="180"/>
      <c r="AZ13" s="285"/>
      <c r="BA13" s="285"/>
      <c r="BB13" s="285"/>
      <c r="BC13" s="285"/>
      <c r="BD13" s="285"/>
      <c r="BE13" s="285"/>
      <c r="BF13" s="285"/>
      <c r="BG13" s="285"/>
      <c r="BH13" s="285"/>
      <c r="BI13" s="285"/>
      <c r="BJ13" s="285"/>
      <c r="BK13" s="285"/>
      <c r="BL13" s="285"/>
      <c r="BM13" s="285"/>
      <c r="BN13" s="285"/>
      <c r="BO13" s="285"/>
      <c r="BP13" s="285"/>
      <c r="BQ13" s="285"/>
      <c r="BR13" s="285"/>
      <c r="BS13" s="383"/>
    </row>
    <row r="14" spans="1:71" ht="14.4" customHeight="1" x14ac:dyDescent="0.25">
      <c r="A14" s="393" t="str">
        <f>IFERROR(IF(COUNTIF($A$25:$A$29,F3),"",F3),"")</f>
        <v/>
      </c>
      <c r="B14" s="352" t="str">
        <f t="array" ref="B14">INDEX(A:A,SMALL(IF($A$13:$A$22&lt;&gt;"",ROW($13:$22),23),ROW(A2)))&amp;""</f>
        <v/>
      </c>
      <c r="D14" s="376" t="s">
        <v>4516</v>
      </c>
      <c r="E14" s="118" t="str">
        <f t="array" ref="E14">INDEX(K:K,SMALL(IF($K$2:$K$59&lt;&gt;"",ROW($2:$59),60),ROW(K13)))&amp;""</f>
        <v>化外之民</v>
      </c>
      <c r="F14" s="1063"/>
      <c r="G14" s="119" t="str">
        <f>IFERROR(INDEX($S$2:$Z$60,$H$1,3),"")</f>
        <v/>
      </c>
      <c r="H14" s="198" t="e">
        <f t="array" ref="H14">INDEX(G:G,SMALL(IF($G$12:$G$31&lt;&gt;"",ROW($12:$31),32),ROW(H3)))&amp;""</f>
        <v>#N/A</v>
      </c>
      <c r="I14" s="1057">
        <f>IFERROR(INDEX(Z62:Z74,J1,1),0)</f>
        <v>0</v>
      </c>
      <c r="J14" s="198" t="str">
        <f>IFERROR(INDEX($AA$62:$AF$74,$J$1,1),"")</f>
        <v/>
      </c>
      <c r="K14" s="377" t="s">
        <v>4517</v>
      </c>
      <c r="L14" s="119">
        <v>13</v>
      </c>
      <c r="M14" s="119" t="s">
        <v>4518</v>
      </c>
      <c r="N14" s="119" t="s">
        <v>4519</v>
      </c>
      <c r="O14" s="119" t="s">
        <v>4365</v>
      </c>
      <c r="P14" s="283" t="s">
        <v>4520</v>
      </c>
      <c r="Q14" s="283" t="s">
        <v>4521</v>
      </c>
      <c r="R14" s="119"/>
      <c r="S14" s="378" t="s">
        <v>4522</v>
      </c>
      <c r="T14" s="378" t="s">
        <v>4523</v>
      </c>
      <c r="U14" s="378" t="s">
        <v>4524</v>
      </c>
      <c r="V14" s="378" t="s">
        <v>4525</v>
      </c>
      <c r="W14" s="378" t="s">
        <v>4526</v>
      </c>
      <c r="X14" s="378" t="s">
        <v>4527</v>
      </c>
      <c r="Y14" s="378" t="s">
        <v>4528</v>
      </c>
      <c r="Z14" s="378" t="s">
        <v>4529</v>
      </c>
      <c r="AA14" s="290" t="s">
        <v>4530</v>
      </c>
      <c r="AB14" s="290" t="s">
        <v>4531</v>
      </c>
      <c r="AC14" s="290" t="s">
        <v>4532</v>
      </c>
      <c r="AD14" s="290" t="s">
        <v>4533</v>
      </c>
      <c r="AE14" s="379" t="s">
        <v>4534</v>
      </c>
      <c r="AF14" s="290" t="s">
        <v>4535</v>
      </c>
      <c r="AG14" s="380" t="s">
        <v>4536</v>
      </c>
      <c r="AH14" s="380" t="s">
        <v>4537</v>
      </c>
      <c r="AI14" s="380" t="s">
        <v>4538</v>
      </c>
      <c r="AJ14" s="380" t="s">
        <v>4539</v>
      </c>
      <c r="AK14" s="380" t="s">
        <v>4540</v>
      </c>
      <c r="AL14" s="380" t="s">
        <v>4541</v>
      </c>
      <c r="AM14" s="381" t="s">
        <v>4542</v>
      </c>
      <c r="AN14" s="381" t="s">
        <v>4543</v>
      </c>
      <c r="AO14" s="381" t="s">
        <v>4544</v>
      </c>
      <c r="AP14" s="381" t="s">
        <v>4545</v>
      </c>
      <c r="AQ14" s="381" t="s">
        <v>4546</v>
      </c>
      <c r="AR14" s="381" t="s">
        <v>4547</v>
      </c>
      <c r="AS14" s="382" t="s">
        <v>4548</v>
      </c>
      <c r="AT14" s="382" t="s">
        <v>4549</v>
      </c>
      <c r="AU14" s="382" t="s">
        <v>4550</v>
      </c>
      <c r="AV14" s="382" t="s">
        <v>4551</v>
      </c>
      <c r="AW14" s="382" t="s">
        <v>4552</v>
      </c>
      <c r="AX14" s="382" t="s">
        <v>4553</v>
      </c>
      <c r="AY14" s="119" t="s">
        <v>4554</v>
      </c>
      <c r="AZ14" s="285" t="s">
        <v>4555</v>
      </c>
      <c r="BA14" s="285" t="s">
        <v>4556</v>
      </c>
      <c r="BB14" s="285" t="s">
        <v>4557</v>
      </c>
      <c r="BC14" s="285" t="s">
        <v>4558</v>
      </c>
      <c r="BD14" s="285" t="s">
        <v>4559</v>
      </c>
      <c r="BE14" s="285" t="s">
        <v>4560</v>
      </c>
      <c r="BF14" s="285" t="s">
        <v>4561</v>
      </c>
      <c r="BG14" s="285" t="s">
        <v>4562</v>
      </c>
      <c r="BH14" s="285" t="s">
        <v>4563</v>
      </c>
      <c r="BI14" s="285" t="s">
        <v>4564</v>
      </c>
      <c r="BJ14" s="285"/>
      <c r="BK14" s="285"/>
      <c r="BL14" s="285"/>
      <c r="BM14" s="285"/>
      <c r="BN14" s="285"/>
      <c r="BO14" s="285"/>
      <c r="BP14" s="285"/>
      <c r="BQ14" s="285"/>
      <c r="BR14" s="285"/>
      <c r="BS14" s="383"/>
    </row>
    <row r="15" spans="1:71" ht="14.4" customHeight="1" x14ac:dyDescent="0.25">
      <c r="A15" s="393" t="str">
        <f>IFERROR(IF(COUNTIF($A$25:$A$29,F4),"",F4),"")</f>
        <v>背景语言</v>
      </c>
      <c r="B15" s="352" t="str">
        <f t="array" ref="B15">INDEX(A:A,SMALL(IF($A$13:$A$22&lt;&gt;"",ROW($13:$22),23),ROW(A3)))&amp;""</f>
        <v/>
      </c>
      <c r="D15" s="376" t="s">
        <v>4565</v>
      </c>
      <c r="E15" s="118" t="str">
        <f t="array" ref="E15">INDEX(K:K,SMALL(IF($K$2:$K$59&lt;&gt;"",ROW($2:$59),60),ROW(K14)))&amp;""</f>
        <v>智者</v>
      </c>
      <c r="F15" s="1063"/>
      <c r="G15" s="119" t="str">
        <f>IFERROR(INDEX($S$2:$Z$60,$H$1,4),"")</f>
        <v/>
      </c>
      <c r="H15" s="198" t="e">
        <f t="array" ref="H15">INDEX(G:G,SMALL(IF($G$12:$G$31&lt;&gt;"",ROW($12:$31),32),ROW(H4)))&amp;""</f>
        <v>#N/A</v>
      </c>
      <c r="I15" s="1057"/>
      <c r="J15" s="198" t="str">
        <f>IFERROR(INDEX($AA$62:$AF$74,$J$1,2),"")</f>
        <v/>
      </c>
      <c r="K15" s="377" t="s">
        <v>4566</v>
      </c>
      <c r="L15" s="119">
        <v>14</v>
      </c>
      <c r="M15" s="119" t="s">
        <v>4567</v>
      </c>
      <c r="N15" s="180"/>
      <c r="O15" s="119" t="s">
        <v>4116</v>
      </c>
      <c r="P15" s="283" t="s">
        <v>4568</v>
      </c>
      <c r="Q15" s="283" t="s">
        <v>4569</v>
      </c>
      <c r="R15" s="119"/>
      <c r="S15" s="378" t="s">
        <v>4570</v>
      </c>
      <c r="T15" s="378" t="s">
        <v>4571</v>
      </c>
      <c r="U15" s="378" t="s">
        <v>4572</v>
      </c>
      <c r="V15" s="378" t="s">
        <v>4573</v>
      </c>
      <c r="W15" s="378" t="s">
        <v>4574</v>
      </c>
      <c r="X15" s="378" t="s">
        <v>4575</v>
      </c>
      <c r="Y15" s="378" t="s">
        <v>4576</v>
      </c>
      <c r="Z15" s="378" t="s">
        <v>4577</v>
      </c>
      <c r="AA15" s="290" t="s">
        <v>4578</v>
      </c>
      <c r="AB15" s="290" t="s">
        <v>4579</v>
      </c>
      <c r="AC15" s="290" t="s">
        <v>4580</v>
      </c>
      <c r="AD15" s="290" t="s">
        <v>4581</v>
      </c>
      <c r="AE15" s="379" t="s">
        <v>4582</v>
      </c>
      <c r="AF15" s="290" t="s">
        <v>4583</v>
      </c>
      <c r="AG15" s="380" t="s">
        <v>4584</v>
      </c>
      <c r="AH15" s="380" t="s">
        <v>4585</v>
      </c>
      <c r="AI15" s="380" t="s">
        <v>4586</v>
      </c>
      <c r="AJ15" s="380" t="s">
        <v>4587</v>
      </c>
      <c r="AK15" s="380" t="s">
        <v>4588</v>
      </c>
      <c r="AL15" s="380" t="s">
        <v>4589</v>
      </c>
      <c r="AM15" s="381" t="s">
        <v>4590</v>
      </c>
      <c r="AN15" s="381" t="s">
        <v>4591</v>
      </c>
      <c r="AO15" s="381" t="s">
        <v>4592</v>
      </c>
      <c r="AP15" s="381" t="s">
        <v>4593</v>
      </c>
      <c r="AQ15" s="381" t="s">
        <v>4594</v>
      </c>
      <c r="AR15" s="381" t="s">
        <v>4595</v>
      </c>
      <c r="AS15" s="382" t="s">
        <v>4596</v>
      </c>
      <c r="AT15" s="382" t="s">
        <v>4597</v>
      </c>
      <c r="AU15" s="382" t="s">
        <v>4598</v>
      </c>
      <c r="AV15" s="382" t="s">
        <v>4599</v>
      </c>
      <c r="AW15" s="382" t="s">
        <v>4600</v>
      </c>
      <c r="AX15" s="382" t="s">
        <v>4601</v>
      </c>
      <c r="AY15" s="119" t="s">
        <v>4602</v>
      </c>
      <c r="AZ15" s="283" t="s">
        <v>1665</v>
      </c>
      <c r="BA15" s="283" t="s">
        <v>4603</v>
      </c>
      <c r="BB15" s="283" t="s">
        <v>4604</v>
      </c>
      <c r="BC15" s="283" t="s">
        <v>4605</v>
      </c>
      <c r="BD15" s="283" t="s">
        <v>4606</v>
      </c>
      <c r="BE15" s="283" t="s">
        <v>4568</v>
      </c>
      <c r="BF15" s="283" t="s">
        <v>4607</v>
      </c>
      <c r="BG15" s="283" t="s">
        <v>4608</v>
      </c>
      <c r="BH15" s="285"/>
      <c r="BI15" s="285"/>
      <c r="BJ15" s="285"/>
      <c r="BK15" s="285"/>
      <c r="BL15" s="285"/>
      <c r="BM15" s="285"/>
      <c r="BN15" s="285"/>
      <c r="BO15" s="285"/>
      <c r="BP15" s="285"/>
      <c r="BQ15" s="285"/>
      <c r="BR15" s="285"/>
      <c r="BS15" s="383"/>
    </row>
    <row r="16" spans="1:71" ht="14.4" customHeight="1" x14ac:dyDescent="0.25">
      <c r="A16" s="393" t="str">
        <f t="shared" ref="A16:A21" si="4">IFERROR(IF($B$30&gt;=1,"",F5),"")</f>
        <v/>
      </c>
      <c r="B16" s="352" t="str">
        <f t="array" ref="B16">INDEX(A:A,SMALL(IF($A$13:$A$22&lt;&gt;"",ROW($13:$22),23),ROW(A4)))&amp;""</f>
        <v/>
      </c>
      <c r="D16" s="376" t="s">
        <v>4609</v>
      </c>
      <c r="E16" s="118" t="str">
        <f t="array" ref="E16">INDEX(K:K,SMALL(IF($K$2:$K$59&lt;&gt;"",ROW($2:$59),60),ROW(K15)))&amp;""</f>
        <v>水手</v>
      </c>
      <c r="F16" s="1063"/>
      <c r="G16" s="119" t="str">
        <f>IFERROR(INDEX($S$2:$Z$60,$H$1,5),"")</f>
        <v/>
      </c>
      <c r="H16" s="198" t="e">
        <f t="array" ref="H16">INDEX(G:G,SMALL(IF($G$12:$G$31&lt;&gt;"",ROW($12:$31),32),ROW(H5)))&amp;""</f>
        <v>#N/A</v>
      </c>
      <c r="I16" s="1057"/>
      <c r="J16" s="198" t="str">
        <f>IFERROR(INDEX($AA$62:$AF$74,$J$1,3),"")</f>
        <v/>
      </c>
      <c r="K16" s="377" t="s">
        <v>4610</v>
      </c>
      <c r="L16" s="119">
        <v>15</v>
      </c>
      <c r="M16" s="119" t="s">
        <v>4611</v>
      </c>
      <c r="N16" s="119" t="s">
        <v>4612</v>
      </c>
      <c r="O16" s="119"/>
      <c r="P16" s="283" t="s">
        <v>4613</v>
      </c>
      <c r="Q16" s="283" t="s">
        <v>4614</v>
      </c>
      <c r="R16" s="119"/>
      <c r="S16" s="378" t="s">
        <v>4615</v>
      </c>
      <c r="T16" s="378" t="s">
        <v>4616</v>
      </c>
      <c r="U16" s="378" t="s">
        <v>4617</v>
      </c>
      <c r="V16" s="378" t="s">
        <v>4618</v>
      </c>
      <c r="W16" s="378" t="s">
        <v>4619</v>
      </c>
      <c r="X16" s="378" t="s">
        <v>4620</v>
      </c>
      <c r="Y16" s="378" t="s">
        <v>4621</v>
      </c>
      <c r="Z16" s="378" t="s">
        <v>4622</v>
      </c>
      <c r="AA16" s="290" t="s">
        <v>4623</v>
      </c>
      <c r="AB16" s="290" t="s">
        <v>4624</v>
      </c>
      <c r="AC16" s="290" t="s">
        <v>4625</v>
      </c>
      <c r="AD16" s="290" t="s">
        <v>4626</v>
      </c>
      <c r="AE16" s="379" t="s">
        <v>4627</v>
      </c>
      <c r="AF16" s="290" t="s">
        <v>4628</v>
      </c>
      <c r="AG16" s="380" t="s">
        <v>4629</v>
      </c>
      <c r="AH16" s="380" t="s">
        <v>4630</v>
      </c>
      <c r="AI16" s="380" t="s">
        <v>4631</v>
      </c>
      <c r="AJ16" s="380" t="s">
        <v>4632</v>
      </c>
      <c r="AK16" s="380" t="s">
        <v>4633</v>
      </c>
      <c r="AL16" s="380" t="s">
        <v>4634</v>
      </c>
      <c r="AM16" s="381" t="s">
        <v>4635</v>
      </c>
      <c r="AN16" s="381" t="s">
        <v>4636</v>
      </c>
      <c r="AO16" s="381" t="s">
        <v>4637</v>
      </c>
      <c r="AP16" s="381" t="s">
        <v>4638</v>
      </c>
      <c r="AQ16" s="381" t="s">
        <v>4639</v>
      </c>
      <c r="AR16" s="381" t="s">
        <v>4640</v>
      </c>
      <c r="AS16" s="382" t="s">
        <v>4641</v>
      </c>
      <c r="AT16" s="382" t="s">
        <v>4642</v>
      </c>
      <c r="AU16" s="382" t="s">
        <v>4643</v>
      </c>
      <c r="AV16" s="382" t="s">
        <v>4644</v>
      </c>
      <c r="AW16" s="382" t="s">
        <v>4645</v>
      </c>
      <c r="AX16" s="382" t="s">
        <v>4646</v>
      </c>
      <c r="AY16" s="180"/>
      <c r="AZ16" s="285"/>
      <c r="BA16" s="285"/>
      <c r="BB16" s="285"/>
      <c r="BC16" s="285"/>
      <c r="BD16" s="285"/>
      <c r="BE16" s="285"/>
      <c r="BF16" s="285"/>
      <c r="BG16" s="285"/>
      <c r="BH16" s="285"/>
      <c r="BI16" s="285"/>
      <c r="BJ16" s="285"/>
      <c r="BK16" s="285"/>
      <c r="BL16" s="285"/>
      <c r="BM16" s="285"/>
      <c r="BN16" s="285"/>
      <c r="BO16" s="285"/>
      <c r="BP16" s="285"/>
      <c r="BQ16" s="285"/>
      <c r="BR16" s="285"/>
      <c r="BS16" s="383"/>
    </row>
    <row r="17" spans="1:71" ht="14.4" customHeight="1" x14ac:dyDescent="0.25">
      <c r="A17" s="393" t="str">
        <f t="shared" si="4"/>
        <v/>
      </c>
      <c r="B17" s="352" t="str">
        <f t="array" ref="B17">INDEX(A:A,SMALL(IF($A$13:$A$22&lt;&gt;"",ROW($13:$22),23),ROW(A5)))&amp;""</f>
        <v/>
      </c>
      <c r="D17" s="376" t="s">
        <v>4647</v>
      </c>
      <c r="E17" s="118" t="str">
        <f t="array" ref="E17">INDEX(K:K,SMALL(IF($K$2:$K$59&lt;&gt;"",ROW($2:$59),60),ROW(K16)))&amp;""</f>
        <v>海盗</v>
      </c>
      <c r="F17" s="1063"/>
      <c r="G17" s="119" t="str">
        <f>IFERROR(INDEX($S$2:$Z$60,$H$1,6),"")</f>
        <v/>
      </c>
      <c r="H17" s="198" t="e">
        <f t="array" ref="H17">INDEX(G:G,SMALL(IF($G$12:$G$31&lt;&gt;"",ROW($12:$31),32),ROW(H6)))&amp;""</f>
        <v>#N/A</v>
      </c>
      <c r="I17" s="1057"/>
      <c r="J17" s="198" t="str">
        <f>IFERROR(INDEX($AA$62:$AF$74,$J$1,4),"")</f>
        <v/>
      </c>
      <c r="K17" s="377" t="s">
        <v>4648</v>
      </c>
      <c r="L17" s="119">
        <v>16</v>
      </c>
      <c r="M17" s="180" t="str">
        <f>M16</f>
        <v>运动、察觉</v>
      </c>
      <c r="N17" s="180" t="str">
        <f>N16</f>
        <v>领航工具、载具（水运）</v>
      </c>
      <c r="O17" s="180"/>
      <c r="P17" s="283" t="s">
        <v>4649</v>
      </c>
      <c r="Q17" s="283" t="s">
        <v>4650</v>
      </c>
      <c r="R17" s="119"/>
      <c r="S17" s="378" t="str">
        <f t="shared" ref="S17:AX17" si="5">S16</f>
        <v>朋友们知道无论出现什么困难，我都值得依赖。</v>
      </c>
      <c r="T17" s="378" t="str">
        <f t="shared" si="5"/>
        <v>我努力工作，然后休闲时就可以尽情玩乐。</v>
      </c>
      <c r="U17" s="378" t="str">
        <f t="shared" si="5"/>
        <v>我喜欢航行到新港口，然后在那里以酒会友。</v>
      </c>
      <c r="V17" s="378" t="str">
        <f t="shared" si="5"/>
        <v>我常常会为了讲述一个好故事而夸大其词。</v>
      </c>
      <c r="W17" s="378" t="str">
        <f t="shared" si="5"/>
        <v>我就觉得酒馆是了解一座陌生城市的好地方。</v>
      </c>
      <c r="X17" s="378" t="str">
        <f t="shared" si="5"/>
        <v>我从不会放弃友好的赌局。</v>
      </c>
      <c r="Y17" s="378" t="str">
        <f t="shared" si="5"/>
        <v>我的言辞脏污得好比食腐兽的窝。</v>
      </c>
      <c r="Z17" s="378" t="str">
        <f t="shared" si="5"/>
        <v>我喜欢工作都好好完成的样子，如果整个过程都让别人来干就更好了。</v>
      </c>
      <c r="AA17" s="290" t="str">
        <f t="shared" si="5"/>
        <v>尊重：只有船长和船员相互尊重，船才能乘风破浪。</v>
      </c>
      <c r="AB17" s="290" t="str">
        <f t="shared" si="5"/>
        <v>公正：一起干的活工钱一起分。</v>
      </c>
      <c r="AC17" s="290" t="str">
        <f t="shared" si="5"/>
        <v>自由：大海即是自由——随你去哪儿，随你干什么。</v>
      </c>
      <c r="AD17" s="290" t="str">
        <f t="shared" si="5"/>
        <v>统治：我是个掠夺者，海上其他船都是我的猎物。</v>
      </c>
      <c r="AE17" s="379" t="str">
        <f t="shared" si="5"/>
        <v>人民：我只为同伴们出力，而不是为了什么理想。</v>
      </c>
      <c r="AF17" s="290" t="str">
        <f t="shared" si="5"/>
        <v>抱负：早晚有一天，我会拥有自己的船，掌握自己的命运。</v>
      </c>
      <c r="AG17" s="380" t="str">
        <f t="shared" si="5"/>
        <v>我首先忠于我的船长，任何事物都要排在后头。</v>
      </c>
      <c r="AH17" s="380" t="str">
        <f t="shared" si="5"/>
        <v>船才是最重要的，无论船员还是船长都是过客。</v>
      </c>
      <c r="AI17" s="380" t="str">
        <f t="shared" si="5"/>
        <v>我总是会怀念我上过的第一艘船。</v>
      </c>
      <c r="AJ17" s="380" t="str">
        <f t="shared" si="5"/>
        <v>在一个港口里住着我的情人，她的魅力几乎能让我抛弃海上生活和她在一起。</v>
      </c>
      <c r="AK17" s="380" t="str">
        <f t="shared" si="5"/>
        <v>我平分财宝时见到有人作弊，而我要夺回我应得的那份。</v>
      </c>
      <c r="AL17" s="380" t="str">
        <f t="shared" si="5"/>
        <v>残忍的海盗杀了我的船长和兄弟，抢走了我的船，只留下濒死的我。而我一定要复仇。</v>
      </c>
      <c r="AM17" s="381" t="str">
        <f t="shared" si="5"/>
        <v>我遵守命令，哪怕是那些并不正确的命令。</v>
      </c>
      <c r="AN17" s="381" t="str">
        <f t="shared" si="5"/>
        <v>我会绞尽脑汁避免额外劳动。</v>
      </c>
      <c r="AO17" s="381" t="str">
        <f t="shared" si="5"/>
        <v>一旦有人质疑我的勇气，我就什么都敢干。</v>
      </c>
      <c r="AP17" s="381" t="str">
        <f t="shared" si="5"/>
        <v>我一旦开始喝酒，就根本停不下来。</v>
      </c>
      <c r="AQ17" s="381" t="str">
        <f t="shared" si="5"/>
        <v>我会忍不住收集遇到的各种硬币或小饰品等玩意儿。</v>
      </c>
      <c r="AR17" s="381" t="str">
        <f t="shared" si="5"/>
        <v>我的骄傲可能会毁了自己。</v>
      </c>
      <c r="AS17" s="382" t="str">
        <f t="shared" si="5"/>
        <v>我曾被海盗强抓壮丁上船，被迫干活，直到最后逃了出来。</v>
      </c>
      <c r="AT17" s="382" t="str">
        <f t="shared" si="5"/>
        <v>我想要见识世界，所以签约成为一艘商船的下级水手。</v>
      </c>
      <c r="AU17" s="382" t="str">
        <f t="shared" si="5"/>
        <v>我有一个亲戚是水手，他把我带到了海上。</v>
      </c>
      <c r="AV17" s="382" t="str">
        <f t="shared" si="5"/>
        <v>我需要尽快离开目前的社群，所以我偷偷溜上了一艘船，等到船员们发现了我，我不得不在船上工作为自己的偷渡买单。</v>
      </c>
      <c r="AW17" s="382" t="str">
        <f t="shared" si="5"/>
        <v>掠夺者们袭击了我的社群，我隐姓埋名地在一艘船上避风头，等待复仇的机会。</v>
      </c>
      <c r="AX17" s="382" t="str">
        <f t="shared" si="5"/>
        <v>在之前居住的地方我没什么前景，所以离开那里去别处寻找财富。</v>
      </c>
      <c r="AY17" s="180"/>
      <c r="AZ17" s="285"/>
      <c r="BA17" s="285"/>
      <c r="BB17" s="285"/>
      <c r="BC17" s="285"/>
      <c r="BD17" s="285"/>
      <c r="BE17" s="285"/>
      <c r="BF17" s="285"/>
      <c r="BG17" s="285"/>
      <c r="BH17" s="285"/>
      <c r="BI17" s="285"/>
      <c r="BJ17" s="285"/>
      <c r="BK17" s="285"/>
      <c r="BL17" s="285"/>
      <c r="BM17" s="285"/>
      <c r="BN17" s="285"/>
      <c r="BO17" s="285"/>
      <c r="BP17" s="285"/>
      <c r="BQ17" s="285"/>
      <c r="BR17" s="285"/>
      <c r="BS17" s="383"/>
    </row>
    <row r="18" spans="1:71" ht="14.4" customHeight="1" x14ac:dyDescent="0.25">
      <c r="A18" s="393" t="str">
        <f t="shared" si="4"/>
        <v/>
      </c>
      <c r="B18" s="352" t="str">
        <f t="array" ref="B18">INDEX(A:A,SMALL(IF($A$13:$A$22&lt;&gt;"",ROW($13:$22),23),ROW(A6)))&amp;""</f>
        <v/>
      </c>
      <c r="D18" s="376" t="s">
        <v>4651</v>
      </c>
      <c r="E18" s="118" t="str">
        <f t="array" ref="E18">INDEX(K:K,SMALL(IF($K$2:$K$59&lt;&gt;"",ROW($2:$59),60),ROW(K17)))&amp;""</f>
        <v>士兵</v>
      </c>
      <c r="F18" s="1063"/>
      <c r="G18" s="180" t="str">
        <f>IFERROR(INDEX($S$2:$Z$60,$H$1,7),"")</f>
        <v/>
      </c>
      <c r="H18" s="198" t="e">
        <f t="array" ref="H18">INDEX(G:G,SMALL(IF($G$12:$G$31&lt;&gt;"",ROW($12:$31),32),ROW(H7)))&amp;""</f>
        <v>#N/A</v>
      </c>
      <c r="I18" s="1057"/>
      <c r="J18" s="198" t="str">
        <f>IFERROR(INDEX($AA$62:$AF$74,$J$1,5),"")</f>
        <v/>
      </c>
      <c r="K18" s="377" t="s">
        <v>4652</v>
      </c>
      <c r="L18" s="119">
        <v>17</v>
      </c>
      <c r="M18" s="119" t="s">
        <v>4653</v>
      </c>
      <c r="N18" s="119" t="s">
        <v>4654</v>
      </c>
      <c r="O18" s="180"/>
      <c r="P18" s="283" t="s">
        <v>4655</v>
      </c>
      <c r="Q18" s="283" t="s">
        <v>4656</v>
      </c>
      <c r="R18" s="119"/>
      <c r="S18" s="378" t="s">
        <v>4657</v>
      </c>
      <c r="T18" s="378" t="s">
        <v>4658</v>
      </c>
      <c r="U18" s="378" t="s">
        <v>4659</v>
      </c>
      <c r="V18" s="378" t="s">
        <v>4660</v>
      </c>
      <c r="W18" s="378" t="s">
        <v>4661</v>
      </c>
      <c r="X18" s="378" t="s">
        <v>4662</v>
      </c>
      <c r="Y18" s="378" t="s">
        <v>4663</v>
      </c>
      <c r="Z18" s="378" t="s">
        <v>4664</v>
      </c>
      <c r="AA18" s="290" t="s">
        <v>4665</v>
      </c>
      <c r="AB18" s="290" t="s">
        <v>4666</v>
      </c>
      <c r="AC18" s="290" t="s">
        <v>4667</v>
      </c>
      <c r="AD18" s="290" t="s">
        <v>4668</v>
      </c>
      <c r="AE18" s="379" t="s">
        <v>4669</v>
      </c>
      <c r="AF18" s="290" t="s">
        <v>4670</v>
      </c>
      <c r="AG18" s="380" t="s">
        <v>4671</v>
      </c>
      <c r="AH18" s="380" t="s">
        <v>4672</v>
      </c>
      <c r="AI18" s="380" t="s">
        <v>4673</v>
      </c>
      <c r="AJ18" s="380" t="s">
        <v>4674</v>
      </c>
      <c r="AK18" s="380" t="s">
        <v>4675</v>
      </c>
      <c r="AL18" s="380" t="s">
        <v>4676</v>
      </c>
      <c r="AM18" s="381" t="s">
        <v>4677</v>
      </c>
      <c r="AN18" s="381" t="s">
        <v>4678</v>
      </c>
      <c r="AO18" s="381" t="s">
        <v>4679</v>
      </c>
      <c r="AP18" s="381" t="s">
        <v>4680</v>
      </c>
      <c r="AQ18" s="381" t="s">
        <v>4681</v>
      </c>
      <c r="AR18" s="381" t="s">
        <v>4682</v>
      </c>
      <c r="AS18" s="382" t="s">
        <v>4683</v>
      </c>
      <c r="AT18" s="382" t="s">
        <v>4684</v>
      </c>
      <c r="AU18" s="382" t="s">
        <v>4685</v>
      </c>
      <c r="AV18" s="382" t="s">
        <v>4686</v>
      </c>
      <c r="AW18" s="382" t="s">
        <v>4687</v>
      </c>
      <c r="AX18" s="382" t="s">
        <v>4688</v>
      </c>
      <c r="AY18" s="119" t="s">
        <v>4689</v>
      </c>
      <c r="AZ18" s="283" t="s">
        <v>4690</v>
      </c>
      <c r="BA18" s="283" t="s">
        <v>4691</v>
      </c>
      <c r="BB18" s="283" t="s">
        <v>4692</v>
      </c>
      <c r="BC18" s="283" t="s">
        <v>2486</v>
      </c>
      <c r="BD18" s="283" t="s">
        <v>4693</v>
      </c>
      <c r="BE18" s="283" t="s">
        <v>4694</v>
      </c>
      <c r="BF18" s="283" t="s">
        <v>4695</v>
      </c>
      <c r="BG18" s="283" t="s">
        <v>4696</v>
      </c>
      <c r="BH18" s="285"/>
      <c r="BI18" s="285"/>
      <c r="BJ18" s="285"/>
      <c r="BK18" s="285"/>
      <c r="BL18" s="285"/>
      <c r="BM18" s="285"/>
      <c r="BN18" s="285"/>
      <c r="BO18" s="285"/>
      <c r="BP18" s="285"/>
      <c r="BQ18" s="285"/>
      <c r="BR18" s="285"/>
      <c r="BS18" s="383"/>
    </row>
    <row r="19" spans="1:71" ht="14.4" customHeight="1" x14ac:dyDescent="0.25">
      <c r="A19" s="393" t="str">
        <f t="shared" si="4"/>
        <v/>
      </c>
      <c r="B19" s="352" t="str">
        <f t="array" ref="B19">INDEX(A:A,SMALL(IF($A$13:$A$22&lt;&gt;"",ROW($13:$22),23),ROW(A7)))&amp;""</f>
        <v/>
      </c>
      <c r="D19" s="394" t="s">
        <v>4697</v>
      </c>
      <c r="E19" s="118" t="str">
        <f t="array" ref="E19">INDEX(K:K,SMALL(IF($K$2:$K$59&lt;&gt;"",ROW($2:$59),60),ROW(K18)))&amp;""</f>
        <v>流浪儿</v>
      </c>
      <c r="F19" s="1063"/>
      <c r="G19" s="180" t="str">
        <f>IFERROR(INDEX($S$2:$Z$60,$H$1,8),"")</f>
        <v/>
      </c>
      <c r="H19" s="198" t="e">
        <f t="array" ref="H19">INDEX(G:G,SMALL(IF($G$12:$G$31&lt;&gt;"",ROW($12:$31),32),ROW(H8)))&amp;""</f>
        <v>#N/A</v>
      </c>
      <c r="I19" s="1057"/>
      <c r="J19" s="198" t="str">
        <f>IFERROR(INDEX($AA$62:$AF$74,$J$1,6),"")</f>
        <v/>
      </c>
      <c r="K19" s="377" t="s">
        <v>4698</v>
      </c>
      <c r="L19" s="119">
        <v>18</v>
      </c>
      <c r="M19" s="119" t="s">
        <v>4699</v>
      </c>
      <c r="N19" s="119" t="s">
        <v>4700</v>
      </c>
      <c r="O19" s="180"/>
      <c r="P19" s="283" t="s">
        <v>4701</v>
      </c>
      <c r="Q19" s="283" t="s">
        <v>4702</v>
      </c>
      <c r="R19" s="119"/>
      <c r="S19" s="378" t="s">
        <v>4703</v>
      </c>
      <c r="T19" s="378" t="s">
        <v>4704</v>
      </c>
      <c r="U19" s="378" t="s">
        <v>4705</v>
      </c>
      <c r="V19" s="378" t="s">
        <v>4706</v>
      </c>
      <c r="W19" s="378" t="s">
        <v>4707</v>
      </c>
      <c r="X19" s="378" t="s">
        <v>4708</v>
      </c>
      <c r="Y19" s="378" t="s">
        <v>4709</v>
      </c>
      <c r="Z19" s="378" t="s">
        <v>4710</v>
      </c>
      <c r="AA19" s="290" t="s">
        <v>4711</v>
      </c>
      <c r="AB19" s="290" t="s">
        <v>4712</v>
      </c>
      <c r="AC19" s="290" t="s">
        <v>4713</v>
      </c>
      <c r="AD19" s="290" t="s">
        <v>4714</v>
      </c>
      <c r="AE19" s="379" t="s">
        <v>4715</v>
      </c>
      <c r="AF19" s="290" t="s">
        <v>4716</v>
      </c>
      <c r="AG19" s="380" t="s">
        <v>4717</v>
      </c>
      <c r="AH19" s="380" t="s">
        <v>4718</v>
      </c>
      <c r="AI19" s="380" t="s">
        <v>4719</v>
      </c>
      <c r="AJ19" s="380" t="s">
        <v>4720</v>
      </c>
      <c r="AK19" s="380" t="s">
        <v>4721</v>
      </c>
      <c r="AL19" s="380" t="s">
        <v>4722</v>
      </c>
      <c r="AM19" s="381" t="s">
        <v>4723</v>
      </c>
      <c r="AN19" s="381" t="s">
        <v>4724</v>
      </c>
      <c r="AO19" s="381" t="s">
        <v>4725</v>
      </c>
      <c r="AP19" s="381" t="s">
        <v>4726</v>
      </c>
      <c r="AQ19" s="381" t="s">
        <v>4727</v>
      </c>
      <c r="AR19" s="381" t="s">
        <v>4728</v>
      </c>
      <c r="AS19" s="382" t="s">
        <v>4729</v>
      </c>
      <c r="AT19" s="382" t="s">
        <v>4730</v>
      </c>
      <c r="AU19" s="382" t="s">
        <v>4731</v>
      </c>
      <c r="AV19" s="382" t="s">
        <v>4732</v>
      </c>
      <c r="AW19" s="382" t="s">
        <v>4733</v>
      </c>
      <c r="AX19" s="382" t="s">
        <v>4734</v>
      </c>
      <c r="AY19" s="180"/>
      <c r="AZ19" s="285"/>
      <c r="BA19" s="285"/>
      <c r="BB19" s="285"/>
      <c r="BC19" s="285"/>
      <c r="BD19" s="285"/>
      <c r="BE19" s="285"/>
      <c r="BF19" s="285"/>
      <c r="BG19" s="285"/>
      <c r="BH19" s="285"/>
      <c r="BI19" s="285"/>
      <c r="BJ19" s="285"/>
      <c r="BK19" s="285"/>
      <c r="BL19" s="285"/>
      <c r="BM19" s="285"/>
      <c r="BN19" s="285"/>
      <c r="BO19" s="285"/>
      <c r="BP19" s="285"/>
      <c r="BQ19" s="285"/>
      <c r="BR19" s="285"/>
      <c r="BS19" s="383"/>
    </row>
    <row r="20" spans="1:71" ht="14.4" customHeight="1" x14ac:dyDescent="0.25">
      <c r="A20" s="393" t="str">
        <f t="shared" si="4"/>
        <v/>
      </c>
      <c r="B20" s="352" t="str">
        <f t="array" ref="B20">INDEX(A:A,SMALL(IF($A$13:$A$22&lt;&gt;"",ROW($13:$22),23),ROW(A8)))&amp;""</f>
        <v/>
      </c>
      <c r="D20" s="394" t="s">
        <v>4735</v>
      </c>
      <c r="E20" s="118" t="str">
        <f t="array" ref="E20">INDEX(K:K,SMALL(IF($K$2:$K$59&lt;&gt;"",ROW($2:$59),60),ROW(K19)))&amp;""</f>
        <v>城市守卫</v>
      </c>
      <c r="F20" s="1063"/>
      <c r="G20" s="395" t="e">
        <f>IF(AND(综合数据!B15=TRUE,H1&gt;0),"我相信曾经的一次邂逅让我对超自然的事物产生一种特殊的亲和力。","")</f>
        <v>#N/A</v>
      </c>
      <c r="H20" s="198" t="e">
        <f t="array" ref="H20">INDEX(G:G,SMALL(IF($G$12:$G$31&lt;&gt;"",ROW($12:$31),32),ROW(H9)))&amp;""</f>
        <v>#N/A</v>
      </c>
      <c r="I20" s="1057">
        <f>IFERROR(INDEX(AG62:AG74,J1,1),0)</f>
        <v>0</v>
      </c>
      <c r="J20" s="198" t="str">
        <f>IFERROR(INDEX($AH$62:$AM$74,$J$1,1),"")</f>
        <v/>
      </c>
      <c r="K20" s="396" t="str">
        <f>IF(综合数据!B5=TRUE,"城市守卫","")</f>
        <v>城市守卫</v>
      </c>
      <c r="L20" s="194">
        <v>19</v>
      </c>
      <c r="M20" s="132" t="s">
        <v>4736</v>
      </c>
      <c r="N20" s="132"/>
      <c r="O20" s="119" t="s">
        <v>4116</v>
      </c>
      <c r="P20" s="194" t="s">
        <v>4737</v>
      </c>
      <c r="Q20" s="194" t="s">
        <v>4738</v>
      </c>
      <c r="R20" s="132"/>
      <c r="S20" s="378" t="str">
        <f t="shared" ref="S20:AX20" si="6">S18</f>
        <v>我总是表现的恭敬有礼。</v>
      </c>
      <c r="T20" s="378" t="str">
        <f t="shared" si="6"/>
        <v>我的心中总是萦绕着战争时的记忆，那些残暴的画面总是挥之不去。</v>
      </c>
      <c r="U20" s="378" t="str">
        <f t="shared" si="6"/>
        <v>我曾失去太多的朋友，而现在已经很难交个新的朋友了。</v>
      </c>
      <c r="V20" s="378" t="str">
        <f t="shared" si="6"/>
        <v>我的军事生涯曾经历过各种情况，所以我能以此讲出许多鼓舞人心而又发人深省的故事。</v>
      </c>
      <c r="W20" s="378" t="str">
        <f t="shared" si="6"/>
        <v>我能盯着一只地狱犬看而毫不畏缩。</v>
      </c>
      <c r="X20" s="378" t="str">
        <f t="shared" si="6"/>
        <v>我喜欢强壮的感觉并且乐于打坏东西。</v>
      </c>
      <c r="Y20" s="378" t="str">
        <f t="shared" si="6"/>
        <v>我有着粗俗的幽默感。</v>
      </c>
      <c r="Z20" s="378" t="str">
        <f t="shared" si="6"/>
        <v>我迎难而上直面问题。一个简单直接的解决方案是通往成功的最佳路径。</v>
      </c>
      <c r="AA20" s="290" t="str">
        <f t="shared" si="6"/>
        <v>大义：我们的使命即是为保卫他人而献出自己的生命。</v>
      </c>
      <c r="AB20" s="290" t="str">
        <f t="shared" si="6"/>
        <v>责任：我服从权力，并且只做必须做的事。</v>
      </c>
      <c r="AC20" s="290" t="str">
        <f t="shared" si="6"/>
        <v>独立：盲目的服从命令，某种意义上就相当于接受暴君统治。</v>
      </c>
      <c r="AD20" s="290" t="str">
        <f t="shared" si="6"/>
        <v>力量：生活与战争一样，只有更强大的一方才能获胜。</v>
      </c>
      <c r="AE20" s="379" t="str">
        <f t="shared" si="6"/>
        <v>自持自重：不该以理想之名行杀戮之事，或是以其名义发动战争。</v>
      </c>
      <c r="AF20" s="290" t="str">
        <f t="shared" si="6"/>
        <v>国家：我的城市、国家和人民是最重要的事。</v>
      </c>
      <c r="AG20" s="380" t="str">
        <f t="shared" si="6"/>
        <v>我依然会以性命保护曾一起共事之人。</v>
      </c>
      <c r="AH20" s="380" t="str">
        <f t="shared" si="6"/>
        <v>有人在战场上救过我的命。因而现在我也不会丢下任何一个朋友。</v>
      </c>
      <c r="AI20" s="380" t="str">
        <f t="shared" si="6"/>
        <v>荣誉即吾命。</v>
      </c>
      <c r="AJ20" s="380" t="str">
        <f t="shared" si="6"/>
        <v>我永远不会忘记队伍曾遭受到的惨败，以及当时的敌人。</v>
      </c>
      <c r="AK20" s="380" t="str">
        <f t="shared" si="6"/>
        <v>那些与我同袍的人值得为之豁出性命。</v>
      </c>
      <c r="AL20" s="380" t="str">
        <f t="shared" si="6"/>
        <v>我为那些无法为他们自己战斗的人而战。</v>
      </c>
      <c r="AM20" s="381" t="str">
        <f t="shared" si="6"/>
        <v>我们曾在战场上面对的凶暴的敌人依然会令我恐惧的发抖。</v>
      </c>
      <c r="AN20" s="381" t="str">
        <f t="shared" si="6"/>
        <v>除那些久经沙场的武士外，任何人都不值得我尊重。</v>
      </c>
      <c r="AO20" s="381" t="str">
        <f t="shared" si="6"/>
        <v>我曾在战场上犯了一个严重的错并为此伤害了许多生命——而我为了能守住这个秘密愿意做任何事。</v>
      </c>
      <c r="AP20" s="381" t="str">
        <f t="shared" si="6"/>
        <v>我对敌人的仇恨盲目而缺乏理性。</v>
      </c>
      <c r="AQ20" s="381" t="str">
        <f t="shared" si="6"/>
        <v>我遵从法律，而不管其律条是否会招致不幸。</v>
      </c>
      <c r="AR20" s="381" t="str">
        <f t="shared" si="6"/>
        <v>我在犯错时宁可吞掉自己的护甲也不愿承认。</v>
      </c>
      <c r="AS20" s="382" t="str">
        <f t="shared" si="6"/>
        <v>我加入了民兵队，抵御怪物，保护我的社群</v>
      </c>
      <c r="AT20" s="382" t="str">
        <f t="shared" si="6"/>
        <v>我家有亲人是士兵，我希望继承这个传统。</v>
      </c>
      <c r="AU20" s="382" t="str">
        <f t="shared" si="6"/>
        <v>我被本地领主强征入伍。</v>
      </c>
      <c r="AV20" s="382" t="str">
        <f t="shared" si="6"/>
        <v>在我成长的过程中，故乡一直战火纷飞，满目疮痍。战斗是我唯一所知的生活方式。</v>
      </c>
      <c r="AW20" s="382" t="str">
        <f t="shared" si="6"/>
        <v>我想要出名和发财，所以加入了一伙雇佣兵集团，为出开价最高的人战斗。</v>
      </c>
      <c r="AX20" s="382" t="str">
        <f t="shared" si="6"/>
        <v>侵略者袭击了我的家乡，拿起武器保卫人民是我的使命。</v>
      </c>
      <c r="AY20" s="180"/>
      <c r="AZ20" s="285"/>
      <c r="BA20" s="285"/>
      <c r="BB20" s="285"/>
      <c r="BC20" s="285"/>
      <c r="BD20" s="285"/>
      <c r="BE20" s="285"/>
      <c r="BF20" s="285"/>
      <c r="BG20" s="285"/>
      <c r="BH20" s="285"/>
      <c r="BI20" s="285"/>
      <c r="BJ20" s="285"/>
      <c r="BK20" s="285"/>
      <c r="BL20" s="285"/>
      <c r="BM20" s="285"/>
      <c r="BN20" s="285"/>
      <c r="BO20" s="285"/>
      <c r="BP20" s="285"/>
      <c r="BQ20" s="285"/>
      <c r="BR20" s="285"/>
      <c r="BS20" s="383"/>
    </row>
    <row r="21" spans="1:71" ht="14.4" customHeight="1" x14ac:dyDescent="0.25">
      <c r="A21" s="393" t="str">
        <f t="shared" si="4"/>
        <v/>
      </c>
      <c r="B21" s="352" t="str">
        <f t="array" ref="B21">INDEX(A:A,SMALL(IF($A$13:$A$22&lt;&gt;"",ROW($13:$22),23),ROW(A9)))&amp;""</f>
        <v/>
      </c>
      <c r="D21" s="394" t="s">
        <v>4739</v>
      </c>
      <c r="E21" s="118" t="str">
        <f t="array" ref="E21">INDEX(K:K,SMALL(IF($K$2:$K$59&lt;&gt;"",ROW($2:$59),60),ROW(K20)))&amp;""</f>
        <v>调查员</v>
      </c>
      <c r="F21" s="1063"/>
      <c r="G21" s="395" t="e">
        <f>IF(AND(综合数据!B15=TRUE,H1&gt;0),"我用一件标志性的衣物或武器来表明自己的身份","")</f>
        <v>#N/A</v>
      </c>
      <c r="H21" s="198" t="e">
        <f t="array" ref="H21">INDEX(G:G,SMALL(IF($G$12:$G$31&lt;&gt;"",ROW($12:$31),32),ROW(H10)))&amp;""</f>
        <v>#N/A</v>
      </c>
      <c r="I21" s="1057"/>
      <c r="J21" s="198" t="str">
        <f>IFERROR(INDEX($AH$62:$AM$74,$J$1,2),"")</f>
        <v/>
      </c>
      <c r="K21" s="396" t="str">
        <f>IF(综合数据!B5=TRUE,"调查员","")</f>
        <v>调查员</v>
      </c>
      <c r="L21" s="194">
        <v>20</v>
      </c>
      <c r="M21" s="132" t="s">
        <v>4740</v>
      </c>
      <c r="N21" s="132"/>
      <c r="O21" s="132" t="str">
        <f>O20</f>
        <v>任选两门语言</v>
      </c>
      <c r="P21" s="194" t="str">
        <f>P20</f>
        <v>守护者之眼</v>
      </c>
      <c r="Q21" s="194" t="str">
        <f>Q20</f>
        <v>你对执行法律、处理犯法者有着丰富的经验，这给了你对法律和犯罪异常敏感的感觉。你能很容易的找到守卫的哨站或是一些类似的组织，也能轻易的发现犯罪者们活动的窝点，同时你也在前者更容易受到欢迎。</v>
      </c>
      <c r="R21" s="132"/>
      <c r="S21" s="378" t="str">
        <f t="shared" ref="S21:AX21" si="7">S20</f>
        <v>我总是表现的恭敬有礼。</v>
      </c>
      <c r="T21" s="378" t="str">
        <f t="shared" si="7"/>
        <v>我的心中总是萦绕着战争时的记忆，那些残暴的画面总是挥之不去。</v>
      </c>
      <c r="U21" s="378" t="str">
        <f t="shared" si="7"/>
        <v>我曾失去太多的朋友，而现在已经很难交个新的朋友了。</v>
      </c>
      <c r="V21" s="378" t="str">
        <f t="shared" si="7"/>
        <v>我的军事生涯曾经历过各种情况，所以我能以此讲出许多鼓舞人心而又发人深省的故事。</v>
      </c>
      <c r="W21" s="378" t="str">
        <f t="shared" si="7"/>
        <v>我能盯着一只地狱犬看而毫不畏缩。</v>
      </c>
      <c r="X21" s="378" t="str">
        <f t="shared" si="7"/>
        <v>我喜欢强壮的感觉并且乐于打坏东西。</v>
      </c>
      <c r="Y21" s="378" t="str">
        <f t="shared" si="7"/>
        <v>我有着粗俗的幽默感。</v>
      </c>
      <c r="Z21" s="378" t="str">
        <f t="shared" si="7"/>
        <v>我迎难而上直面问题。一个简单直接的解决方案是通往成功的最佳路径。</v>
      </c>
      <c r="AA21" s="290" t="str">
        <f t="shared" si="7"/>
        <v>大义：我们的使命即是为保卫他人而献出自己的生命。</v>
      </c>
      <c r="AB21" s="290" t="str">
        <f t="shared" si="7"/>
        <v>责任：我服从权力，并且只做必须做的事。</v>
      </c>
      <c r="AC21" s="290" t="str">
        <f t="shared" si="7"/>
        <v>独立：盲目的服从命令，某种意义上就相当于接受暴君统治。</v>
      </c>
      <c r="AD21" s="290" t="str">
        <f t="shared" si="7"/>
        <v>力量：生活与战争一样，只有更强大的一方才能获胜。</v>
      </c>
      <c r="AE21" s="379" t="str">
        <f t="shared" si="7"/>
        <v>自持自重：不该以理想之名行杀戮之事，或是以其名义发动战争。</v>
      </c>
      <c r="AF21" s="290" t="str">
        <f t="shared" si="7"/>
        <v>国家：我的城市、国家和人民是最重要的事。</v>
      </c>
      <c r="AG21" s="380" t="str">
        <f t="shared" si="7"/>
        <v>我依然会以性命保护曾一起共事之人。</v>
      </c>
      <c r="AH21" s="380" t="str">
        <f t="shared" si="7"/>
        <v>有人在战场上救过我的命。因而现在我也不会丢下任何一个朋友。</v>
      </c>
      <c r="AI21" s="380" t="str">
        <f t="shared" si="7"/>
        <v>荣誉即吾命。</v>
      </c>
      <c r="AJ21" s="380" t="str">
        <f t="shared" si="7"/>
        <v>我永远不会忘记队伍曾遭受到的惨败，以及当时的敌人。</v>
      </c>
      <c r="AK21" s="380" t="str">
        <f t="shared" si="7"/>
        <v>那些与我同袍的人值得为之豁出性命。</v>
      </c>
      <c r="AL21" s="380" t="str">
        <f t="shared" si="7"/>
        <v>我为那些无法为他们自己战斗的人而战。</v>
      </c>
      <c r="AM21" s="381" t="str">
        <f t="shared" si="7"/>
        <v>我们曾在战场上面对的凶暴的敌人依然会令我恐惧的发抖。</v>
      </c>
      <c r="AN21" s="381" t="str">
        <f t="shared" si="7"/>
        <v>除那些久经沙场的武士外，任何人都不值得我尊重。</v>
      </c>
      <c r="AO21" s="381" t="str">
        <f t="shared" si="7"/>
        <v>我曾在战场上犯了一个严重的错并为此伤害了许多生命——而我为了能守住这个秘密愿意做任何事。</v>
      </c>
      <c r="AP21" s="381" t="str">
        <f t="shared" si="7"/>
        <v>我对敌人的仇恨盲目而缺乏理性。</v>
      </c>
      <c r="AQ21" s="381" t="str">
        <f t="shared" si="7"/>
        <v>我遵从法律，而不管其律条是否会招致不幸。</v>
      </c>
      <c r="AR21" s="381" t="str">
        <f t="shared" si="7"/>
        <v>我在犯错时宁可吞掉自己的护甲也不愿承认。</v>
      </c>
      <c r="AS21" s="382" t="str">
        <f t="shared" si="7"/>
        <v>我加入了民兵队，抵御怪物，保护我的社群</v>
      </c>
      <c r="AT21" s="382" t="str">
        <f t="shared" si="7"/>
        <v>我家有亲人是士兵，我希望继承这个传统。</v>
      </c>
      <c r="AU21" s="382" t="str">
        <f t="shared" si="7"/>
        <v>我被本地领主强征入伍。</v>
      </c>
      <c r="AV21" s="382" t="str">
        <f t="shared" si="7"/>
        <v>在我成长的过程中，故乡一直战火纷飞，满目疮痍。战斗是我唯一所知的生活方式。</v>
      </c>
      <c r="AW21" s="382" t="str">
        <f t="shared" si="7"/>
        <v>我想要出名和发财，所以加入了一伙雇佣兵集团，为出开价最高的人战斗。</v>
      </c>
      <c r="AX21" s="382" t="str">
        <f t="shared" si="7"/>
        <v>侵略者袭击了我的家乡，拿起武器保卫人民是我的使命。</v>
      </c>
      <c r="AY21" s="180"/>
      <c r="AZ21" s="285"/>
      <c r="BA21" s="285"/>
      <c r="BB21" s="285"/>
      <c r="BC21" s="285"/>
      <c r="BD21" s="285"/>
      <c r="BE21" s="285"/>
      <c r="BF21" s="285"/>
      <c r="BG21" s="285"/>
      <c r="BH21" s="285"/>
      <c r="BI21" s="285"/>
      <c r="BJ21" s="285"/>
      <c r="BK21" s="285"/>
      <c r="BL21" s="285"/>
      <c r="BM21" s="285"/>
      <c r="BN21" s="285"/>
      <c r="BO21" s="285"/>
      <c r="BP21" s="285"/>
      <c r="BQ21" s="285"/>
      <c r="BR21" s="285"/>
      <c r="BS21" s="383"/>
    </row>
    <row r="22" spans="1:71" ht="14.4" customHeight="1" x14ac:dyDescent="0.25">
      <c r="A22" s="397" t="str">
        <f>IFERROR(IF(COUNTIF($A$25:$A$29,F11),"",F11),"")</f>
        <v/>
      </c>
      <c r="B22" s="398" t="str">
        <f t="array" ref="B22">INDEX(A:A,SMALL(IF($A$13:$A$22&lt;&gt;"",ROW($13:$22),23),ROW(A10)))&amp;""</f>
        <v/>
      </c>
      <c r="D22" s="394" t="s">
        <v>4741</v>
      </c>
      <c r="E22" s="118" t="str">
        <f t="array" ref="E22">INDEX(K:K,SMALL(IF($K$2:$K$59&lt;&gt;"",ROW($2:$59),60),ROW(K21)))&amp;""</f>
        <v>宗族工匠</v>
      </c>
      <c r="F22" s="1063"/>
      <c r="G22" s="395" t="e">
        <f>IF(AND(综合数据!B15=TRUE,H1&gt;0),"我拒绝接受任何我无法驾驭的事情。","")</f>
        <v>#N/A</v>
      </c>
      <c r="H22" s="198" t="e">
        <f t="array" ref="H22">INDEX(G:G,SMALL(IF($G$12:$G$31&lt;&gt;"",ROW($12:$31),32),ROW(H11)))&amp;""</f>
        <v>#N/A</v>
      </c>
      <c r="I22" s="1057"/>
      <c r="J22" s="198" t="str">
        <f>IFERROR(INDEX($AH$62:$AM$74,$J$1,3),"")</f>
        <v/>
      </c>
      <c r="K22" s="396" t="str">
        <f>IF(综合数据!B5=TRUE,"宗族工匠","")</f>
        <v>宗族工匠</v>
      </c>
      <c r="L22" s="194">
        <v>21</v>
      </c>
      <c r="M22" s="132" t="s">
        <v>4742</v>
      </c>
      <c r="N22" s="119" t="s">
        <v>4364</v>
      </c>
      <c r="O22" s="132" t="s">
        <v>4743</v>
      </c>
      <c r="P22" s="194" t="s">
        <v>4744</v>
      </c>
      <c r="Q22" s="194" t="s">
        <v>4745</v>
      </c>
      <c r="R22" s="132"/>
      <c r="S22" s="378" t="str">
        <f t="shared" ref="S22:AX22" si="8">S9</f>
        <v>我确信能做的事就要做到最好。而我必须要做到最好——我是完美主义者。</v>
      </c>
      <c r="T22" s="378" t="str">
        <f t="shared" si="8"/>
        <v>我瞧不起那些不懂审美的家伙。</v>
      </c>
      <c r="U22" s="378" t="str">
        <f t="shared" si="8"/>
        <v>我总是想搞清楚事物如何运作，人们为何奔波。</v>
      </c>
      <c r="V22" s="378" t="str">
        <f t="shared" si="8"/>
        <v>我有一肚子格言警句，总是能恰到好处地掉书袋。</v>
      </c>
      <c r="W22" s="378" t="str">
        <f t="shared" si="8"/>
        <v>我对那些不像我那样努力工作、公平竞争的人并不会以礼相待。</v>
      </c>
      <c r="X22" s="378" t="str">
        <f t="shared" si="8"/>
        <v>我喜欢对我的行当高谈阔论。</v>
      </c>
      <c r="Y22" s="378" t="str">
        <f t="shared" si="8"/>
        <v>我不会轻易花钱，砍价也总是砍到最低。</v>
      </c>
      <c r="Z22" s="378" t="str">
        <f t="shared" si="8"/>
        <v>我在我这行鼎鼎有名，而我要确保所有人都认同这点。如果人们没听说过我，就会让我大吃一惊。</v>
      </c>
      <c r="AA22" s="290" t="str">
        <f t="shared" si="8"/>
        <v>团结：加强集体团结，保卫社区安全，是文明人应尽的义务。</v>
      </c>
      <c r="AB22" s="290" t="str">
        <f t="shared" si="8"/>
        <v>慷慨：既然我有天赋，我就要造福世界。</v>
      </c>
      <c r="AC22" s="290" t="str">
        <f t="shared" si="8"/>
        <v>自由：任何人都有选择营生方式的自由。</v>
      </c>
      <c r="AD22" s="290" t="str">
        <f t="shared" si="8"/>
        <v>贪婪：我干这行就只为钱。</v>
      </c>
      <c r="AE22" s="379" t="str">
        <f t="shared" si="8"/>
        <v>人民：我为我在乎的人奋斗，而不是为了什么理想。</v>
      </c>
      <c r="AF22" s="290" t="str">
        <f t="shared" si="8"/>
        <v>抱负：我努力钻研是为了成为本行中的翘楚。</v>
      </c>
      <c r="AG22" s="380" t="str">
        <f t="shared" si="8"/>
        <v>我学习技艺的厂房对我来说是世界上最重要的地方。</v>
      </c>
      <c r="AH22" s="380" t="str">
        <f t="shared" si="8"/>
        <v>我为某人造出了一件绝世珍品，却发现对方根本配不上它。而我仍在找配得上它的人。</v>
      </c>
      <c r="AI22" s="380" t="str">
        <f t="shared" si="8"/>
        <v>公会造就了今天的我，因此我仍欠公会良多。</v>
      </c>
      <c r="AJ22" s="380" t="str">
        <f t="shared" si="8"/>
        <v>我为了向某人求爱而攒钱。</v>
      </c>
      <c r="AK22" s="380" t="str">
        <f t="shared" si="8"/>
        <v>终有一天，我会回到公会，然后证明我是其中最厉害的工匠。</v>
      </c>
      <c r="AL22" s="380" t="str">
        <f t="shared" si="8"/>
        <v>我要向那个破坏我工坊，毁掉我生活的邪恶势力复仇。</v>
      </c>
      <c r="AM22" s="381" t="str">
        <f t="shared" si="8"/>
        <v>我会为了获得某些珍贵无价之物做任何事。</v>
      </c>
      <c r="AN22" s="381" t="str">
        <f t="shared" si="8"/>
        <v>我常常很急躁地认定某人正在骗我。</v>
      </c>
      <c r="AO22" s="381" t="str">
        <f t="shared" si="8"/>
        <v>应当没人知道我曾经从公会金库里偷过钱。</v>
      </c>
      <c r="AP22" s="381" t="str">
        <f t="shared" si="8"/>
        <v>我从未知足于自己所有之物，而总是欲壑难填。</v>
      </c>
      <c r="AQ22" s="381" t="str">
        <f t="shared" si="8"/>
        <v>我极度渴望贵族头衔。</v>
      </c>
      <c r="AR22" s="381" t="str">
        <f t="shared" si="8"/>
        <v>我妒忌任何手艺胜我一筹的人。而我无论走到哪里却都是对手环绕。</v>
      </c>
      <c r="AS22" s="382" t="str">
        <f t="shared" si="8"/>
        <v xml:space="preserve">我曾是一位大师的学徒，他教导了我行会生意。 </v>
      </c>
      <c r="AT22" s="382" t="str">
        <f t="shared" si="8"/>
        <v>我曾帮一名行会工匠保守秘密或者完成某个任务，作为回报，他收我为徒。</v>
      </c>
      <c r="AU22" s="382" t="str">
        <f t="shared" si="8"/>
        <v>我家族里有一个人是行会成员，他为我谋了个位置。</v>
      </c>
      <c r="AV22" s="382" t="str">
        <f t="shared" si="8"/>
        <v>我的手艺很好，所以抓住机会学了一门生意。</v>
      </c>
      <c r="AW22" s="382" t="str">
        <f t="shared" si="8"/>
        <v>我想要离家独立，开始新的人生。</v>
      </c>
      <c r="AX22" s="382" t="str">
        <f t="shared" si="8"/>
        <v>我从一个导师那里学了些基础，但需要加入行会才能完成所有的训练。</v>
      </c>
      <c r="AY22" s="180"/>
      <c r="AZ22" s="285"/>
      <c r="BA22" s="285"/>
      <c r="BB22" s="285"/>
      <c r="BC22" s="285"/>
      <c r="BD22" s="285"/>
      <c r="BE22" s="285"/>
      <c r="BF22" s="285"/>
      <c r="BG22" s="285"/>
      <c r="BH22" s="285"/>
      <c r="BI22" s="285"/>
      <c r="BJ22" s="285"/>
      <c r="BK22" s="285"/>
      <c r="BL22" s="285"/>
      <c r="BM22" s="285"/>
      <c r="BN22" s="285"/>
      <c r="BO22" s="285"/>
      <c r="BP22" s="285"/>
      <c r="BQ22" s="285"/>
      <c r="BR22" s="285"/>
      <c r="BS22" s="383"/>
    </row>
    <row r="23" spans="1:71" ht="14.4" customHeight="1" x14ac:dyDescent="0.25">
      <c r="D23" s="394" t="s">
        <v>4746</v>
      </c>
      <c r="E23" s="118" t="str">
        <f t="array" ref="E23">INDEX(K:K,SMALL(IF($K$2:$K$59&lt;&gt;"",ROW($2:$59),60),ROW(K22)))&amp;""</f>
        <v>与世隔绝的学者</v>
      </c>
      <c r="F23" s="1063"/>
      <c r="G23" s="395" t="e">
        <f>IF(AND(综合数据!B15=TRUE,H1&gt;0),"我必须知道每一个答案，所有的秘密都要向我敞开。","")</f>
        <v>#N/A</v>
      </c>
      <c r="H23" s="198" t="e">
        <f t="array" ref="H23">INDEX(G:G,SMALL(IF($G$12:$G$31&lt;&gt;"",ROW($12:$31),32),ROW(H12)))&amp;""</f>
        <v>#N/A</v>
      </c>
      <c r="I23" s="1057"/>
      <c r="J23" s="198" t="str">
        <f>IFERROR(INDEX($AH$62:$AM$74,$J$1,4),"")</f>
        <v/>
      </c>
      <c r="K23" s="396" t="str">
        <f>IF(综合数据!B5=TRUE,"与世隔绝的学者","")</f>
        <v>与世隔绝的学者</v>
      </c>
      <c r="L23" s="194">
        <v>22</v>
      </c>
      <c r="M23" s="132" t="s">
        <v>4747</v>
      </c>
      <c r="N23" s="132"/>
      <c r="O23" s="119" t="s">
        <v>4116</v>
      </c>
      <c r="P23" s="194" t="s">
        <v>4748</v>
      </c>
      <c r="Q23" s="194" t="s">
        <v>4749</v>
      </c>
      <c r="R23" s="132"/>
      <c r="S23" s="378" t="str">
        <f t="shared" ref="S23:AX23" si="9">S15</f>
        <v>我会用一些让人觉得非常博学的长词。</v>
      </c>
      <c r="T23" s="378" t="str">
        <f t="shared" si="9"/>
        <v>我读过世上最大图书馆中的每一本书——或者我喜欢自夸我读过。</v>
      </c>
      <c r="U23" s="378" t="str">
        <f t="shared" si="9"/>
        <v>我习惯帮助那些不像我这么聪明的人，而我有耐心对其他人解释任何事和每件事。</v>
      </c>
      <c r="V23" s="378" t="str">
        <f t="shared" si="9"/>
        <v>没有什么能比一个有趣的谜团更令我欢心。</v>
      </c>
      <c r="W23" s="378" t="str">
        <f t="shared" si="9"/>
        <v>我作出自己的判断前，总会乐意倾听争论双方的论点。</v>
      </c>
      <c r="X23" s="378" t="str">
        <f t="shared" si="9"/>
        <v>我~跟~白痴们~讲话~时~会~放慢~语速，别~误会~我~是指~所有人~都是~白痴。</v>
      </c>
      <c r="Y23" s="378" t="str">
        <f t="shared" si="9"/>
        <v>我在社交场合尴尬得特别特别厉害。</v>
      </c>
      <c r="Z23" s="378" t="str">
        <f t="shared" si="9"/>
        <v>我确信人们始终在试着偷取我的秘密。</v>
      </c>
      <c r="AA23" s="290" t="str">
        <f t="shared" si="9"/>
        <v>知识：知识是通往力量和自我发展的必经之路。</v>
      </c>
      <c r="AB23" s="290" t="str">
        <f t="shared" si="9"/>
        <v>美丽：美丽的事物指引我们想着其所在的方向继续向前即是真实。</v>
      </c>
      <c r="AC23" s="290" t="str">
        <f t="shared" si="9"/>
        <v>逻辑：情绪绝不能蒙蔽逻辑思考。</v>
      </c>
      <c r="AD23" s="290" t="str">
        <f t="shared" si="9"/>
        <v>无拘无束：任何东西都不该束缚所有存在中潜在的无限可能。</v>
      </c>
      <c r="AE23" s="379" t="str">
        <f t="shared" si="9"/>
        <v>权力：知识是通往权力与统治的捷径。</v>
      </c>
      <c r="AF23" s="290" t="str">
        <f t="shared" si="9"/>
        <v>提升自我：终生学习为的正是让人变得更好。</v>
      </c>
      <c r="AG23" s="380" t="str">
        <f t="shared" si="9"/>
        <v>保护我的学生是我的责任。</v>
      </c>
      <c r="AH23" s="380" t="str">
        <f t="shared" si="9"/>
        <v>我有一份载有可怕秘密的远古文献，而它绝不能落入错误的人手中。</v>
      </c>
      <c r="AI23" s="380" t="str">
        <f t="shared" si="9"/>
        <v>我为保护一个图书馆，学院，抄写室或修道院而工作。</v>
      </c>
      <c r="AJ23" s="380" t="str">
        <f t="shared" si="9"/>
        <v>我一生的作品就是关于某项特定学识领域的一系列书典。</v>
      </c>
      <c r="AK23" s="380" t="str">
        <f t="shared" si="9"/>
        <v>我终生寻求某个特定问题的解答。</v>
      </c>
      <c r="AL23" s="380" t="str">
        <f t="shared" si="9"/>
        <v>我出卖了自己的灵魂以获得知识。并希望做一些大事将其赢回来。</v>
      </c>
      <c r="AM23" s="381" t="str">
        <f t="shared" si="9"/>
        <v>以知识许诺很容易打动我。</v>
      </c>
      <c r="AN23" s="381" t="str">
        <f t="shared" si="9"/>
        <v>一般人看到恶魔时会尖叫着逃跑，而我则会停下来对它作解剖和记录。</v>
      </c>
      <c r="AO23" s="381" t="str">
        <f t="shared" si="9"/>
        <v>揭示一项远古奥秘值得以一整个文明作代价。</v>
      </c>
      <c r="AP23" s="381" t="str">
        <f t="shared" si="9"/>
        <v>我总是拿出极度复杂的解决方案，却忽视了那些简单易行的方法。</v>
      </c>
      <c r="AQ23" s="381" t="str">
        <f t="shared" si="9"/>
        <v>我说话时未真正考虑过自己的措辞，因而老是冒犯到他人。</v>
      </c>
      <c r="AR23" s="381" t="str">
        <f t="shared" si="9"/>
        <v>我无法保守关乎自己或其它性命的秘密。</v>
      </c>
      <c r="AS23" s="382" t="str">
        <f t="shared" si="9"/>
        <v>我天性好奇，充满求知欲，所以我收拾东西去读大学，学习关于大千世界的更多东西。</v>
      </c>
      <c r="AT23" s="382" t="str">
        <f t="shared" si="9"/>
        <v>导师的教诲启发了我的心智，让我在这个研究领域看到了全新的可能性。</v>
      </c>
      <c r="AU23" s="382" t="str">
        <f t="shared" si="9"/>
        <v>我一直是个如饥似渴的书痴，自学了许多最感兴趣的领域的知识。</v>
      </c>
      <c r="AV23" s="382" t="str">
        <f t="shared" si="9"/>
        <v>我发现了一个古老的图书馆，熟读了在里面找到的文献，这唤起了我的渴望，使我迫切地想要学习更多知识。</v>
      </c>
      <c r="AW23" s="382" t="str">
        <f t="shared" si="9"/>
        <v>一位法师告诉我，我正在浪费自己的才华，我应该去接受教育，好让自己的天赋之才得以发挥，我被他打动了。</v>
      </c>
      <c r="AX23" s="382" t="str">
        <f t="shared" si="9"/>
        <v>我的父亲/母亲或者某位亲戚给了我基础教育，这激发了我求学的欲望，所以我离开家进一步深造。</v>
      </c>
      <c r="AY23" s="180"/>
      <c r="AZ23" s="285"/>
      <c r="BA23" s="285"/>
      <c r="BB23" s="285"/>
      <c r="BC23" s="285"/>
      <c r="BD23" s="285"/>
      <c r="BE23" s="285"/>
      <c r="BF23" s="285"/>
      <c r="BG23" s="285"/>
      <c r="BH23" s="285"/>
      <c r="BI23" s="285"/>
      <c r="BJ23" s="285"/>
      <c r="BK23" s="285"/>
      <c r="BL23" s="285"/>
      <c r="BM23" s="285"/>
      <c r="BN23" s="285"/>
      <c r="BO23" s="285"/>
      <c r="BP23" s="285"/>
      <c r="BQ23" s="285"/>
      <c r="BR23" s="285"/>
      <c r="BS23" s="383"/>
    </row>
    <row r="24" spans="1:71" ht="14.4" customHeight="1" x14ac:dyDescent="0.25">
      <c r="A24" s="1026" t="s">
        <v>435</v>
      </c>
      <c r="B24" s="1027"/>
      <c r="C24" s="1027"/>
      <c r="D24" s="394" t="s">
        <v>4750</v>
      </c>
      <c r="E24" s="118" t="str">
        <f t="array" ref="E24">INDEX(K:K,SMALL(IF($K$2:$K$59&lt;&gt;"",ROW($2:$59),60),ROW(K23)))&amp;""</f>
        <v>朝臣</v>
      </c>
      <c r="F24" s="1063"/>
      <c r="G24" s="395" t="e">
        <f>IF(AND(综合数据!B15=TRUE,H1&gt;0),"我只让身边的人知道我的实际能力，对其他人则留一手。","")</f>
        <v>#N/A</v>
      </c>
      <c r="H24" s="198" t="e">
        <f t="array" ref="H24">INDEX(G:G,SMALL(IF($G$12:$G$31&lt;&gt;"",ROW($12:$31),32),ROW(H13)))&amp;""</f>
        <v>#N/A</v>
      </c>
      <c r="I24" s="1057"/>
      <c r="J24" s="198" t="str">
        <f>IFERROR(INDEX($AH$62:$AM$74,$J$1,5),"")</f>
        <v/>
      </c>
      <c r="K24" s="396" t="str">
        <f>IF(综合数据!B5=TRUE,"朝臣","")</f>
        <v>朝臣</v>
      </c>
      <c r="L24" s="194">
        <v>23</v>
      </c>
      <c r="M24" s="132" t="s">
        <v>4363</v>
      </c>
      <c r="N24" s="132"/>
      <c r="O24" s="119" t="s">
        <v>4116</v>
      </c>
      <c r="P24" s="194" t="s">
        <v>4751</v>
      </c>
      <c r="Q24" s="194" t="s">
        <v>4752</v>
      </c>
      <c r="R24" s="132"/>
      <c r="S24" s="378" t="str">
        <f t="shared" ref="S24:AX24" si="10">S9</f>
        <v>我确信能做的事就要做到最好。而我必须要做到最好——我是完美主义者。</v>
      </c>
      <c r="T24" s="378" t="str">
        <f t="shared" si="10"/>
        <v>我瞧不起那些不懂审美的家伙。</v>
      </c>
      <c r="U24" s="378" t="str">
        <f t="shared" si="10"/>
        <v>我总是想搞清楚事物如何运作，人们为何奔波。</v>
      </c>
      <c r="V24" s="378" t="str">
        <f t="shared" si="10"/>
        <v>我有一肚子格言警句，总是能恰到好处地掉书袋。</v>
      </c>
      <c r="W24" s="378" t="str">
        <f t="shared" si="10"/>
        <v>我对那些不像我那样努力工作、公平竞争的人并不会以礼相待。</v>
      </c>
      <c r="X24" s="378" t="str">
        <f t="shared" si="10"/>
        <v>我喜欢对我的行当高谈阔论。</v>
      </c>
      <c r="Y24" s="378" t="str">
        <f t="shared" si="10"/>
        <v>我不会轻易花钱，砍价也总是砍到最低。</v>
      </c>
      <c r="Z24" s="378" t="str">
        <f t="shared" si="10"/>
        <v>我在我这行鼎鼎有名，而我要确保所有人都认同这点。如果人们没听说过我，就会让我大吃一惊。</v>
      </c>
      <c r="AA24" s="290" t="str">
        <f t="shared" si="10"/>
        <v>团结：加强集体团结，保卫社区安全，是文明人应尽的义务。</v>
      </c>
      <c r="AB24" s="290" t="str">
        <f t="shared" si="10"/>
        <v>慷慨：既然我有天赋，我就要造福世界。</v>
      </c>
      <c r="AC24" s="290" t="str">
        <f t="shared" si="10"/>
        <v>自由：任何人都有选择营生方式的自由。</v>
      </c>
      <c r="AD24" s="290" t="str">
        <f t="shared" si="10"/>
        <v>贪婪：我干这行就只为钱。</v>
      </c>
      <c r="AE24" s="379" t="str">
        <f t="shared" si="10"/>
        <v>人民：我为我在乎的人奋斗，而不是为了什么理想。</v>
      </c>
      <c r="AF24" s="290" t="str">
        <f t="shared" si="10"/>
        <v>抱负：我努力钻研是为了成为本行中的翘楚。</v>
      </c>
      <c r="AG24" s="380" t="str">
        <f t="shared" si="10"/>
        <v>我学习技艺的厂房对我来说是世界上最重要的地方。</v>
      </c>
      <c r="AH24" s="380" t="str">
        <f t="shared" si="10"/>
        <v>我为某人造出了一件绝世珍品，却发现对方根本配不上它。而我仍在找配得上它的人。</v>
      </c>
      <c r="AI24" s="380" t="str">
        <f t="shared" si="10"/>
        <v>公会造就了今天的我，因此我仍欠公会良多。</v>
      </c>
      <c r="AJ24" s="380" t="str">
        <f t="shared" si="10"/>
        <v>我为了向某人求爱而攒钱。</v>
      </c>
      <c r="AK24" s="380" t="str">
        <f t="shared" si="10"/>
        <v>终有一天，我会回到公会，然后证明我是其中最厉害的工匠。</v>
      </c>
      <c r="AL24" s="380" t="str">
        <f t="shared" si="10"/>
        <v>我要向那个破坏我工坊，毁掉我生活的邪恶势力复仇。</v>
      </c>
      <c r="AM24" s="381" t="str">
        <f t="shared" si="10"/>
        <v>我会为了获得某些珍贵无价之物做任何事。</v>
      </c>
      <c r="AN24" s="381" t="str">
        <f t="shared" si="10"/>
        <v>我常常很急躁地认定某人正在骗我。</v>
      </c>
      <c r="AO24" s="381" t="str">
        <f t="shared" si="10"/>
        <v>应当没人知道我曾经从公会金库里偷过钱。</v>
      </c>
      <c r="AP24" s="381" t="str">
        <f t="shared" si="10"/>
        <v>我从未知足于自己所有之物，而总是欲壑难填。</v>
      </c>
      <c r="AQ24" s="381" t="str">
        <f t="shared" si="10"/>
        <v>我极度渴望贵族头衔。</v>
      </c>
      <c r="AR24" s="381" t="str">
        <f t="shared" si="10"/>
        <v>我妒忌任何手艺胜我一筹的人。而我无论走到哪里却都是对手环绕。</v>
      </c>
      <c r="AS24" s="382" t="str">
        <f t="shared" si="10"/>
        <v xml:space="preserve">我曾是一位大师的学徒，他教导了我行会生意。 </v>
      </c>
      <c r="AT24" s="382" t="str">
        <f t="shared" si="10"/>
        <v>我曾帮一名行会工匠保守秘密或者完成某个任务，作为回报，他收我为徒。</v>
      </c>
      <c r="AU24" s="382" t="str">
        <f t="shared" si="10"/>
        <v>我家族里有一个人是行会成员，他为我谋了个位置。</v>
      </c>
      <c r="AV24" s="382" t="str">
        <f t="shared" si="10"/>
        <v>我的手艺很好，所以抓住机会学了一门生意。</v>
      </c>
      <c r="AW24" s="382" t="str">
        <f t="shared" si="10"/>
        <v>我想要离家独立，开始新的人生。</v>
      </c>
      <c r="AX24" s="382" t="str">
        <f t="shared" si="10"/>
        <v>我从一个导师那里学了些基础，但需要加入行会才能完成所有的训练。</v>
      </c>
      <c r="AY24" s="180"/>
      <c r="AZ24" s="285"/>
      <c r="BA24" s="285"/>
      <c r="BB24" s="285"/>
      <c r="BC24" s="285"/>
      <c r="BD24" s="285"/>
      <c r="BE24" s="285"/>
      <c r="BF24" s="285"/>
      <c r="BG24" s="285"/>
      <c r="BH24" s="285"/>
      <c r="BI24" s="285"/>
      <c r="BJ24" s="285"/>
      <c r="BK24" s="285"/>
      <c r="BL24" s="285"/>
      <c r="BM24" s="285"/>
      <c r="BN24" s="285"/>
      <c r="BO24" s="285"/>
      <c r="BP24" s="285"/>
      <c r="BQ24" s="285"/>
      <c r="BR24" s="285"/>
      <c r="BS24" s="383"/>
    </row>
    <row r="25" spans="1:71" ht="14.4" customHeight="1" x14ac:dyDescent="0.25">
      <c r="A25" s="359" t="str">
        <f>IF(主要!Z101="","",主要!Z101)</f>
        <v/>
      </c>
      <c r="B25" t="str">
        <f>IFERROR(VLOOKUP(A25,F:G,2,0),"")</f>
        <v/>
      </c>
      <c r="C25" t="str">
        <f>IF($A25="","",COUNTIF($A$25:$A$29,$A25))</f>
        <v/>
      </c>
      <c r="D25" s="394" t="s">
        <v>4753</v>
      </c>
      <c r="E25" s="118" t="str">
        <f t="array" ref="E25">INDEX(K:K,SMALL(IF($K$2:$K$59&lt;&gt;"",ROW($2:$59),60),ROW(K24)))&amp;""</f>
        <v>组织代理人</v>
      </c>
      <c r="F25" s="1063"/>
      <c r="G25" s="395" t="e">
        <f>IF(AND(综合数据!B15=TRUE,H1&gt;0),"我对于收集旅行纪念品和战利品有强迫症。","")</f>
        <v>#N/A</v>
      </c>
      <c r="H25" s="198" t="e">
        <f t="array" ref="H25">INDEX(G:G,SMALL(IF($G$12:$G$31&lt;&gt;"",ROW($12:$31),32),ROW(H14)))&amp;""</f>
        <v>#N/A</v>
      </c>
      <c r="I25" s="1057"/>
      <c r="J25" s="198" t="str">
        <f>IFERROR(INDEX($AH$62:$AM$74,$J$1,6),"")</f>
        <v/>
      </c>
      <c r="K25" s="396" t="str">
        <f>IF(综合数据!B5=TRUE,"组织代理人","")</f>
        <v>组织代理人</v>
      </c>
      <c r="L25" s="194">
        <v>24</v>
      </c>
      <c r="M25" s="132" t="s">
        <v>4754</v>
      </c>
      <c r="N25" s="132"/>
      <c r="O25" s="119" t="s">
        <v>4116</v>
      </c>
      <c r="P25" s="194" t="s">
        <v>4755</v>
      </c>
      <c r="Q25" s="194" t="s">
        <v>4756</v>
      </c>
      <c r="R25" s="132"/>
      <c r="S25" s="378" t="str">
        <f t="shared" ref="S25:AX25" si="11">S2</f>
        <v>我崇拜某个英雄，并时刻以其事迹作为榜样。</v>
      </c>
      <c r="T25" s="378" t="str">
        <f t="shared" si="11"/>
        <v>我能在最狂乱的敌人间寻找共鸣，然后感化他们一同为和平而努力。</v>
      </c>
      <c r="U25" s="378" t="str">
        <f t="shared" si="11"/>
        <v>我在每个事件和行动中看到预兆。神试图对我们说话，我们只需要听即可。</v>
      </c>
      <c r="V25" s="378" t="str">
        <f t="shared" si="11"/>
        <v>没有什么能动摇我的乐观态度。</v>
      </c>
      <c r="W25" s="378" t="str">
        <f t="shared" si="11"/>
        <v>我任何情况下都喜欢引用（或错引）圣典和格言。</v>
      </c>
      <c r="X25" s="378" t="str">
        <f t="shared" si="11"/>
        <v>我能容忍（或无法容忍）其它信仰并且尊重（或谴责）对其他神祇的崇拜。</v>
      </c>
      <c r="Y25" s="378" t="str">
        <f t="shared" si="11"/>
        <v>我喜爱美食、饮料以及同信仰神庙中的精英分子们的高层圈子。粗野的生活令我烦躁。</v>
      </c>
      <c r="Z25" s="378" t="str">
        <f t="shared" si="11"/>
        <v>我在神庙中生活的太久了，以至于我在与外面世界的人们打交道时缺乏实际经验。</v>
      </c>
      <c r="AA25" s="290" t="str">
        <f t="shared" si="11"/>
        <v>传统：古代崇拜与献祭的传统必须被保护并维持。</v>
      </c>
      <c r="AB25" s="290" t="str">
        <f t="shared" si="11"/>
        <v>仁爱：我总是试图帮助那些需要帮助的人，无论个人的花费如何。</v>
      </c>
      <c r="AC25" s="290" t="str">
        <f t="shared" si="11"/>
        <v>改变：我们必须协助引发神在世界中一直为之工作的改变。</v>
      </c>
      <c r="AD25" s="290" t="str">
        <f t="shared" si="11"/>
        <v>权力：我希望有一天能够升格到所信仰宗教中等级的最高点。</v>
      </c>
      <c r="AE25" s="379" t="str">
        <f t="shared" si="11"/>
        <v>信仰：我信任神祇能指引我的行为。我信奉如果自己努力工作，事情就会变得顺利。</v>
      </c>
      <c r="AF25" s="290" t="str">
        <f t="shared" si="11"/>
        <v>抱负：我将自己的行动与他或她的教导相较，求证明自己配得上吾主的喜爱。</v>
      </c>
      <c r="AG25" s="380" t="str">
        <f t="shared" si="11"/>
        <v>为了找回很久前丢失的与我信仰相关的一件古代遗物，我可以付出生命。</v>
      </c>
      <c r="AH25" s="380" t="str">
        <f t="shared" si="11"/>
        <v>终有一天我会对谴责我为异端的罪恶神庙组织复仇。</v>
      </c>
      <c r="AI25" s="380" t="str">
        <f t="shared" si="11"/>
        <v>我欠那位在我的双亲死亡时收养我的教士一条命。</v>
      </c>
      <c r="AJ25" s="380" t="str">
        <f t="shared" si="11"/>
        <v>我做的每一件事情都是为了普罗大众。</v>
      </c>
      <c r="AK25" s="380" t="str">
        <f t="shared" si="11"/>
        <v>为了保卫我曾服务的神庙我可以做任何事情。</v>
      </c>
      <c r="AL25" s="380" t="str">
        <f t="shared" si="11"/>
        <v>我试图去保护一部神圣典籍，而我的敌人认为它是异端的并寻求摧毁它。</v>
      </c>
      <c r="AM25" s="381" t="str">
        <f t="shared" si="11"/>
        <v>我评价他人十分严苛，并且对自己更加苛刻。</v>
      </c>
      <c r="AN25" s="381" t="str">
        <f t="shared" si="11"/>
        <v>我过于信任那些在我神庙的阶级中控制权势的人。</v>
      </c>
      <c r="AO25" s="381" t="str">
        <f t="shared" si="11"/>
        <v>我的虔诚有时令我盲目信任那些声称与我信仰相同的人。</v>
      </c>
      <c r="AP25" s="381" t="str">
        <f t="shared" si="11"/>
        <v>我思想呆板僵化，不懂变通。</v>
      </c>
      <c r="AQ25" s="381" t="str">
        <f t="shared" si="11"/>
        <v>我会怀疑陌生人并将他们想成最坏的情况。</v>
      </c>
      <c r="AR25" s="381" t="str">
        <f t="shared" si="11"/>
        <v>一旦我选择了一个目标，就会变得执迷于它以至于因此损害自己生命中的所有其它事物。</v>
      </c>
      <c r="AS25" s="382" t="str">
        <f t="shared" si="11"/>
        <v>我小时候从家里跑了出来，在神殿找到了庇护。</v>
      </c>
      <c r="AT25" s="382" t="str">
        <f t="shared" si="11"/>
        <v>我的家族无法或者不愿抚养我，把我交给了神殿。</v>
      </c>
      <c r="AU25" s="382" t="str">
        <f t="shared" si="11"/>
        <v>我整个家庭都有非常坚定的信仰，我自然而然地走上了侍奉一位或多位神明的道路。</v>
      </c>
      <c r="AV25" s="382" t="str">
        <f t="shared" si="11"/>
        <v>一场慷慨激昂的布道将信仰之音深深注入我的灵魂，使我侍奉于信仰。</v>
      </c>
      <c r="AW25" s="382" t="str">
        <f t="shared" si="11"/>
        <v>我追随一位童年玩伴/尊敬的知己或者其他我爱的人走上了侍奉信仰的道路。</v>
      </c>
      <c r="AX25" s="382" t="str">
        <f t="shared" si="11"/>
        <v>我遇到了一位真正的信徒，他使我深受鼓舞，我立刻加入了宗教团体。</v>
      </c>
      <c r="AY25" s="119"/>
      <c r="AZ25" s="283"/>
      <c r="BA25" s="283"/>
      <c r="BB25" s="283"/>
      <c r="BC25" s="283"/>
      <c r="BD25" s="283"/>
      <c r="BE25" s="285"/>
      <c r="BF25" s="285"/>
      <c r="BG25" s="285"/>
      <c r="BH25" s="285"/>
      <c r="BI25" s="285"/>
      <c r="BJ25" s="285"/>
      <c r="BK25" s="285"/>
      <c r="BL25" s="285"/>
      <c r="BM25" s="285"/>
      <c r="BN25" s="285"/>
      <c r="BO25" s="285"/>
      <c r="BP25" s="285"/>
      <c r="BQ25" s="285"/>
      <c r="BR25" s="285"/>
      <c r="BS25" s="383"/>
    </row>
    <row r="26" spans="1:71" ht="14.4" customHeight="1" x14ac:dyDescent="0.25">
      <c r="A26" s="359" t="str">
        <f>IF(主要!Z102="","",主要!Z102)</f>
        <v>工具熟练项</v>
      </c>
      <c r="B26" t="str">
        <f>IFERROR(VLOOKUP(A26,F:G,2,0),"")</f>
        <v/>
      </c>
      <c r="C26">
        <f>IF($A26="","",COUNTIF($A$25:$A$29,$A26))</f>
        <v>1</v>
      </c>
      <c r="D26" s="394" t="s">
        <v>4757</v>
      </c>
      <c r="E26" s="118" t="str">
        <f t="array" ref="E26">INDEX(K:K,SMALL(IF($K$2:$K$59&lt;&gt;"",ROW($2:$59),60),ROW(K25)))&amp;""</f>
        <v>远行者</v>
      </c>
      <c r="F26" s="1063"/>
      <c r="G26" s="395" t="e">
        <f>IF(AND(综合数据!B15=TRUE,H1&gt;0),"哪怕被全世界反对，我也会做我认为正确的事。","")</f>
        <v>#N/A</v>
      </c>
      <c r="H26" s="198" t="e">
        <f t="array" ref="H26">INDEX(G:G,SMALL(IF($G$12:$G$31&lt;&gt;"",ROW($12:$31),32),ROW(H15)))&amp;""</f>
        <v>#N/A</v>
      </c>
      <c r="I26" s="1057">
        <f>IFERROR(INDEX(AN62:AN74,J1,1),0)</f>
        <v>0</v>
      </c>
      <c r="J26" s="198" t="str">
        <f>IFERROR(INDEX($AO$62:$BH$74,$J$1,1),"")</f>
        <v/>
      </c>
      <c r="K26" s="396" t="str">
        <f>IF(综合数据!B5=TRUE,"远行者","")</f>
        <v>远行者</v>
      </c>
      <c r="L26" s="194">
        <v>25</v>
      </c>
      <c r="M26" s="132" t="s">
        <v>4758</v>
      </c>
      <c r="N26" s="132" t="s">
        <v>4759</v>
      </c>
      <c r="O26" s="119" t="s">
        <v>4365</v>
      </c>
      <c r="P26" s="194" t="s">
        <v>4760</v>
      </c>
      <c r="Q26" s="194" t="s">
        <v>4761</v>
      </c>
      <c r="R26" s="132"/>
      <c r="S26" s="378" t="s">
        <v>4762</v>
      </c>
      <c r="T26" s="378" t="s">
        <v>4763</v>
      </c>
      <c r="U26" s="378" t="s">
        <v>4764</v>
      </c>
      <c r="V26" s="378" t="s">
        <v>4765</v>
      </c>
      <c r="W26" s="378" t="s">
        <v>4766</v>
      </c>
      <c r="X26" s="378" t="s">
        <v>4767</v>
      </c>
      <c r="Y26" s="378" t="str">
        <f>""</f>
        <v/>
      </c>
      <c r="Z26" s="378" t="str">
        <f>""</f>
        <v/>
      </c>
      <c r="AA26" s="290" t="s">
        <v>4768</v>
      </c>
      <c r="AB26" s="290" t="s">
        <v>4769</v>
      </c>
      <c r="AC26" s="290" t="s">
        <v>4770</v>
      </c>
      <c r="AD26" s="290" t="s">
        <v>4771</v>
      </c>
      <c r="AE26" s="379" t="s">
        <v>4772</v>
      </c>
      <c r="AF26" s="290" t="s">
        <v>4773</v>
      </c>
      <c r="AG26" s="380" t="s">
        <v>4774</v>
      </c>
      <c r="AH26" s="380" t="s">
        <v>4775</v>
      </c>
      <c r="AI26" s="380" t="s">
        <v>4776</v>
      </c>
      <c r="AJ26" s="380" t="s">
        <v>4777</v>
      </c>
      <c r="AK26" s="380" t="s">
        <v>4778</v>
      </c>
      <c r="AL26" s="380" t="s">
        <v>4779</v>
      </c>
      <c r="AM26" s="381" t="s">
        <v>4780</v>
      </c>
      <c r="AN26" s="381" t="s">
        <v>4781</v>
      </c>
      <c r="AO26" s="381" t="s">
        <v>4782</v>
      </c>
      <c r="AP26" s="381" t="s">
        <v>4783</v>
      </c>
      <c r="AQ26" s="381" t="s">
        <v>4784</v>
      </c>
      <c r="AR26" s="381" t="s">
        <v>4785</v>
      </c>
      <c r="AS26" s="382"/>
      <c r="AT26" s="382"/>
      <c r="AU26" s="382"/>
      <c r="AV26" s="382"/>
      <c r="AW26" s="382"/>
      <c r="AX26" s="382"/>
      <c r="AY26" s="119" t="s">
        <v>4786</v>
      </c>
      <c r="AZ26" s="285" t="s">
        <v>4787</v>
      </c>
      <c r="BA26" s="285" t="s">
        <v>4559</v>
      </c>
      <c r="BB26" s="285" t="s">
        <v>4788</v>
      </c>
      <c r="BC26" s="285" t="s">
        <v>4561</v>
      </c>
      <c r="BD26" s="285" t="s">
        <v>4789</v>
      </c>
      <c r="BE26" s="285" t="s">
        <v>4790</v>
      </c>
      <c r="BF26" s="285"/>
      <c r="BG26" s="285"/>
      <c r="BH26" s="285"/>
      <c r="BI26" s="285"/>
      <c r="BJ26" s="285"/>
      <c r="BK26" s="285"/>
      <c r="BL26" s="285"/>
      <c r="BM26" s="285"/>
      <c r="BN26" s="285"/>
      <c r="BO26" s="285"/>
      <c r="BP26" s="285"/>
      <c r="BQ26" s="285"/>
      <c r="BR26" s="285"/>
      <c r="BS26" s="383"/>
    </row>
    <row r="27" spans="1:71" ht="14.4" customHeight="1" x14ac:dyDescent="0.25">
      <c r="A27" s="359" t="str">
        <f>IF(主要!Z103="","",主要!Z103)</f>
        <v>技能熟练项</v>
      </c>
      <c r="B27" t="str">
        <f>IFERROR(VLOOKUP(A27,F:G,2,0),"")</f>
        <v/>
      </c>
      <c r="C27">
        <f>IF($A27="","",COUNTIF($A$25:$A$29,$A27))</f>
        <v>1</v>
      </c>
      <c r="D27" s="394" t="s">
        <v>4791</v>
      </c>
      <c r="E27" s="118" t="str">
        <f t="array" ref="E27">INDEX(K:K,SMALL(IF($K$2:$K$59&lt;&gt;"",ROW($2:$59),60),ROW(K26)))&amp;""</f>
        <v>继承人</v>
      </c>
      <c r="F27" s="1063"/>
      <c r="G27" s="395" t="e">
        <f>IF(AND(综合数据!B15=TRUE,H1&gt;0),"我有着病态的兴趣和可怕的审美观。","")</f>
        <v>#N/A</v>
      </c>
      <c r="H27" s="198" t="e">
        <f t="array" ref="H27">INDEX(G:G,SMALL(IF($G$12:$G$31&lt;&gt;"",ROW($12:$31),32),ROW(H16)))&amp;""</f>
        <v>#N/A</v>
      </c>
      <c r="I27" s="1057"/>
      <c r="J27" s="198" t="str">
        <f>IFERROR(INDEX($AO$62:$BH$74,$J$1,2),"")</f>
        <v/>
      </c>
      <c r="K27" s="396" t="str">
        <f>IF(综合数据!B5=TRUE,"继承人","")</f>
        <v>继承人</v>
      </c>
      <c r="L27" s="194">
        <v>26</v>
      </c>
      <c r="M27" s="132" t="s">
        <v>4792</v>
      </c>
      <c r="N27" s="132" t="s">
        <v>4759</v>
      </c>
      <c r="O27" s="119" t="s">
        <v>4365</v>
      </c>
      <c r="P27" s="194" t="s">
        <v>4793</v>
      </c>
      <c r="Q27" s="194" t="s">
        <v>4794</v>
      </c>
      <c r="R27" s="132"/>
      <c r="S27" s="378" t="str">
        <f t="shared" ref="S27:AX27" si="12">S8</f>
        <v>我以人的行为而非言辞对其做判断。</v>
      </c>
      <c r="T27" s="378" t="str">
        <f t="shared" si="12"/>
        <v>我总是会去帮助遇到麻烦的人。</v>
      </c>
      <c r="U27" s="378" t="str">
        <f t="shared" si="12"/>
        <v>我在专注于某件事时，会排除一切障碍坚持到底。</v>
      </c>
      <c r="V27" s="378" t="str">
        <f t="shared" si="12"/>
        <v>我对公平有着强烈的执着，并且总是试图为争端寻找最公正的解决方案。</v>
      </c>
      <c r="W27" s="378" t="str">
        <f t="shared" si="12"/>
        <v>我信任自己的能力，并且会做任何力所能及的事以获得他人的信任。</v>
      </c>
      <c r="X27" s="378" t="str">
        <f t="shared" si="12"/>
        <v>其他人负责思考。我只负责行动。</v>
      </c>
      <c r="Y27" s="378" t="str">
        <f t="shared" si="12"/>
        <v>我会错用长单词以试图显得更聪明些。</v>
      </c>
      <c r="Z27" s="378" t="str">
        <f t="shared" si="12"/>
        <v>我时常感到厌烦。我的天命之旅什么时候才有进展呢？</v>
      </c>
      <c r="AA27" s="290" t="str">
        <f t="shared" si="12"/>
        <v>尊敬：民众应该受到体面而尊敬的对待。</v>
      </c>
      <c r="AB27" s="290" t="str">
        <f t="shared" si="12"/>
        <v>公平：没人可以在法律中得到优待，并且没人能凌驾于法律之上。</v>
      </c>
      <c r="AC27" s="290" t="str">
        <f t="shared" si="12"/>
        <v>自由：压迫人民的暴君绝不能被容忍。</v>
      </c>
      <c r="AD27" s="290" t="str">
        <f t="shared" si="12"/>
        <v>力量：如果我变得强大，我就可以理所当然的随心所欲。</v>
      </c>
      <c r="AE27" s="379" t="str">
        <f t="shared" si="12"/>
        <v>诚实：假装自己是另一种人不会有什么好处。</v>
      </c>
      <c r="AF27" s="290" t="str">
        <f t="shared" si="12"/>
        <v>命运：任何人或事情都无法让我偏离我那崇高的感召。</v>
      </c>
      <c r="AG27" s="380" t="str">
        <f t="shared" si="12"/>
        <v>我有一个家庭，但我现在不知道他们身处何处。我希望终有一日能够再次见到他们。</v>
      </c>
      <c r="AH27" s="380" t="str">
        <f t="shared" si="12"/>
        <v>我劳作于这片土地，我热爱这片土地，而且我将保卫这片土地。</v>
      </c>
      <c r="AI27" s="380" t="str">
        <f t="shared" si="12"/>
        <v>一名傲慢的贵族曾经死命痛打了我一顿，故而我将报复任何我遇到的恃强凌弱者。</v>
      </c>
      <c r="AJ27" s="380" t="str">
        <f t="shared" si="12"/>
        <v>我的工具是我以往生活的符号，因而我随身携带着它们以便永远记住我的根。</v>
      </c>
      <c r="AK27" s="380" t="str">
        <f t="shared" si="12"/>
        <v>我保护那些无力自我保护的人。</v>
      </c>
      <c r="AL27" s="380" t="str">
        <f t="shared" si="12"/>
        <v>我希望我的青梅竹马能伴着我一起追寻我的命运。</v>
      </c>
      <c r="AM27" s="381" t="str">
        <f t="shared" si="12"/>
        <v>统治我故乡的暴君会一直追杀我。</v>
      </c>
      <c r="AN27" s="381" t="str">
        <f t="shared" si="12"/>
        <v>我深信命运的征兆，以至于看不清自己的不足或是失败的可能性。</v>
      </c>
      <c r="AO27" s="381" t="str">
        <f t="shared" si="12"/>
        <v>自幼认识我的人知道我羞耻的秘密，所以我再也不能回家了。</v>
      </c>
      <c r="AP27" s="381" t="str">
        <f t="shared" si="12"/>
        <v>我对一些城里的恶习没有抵抗力，尤其是酗酒。</v>
      </c>
      <c r="AQ27" s="381" t="str">
        <f t="shared" si="12"/>
        <v>我暗地里会觉得，如果我是那个统领这片土地的暴君所有事情肯定会更好。</v>
      </c>
      <c r="AR27" s="381" t="str">
        <f t="shared" si="12"/>
        <v>我难以信任我的盟友。</v>
      </c>
      <c r="AS27" s="382" t="str">
        <f t="shared" si="12"/>
        <v>家人教会了我什么是对什么是错。</v>
      </c>
      <c r="AT27" s="382" t="str">
        <f t="shared" si="12"/>
        <v>我总是倾心于英雄传说，渴望成为不平凡的人物。</v>
      </c>
      <c r="AU27" s="382" t="str">
        <f t="shared" si="12"/>
        <v>我讨厌自己平凡乏味的生活，所以当需要有人挺身而出做正确的事时，我把握住了这个机会。</v>
      </c>
      <c r="AV27" s="382" t="str">
        <f t="shared" si="12"/>
        <v>我的父亲/母亲或者某位亲人曾是一名冒险者，他的勇气鼓舞了我。</v>
      </c>
      <c r="AW27" s="382" t="str">
        <f t="shared" si="12"/>
        <v>有一位疯疯癫癫的老隐者在我出生时曾预言我会完成伟业。</v>
      </c>
      <c r="AX27" s="382" t="str">
        <f t="shared" si="12"/>
        <v>我总是会维护那些比我弱的人。</v>
      </c>
      <c r="AY27" s="119" t="s">
        <v>4795</v>
      </c>
      <c r="AZ27" s="285" t="s">
        <v>4796</v>
      </c>
      <c r="BA27" s="285" t="s">
        <v>4797</v>
      </c>
      <c r="BB27" s="285" t="s">
        <v>4798</v>
      </c>
      <c r="BC27" s="285" t="s">
        <v>4799</v>
      </c>
      <c r="BD27" s="285" t="s">
        <v>4800</v>
      </c>
      <c r="BE27" s="285" t="s">
        <v>4801</v>
      </c>
      <c r="BF27" s="285"/>
      <c r="BG27" s="285"/>
      <c r="BH27" s="285"/>
      <c r="BI27" s="285"/>
      <c r="BJ27" s="285"/>
      <c r="BK27" s="285"/>
      <c r="BL27" s="285"/>
      <c r="BM27" s="285"/>
      <c r="BN27" s="285"/>
      <c r="BO27" s="285"/>
      <c r="BP27" s="285"/>
      <c r="BQ27" s="285"/>
      <c r="BR27" s="285"/>
      <c r="BS27" s="383"/>
    </row>
    <row r="28" spans="1:71" ht="14.4" customHeight="1" x14ac:dyDescent="0.25">
      <c r="A28" s="359" t="str">
        <f>IF(主要!Z104="","",主要!Z104)</f>
        <v/>
      </c>
      <c r="B28" t="str">
        <f>IFERROR(VLOOKUP(A28,F:G,2,0),"")</f>
        <v/>
      </c>
      <c r="C28" t="str">
        <f>IF($A28="","",COUNTIF($A$25:$A$29,$A28))</f>
        <v/>
      </c>
      <c r="D28" s="394" t="s">
        <v>4802</v>
      </c>
      <c r="E28" s="118" t="str">
        <f t="array" ref="E28">INDEX(K:K,SMALL(IF($K$2:$K$59&lt;&gt;"",ROW($2:$59),60),ROW(K27)))&amp;""</f>
        <v>教团骑士</v>
      </c>
      <c r="F28" s="1063"/>
      <c r="G28" s="395" t="e">
        <f>IF(AND(综合数据!B15=TRUE,H1&gt;0),"我有自己的一套缓解焦虑的仪式、咒语、或者习惯。","")</f>
        <v>#N/A</v>
      </c>
      <c r="H28" s="198" t="e">
        <f t="array" ref="H28">INDEX(G:G,SMALL(IF($G$12:$G$31&lt;&gt;"",ROW($12:$31),32),ROW(H17)))&amp;""</f>
        <v>#N/A</v>
      </c>
      <c r="I28" s="1057"/>
      <c r="J28" s="198" t="str">
        <f>IFERROR(INDEX($AO$62:$BH$74,$J$1,3),"")</f>
        <v/>
      </c>
      <c r="K28" s="396" t="str">
        <f>IF(综合数据!B5=TRUE,"教团骑士","")</f>
        <v>教团骑士</v>
      </c>
      <c r="L28" s="194">
        <v>27</v>
      </c>
      <c r="M28" s="132" t="s">
        <v>4803</v>
      </c>
      <c r="N28" s="132" t="s">
        <v>4759</v>
      </c>
      <c r="O28" s="119" t="s">
        <v>4365</v>
      </c>
      <c r="P28" s="194" t="s">
        <v>4804</v>
      </c>
      <c r="Q28" s="194" t="s">
        <v>4805</v>
      </c>
      <c r="R28" s="132"/>
      <c r="S28" s="378" t="str">
        <f t="shared" ref="S28:AX28" si="13">S18</f>
        <v>我总是表现的恭敬有礼。</v>
      </c>
      <c r="T28" s="378" t="str">
        <f t="shared" si="13"/>
        <v>我的心中总是萦绕着战争时的记忆，那些残暴的画面总是挥之不去。</v>
      </c>
      <c r="U28" s="378" t="str">
        <f t="shared" si="13"/>
        <v>我曾失去太多的朋友，而现在已经很难交个新的朋友了。</v>
      </c>
      <c r="V28" s="378" t="str">
        <f t="shared" si="13"/>
        <v>我的军事生涯曾经历过各种情况，所以我能以此讲出许多鼓舞人心而又发人深省的故事。</v>
      </c>
      <c r="W28" s="378" t="str">
        <f t="shared" si="13"/>
        <v>我能盯着一只地狱犬看而毫不畏缩。</v>
      </c>
      <c r="X28" s="378" t="str">
        <f t="shared" si="13"/>
        <v>我喜欢强壮的感觉并且乐于打坏东西。</v>
      </c>
      <c r="Y28" s="378" t="str">
        <f t="shared" si="13"/>
        <v>我有着粗俗的幽默感。</v>
      </c>
      <c r="Z28" s="378" t="str">
        <f t="shared" si="13"/>
        <v>我迎难而上直面问题。一个简单直接的解决方案是通往成功的最佳路径。</v>
      </c>
      <c r="AA28" s="290" t="str">
        <f t="shared" si="13"/>
        <v>大义：我们的使命即是为保卫他人而献出自己的生命。</v>
      </c>
      <c r="AB28" s="290" t="str">
        <f t="shared" si="13"/>
        <v>责任：我服从权力，并且只做必须做的事。</v>
      </c>
      <c r="AC28" s="290" t="str">
        <f t="shared" si="13"/>
        <v>独立：盲目的服从命令，某种意义上就相当于接受暴君统治。</v>
      </c>
      <c r="AD28" s="290" t="str">
        <f t="shared" si="13"/>
        <v>力量：生活与战争一样，只有更强大的一方才能获胜。</v>
      </c>
      <c r="AE28" s="379" t="str">
        <f t="shared" si="13"/>
        <v>自持自重：不该以理想之名行杀戮之事，或是以其名义发动战争。</v>
      </c>
      <c r="AF28" s="290" t="str">
        <f t="shared" si="13"/>
        <v>国家：我的城市、国家和人民是最重要的事。</v>
      </c>
      <c r="AG28" s="380" t="str">
        <f t="shared" si="13"/>
        <v>我依然会以性命保护曾一起共事之人。</v>
      </c>
      <c r="AH28" s="380" t="str">
        <f t="shared" si="13"/>
        <v>有人在战场上救过我的命。因而现在我也不会丢下任何一个朋友。</v>
      </c>
      <c r="AI28" s="380" t="str">
        <f t="shared" si="13"/>
        <v>荣誉即吾命。</v>
      </c>
      <c r="AJ28" s="380" t="str">
        <f t="shared" si="13"/>
        <v>我永远不会忘记队伍曾遭受到的惨败，以及当时的敌人。</v>
      </c>
      <c r="AK28" s="380" t="str">
        <f t="shared" si="13"/>
        <v>那些与我同袍的人值得为之豁出性命。</v>
      </c>
      <c r="AL28" s="380" t="str">
        <f t="shared" si="13"/>
        <v>我为那些无法为他们自己战斗的人而战。</v>
      </c>
      <c r="AM28" s="381" t="str">
        <f t="shared" si="13"/>
        <v>我们曾在战场上面对的凶暴的敌人依然会令我恐惧的发抖。</v>
      </c>
      <c r="AN28" s="381" t="str">
        <f t="shared" si="13"/>
        <v>除那些久经沙场的武士外，任何人都不值得我尊重。</v>
      </c>
      <c r="AO28" s="381" t="str">
        <f t="shared" si="13"/>
        <v>我曾在战场上犯了一个严重的错并为此伤害了许多生命——而我为了能守住这个秘密愿意做任何事。</v>
      </c>
      <c r="AP28" s="381" t="str">
        <f t="shared" si="13"/>
        <v>我对敌人的仇恨盲目而缺乏理性。</v>
      </c>
      <c r="AQ28" s="381" t="str">
        <f t="shared" si="13"/>
        <v>我遵从法律，而不管其律条是否会招致不幸。</v>
      </c>
      <c r="AR28" s="381" t="str">
        <f t="shared" si="13"/>
        <v>我在犯错时宁可吞掉自己的护甲也不愿承认。</v>
      </c>
      <c r="AS28" s="382" t="str">
        <f t="shared" si="13"/>
        <v>我加入了民兵队，抵御怪物，保护我的社群</v>
      </c>
      <c r="AT28" s="382" t="str">
        <f t="shared" si="13"/>
        <v>我家有亲人是士兵，我希望继承这个传统。</v>
      </c>
      <c r="AU28" s="382" t="str">
        <f t="shared" si="13"/>
        <v>我被本地领主强征入伍。</v>
      </c>
      <c r="AV28" s="382" t="str">
        <f t="shared" si="13"/>
        <v>在我成长的过程中，故乡一直战火纷飞，满目疮痍。战斗是我唯一所知的生活方式。</v>
      </c>
      <c r="AW28" s="382" t="str">
        <f t="shared" si="13"/>
        <v>我想要出名和发财，所以加入了一伙雇佣兵集团，为出开价最高的人战斗。</v>
      </c>
      <c r="AX28" s="382" t="str">
        <f t="shared" si="13"/>
        <v>侵略者袭击了我的家乡，拿起武器保卫人民是我的使命。</v>
      </c>
      <c r="AY28" s="180"/>
      <c r="AZ28" s="285"/>
      <c r="BA28" s="285"/>
      <c r="BB28" s="285"/>
      <c r="BC28" s="285"/>
      <c r="BD28" s="285"/>
      <c r="BE28" s="285"/>
      <c r="BF28" s="285"/>
      <c r="BG28" s="285"/>
      <c r="BH28" s="285"/>
      <c r="BI28" s="285"/>
      <c r="BJ28" s="285"/>
      <c r="BK28" s="285"/>
      <c r="BL28" s="285"/>
      <c r="BM28" s="285"/>
      <c r="BN28" s="285"/>
      <c r="BO28" s="285"/>
      <c r="BP28" s="285"/>
      <c r="BQ28" s="285"/>
      <c r="BR28" s="285"/>
      <c r="BS28" s="383"/>
    </row>
    <row r="29" spans="1:71" ht="14.4" customHeight="1" x14ac:dyDescent="0.25">
      <c r="A29" s="359" t="str">
        <f>IF(主要!Z105="","",主要!Z105)</f>
        <v/>
      </c>
      <c r="B29" t="str">
        <f>IFERROR(VLOOKUP(A29,F:G,2,0),"")</f>
        <v/>
      </c>
      <c r="C29" t="str">
        <f>IF($A29="","",COUNTIF($A$25:$A$29,$A29))</f>
        <v/>
      </c>
      <c r="D29" s="394" t="s">
        <v>4806</v>
      </c>
      <c r="E29" s="118" t="str">
        <f t="array" ref="E29">INDEX(K:K,SMALL(IF($K$2:$K$59&lt;&gt;"",ROW($2:$59),60),ROW(K28)))&amp;""</f>
        <v>老佣兵</v>
      </c>
      <c r="F29" s="1063"/>
      <c r="G29" s="395" t="e">
        <f>IF(AND(综合数据!B15=TRUE,H1&gt;0),"活着比什么都重要，所以我从不让任何人踏入危险。","")</f>
        <v>#N/A</v>
      </c>
      <c r="H29" s="198" t="e">
        <f t="array" ref="H29">INDEX(G:G,SMALL(IF($G$12:$G$31&lt;&gt;"",ROW($12:$31),32),ROW(H18)))&amp;""</f>
        <v>#N/A</v>
      </c>
      <c r="I29" s="1057"/>
      <c r="J29" s="198" t="str">
        <f>IFERROR(INDEX($AO$62:$BH$74,$J$1,4),"")</f>
        <v/>
      </c>
      <c r="K29" s="396" t="str">
        <f>IF(综合数据!B5=TRUE,"老佣兵","")</f>
        <v>老佣兵</v>
      </c>
      <c r="L29" s="194">
        <v>28</v>
      </c>
      <c r="M29" s="132" t="s">
        <v>4807</v>
      </c>
      <c r="N29" s="132" t="s">
        <v>4654</v>
      </c>
      <c r="O29" s="132"/>
      <c r="P29" s="194" t="s">
        <v>4808</v>
      </c>
      <c r="Q29" s="194" t="s">
        <v>4809</v>
      </c>
      <c r="R29" s="132"/>
      <c r="S29" s="378" t="str">
        <f t="shared" ref="S29:AX29" si="14">S18</f>
        <v>我总是表现的恭敬有礼。</v>
      </c>
      <c r="T29" s="378" t="str">
        <f t="shared" si="14"/>
        <v>我的心中总是萦绕着战争时的记忆，那些残暴的画面总是挥之不去。</v>
      </c>
      <c r="U29" s="378" t="str">
        <f t="shared" si="14"/>
        <v>我曾失去太多的朋友，而现在已经很难交个新的朋友了。</v>
      </c>
      <c r="V29" s="378" t="str">
        <f t="shared" si="14"/>
        <v>我的军事生涯曾经历过各种情况，所以我能以此讲出许多鼓舞人心而又发人深省的故事。</v>
      </c>
      <c r="W29" s="378" t="str">
        <f t="shared" si="14"/>
        <v>我能盯着一只地狱犬看而毫不畏缩。</v>
      </c>
      <c r="X29" s="378" t="str">
        <f t="shared" si="14"/>
        <v>我喜欢强壮的感觉并且乐于打坏东西。</v>
      </c>
      <c r="Y29" s="378" t="str">
        <f t="shared" si="14"/>
        <v>我有着粗俗的幽默感。</v>
      </c>
      <c r="Z29" s="378" t="str">
        <f t="shared" si="14"/>
        <v>我迎难而上直面问题。一个简单直接的解决方案是通往成功的最佳路径。</v>
      </c>
      <c r="AA29" s="290" t="str">
        <f t="shared" si="14"/>
        <v>大义：我们的使命即是为保卫他人而献出自己的生命。</v>
      </c>
      <c r="AB29" s="290" t="str">
        <f t="shared" si="14"/>
        <v>责任：我服从权力，并且只做必须做的事。</v>
      </c>
      <c r="AC29" s="290" t="str">
        <f t="shared" si="14"/>
        <v>独立：盲目的服从命令，某种意义上就相当于接受暴君统治。</v>
      </c>
      <c r="AD29" s="290" t="str">
        <f t="shared" si="14"/>
        <v>力量：生活与战争一样，只有更强大的一方才能获胜。</v>
      </c>
      <c r="AE29" s="379" t="str">
        <f t="shared" si="14"/>
        <v>自持自重：不该以理想之名行杀戮之事，或是以其名义发动战争。</v>
      </c>
      <c r="AF29" s="290" t="str">
        <f t="shared" si="14"/>
        <v>国家：我的城市、国家和人民是最重要的事。</v>
      </c>
      <c r="AG29" s="380" t="str">
        <f t="shared" si="14"/>
        <v>我依然会以性命保护曾一起共事之人。</v>
      </c>
      <c r="AH29" s="380" t="str">
        <f t="shared" si="14"/>
        <v>有人在战场上救过我的命。因而现在我也不会丢下任何一个朋友。</v>
      </c>
      <c r="AI29" s="380" t="str">
        <f t="shared" si="14"/>
        <v>荣誉即吾命。</v>
      </c>
      <c r="AJ29" s="380" t="str">
        <f t="shared" si="14"/>
        <v>我永远不会忘记队伍曾遭受到的惨败，以及当时的敌人。</v>
      </c>
      <c r="AK29" s="380" t="str">
        <f t="shared" si="14"/>
        <v>那些与我同袍的人值得为之豁出性命。</v>
      </c>
      <c r="AL29" s="380" t="str">
        <f t="shared" si="14"/>
        <v>我为那些无法为他们自己战斗的人而战。</v>
      </c>
      <c r="AM29" s="381" t="str">
        <f t="shared" si="14"/>
        <v>我们曾在战场上面对的凶暴的敌人依然会令我恐惧的发抖。</v>
      </c>
      <c r="AN29" s="381" t="str">
        <f t="shared" si="14"/>
        <v>除那些久经沙场的武士外，任何人都不值得我尊重。</v>
      </c>
      <c r="AO29" s="381" t="str">
        <f t="shared" si="14"/>
        <v>我曾在战场上犯了一个严重的错并为此伤害了许多生命——而我为了能守住这个秘密愿意做任何事。</v>
      </c>
      <c r="AP29" s="381" t="str">
        <f t="shared" si="14"/>
        <v>我对敌人的仇恨盲目而缺乏理性。</v>
      </c>
      <c r="AQ29" s="381" t="str">
        <f t="shared" si="14"/>
        <v>我遵从法律，而不管其律条是否会招致不幸。</v>
      </c>
      <c r="AR29" s="381" t="str">
        <f t="shared" si="14"/>
        <v>我在犯错时宁可吞掉自己的护甲也不愿承认。</v>
      </c>
      <c r="AS29" s="382" t="str">
        <f t="shared" si="14"/>
        <v>我加入了民兵队，抵御怪物，保护我的社群</v>
      </c>
      <c r="AT29" s="382" t="str">
        <f t="shared" si="14"/>
        <v>我家有亲人是士兵，我希望继承这个传统。</v>
      </c>
      <c r="AU29" s="382" t="str">
        <f t="shared" si="14"/>
        <v>我被本地领主强征入伍。</v>
      </c>
      <c r="AV29" s="382" t="str">
        <f t="shared" si="14"/>
        <v>在我成长的过程中，故乡一直战火纷飞，满目疮痍。战斗是我唯一所知的生活方式。</v>
      </c>
      <c r="AW29" s="382" t="str">
        <f t="shared" si="14"/>
        <v>我想要出名和发财，所以加入了一伙雇佣兵集团，为出开价最高的人战斗。</v>
      </c>
      <c r="AX29" s="382" t="str">
        <f t="shared" si="14"/>
        <v>侵略者袭击了我的家乡，拿起武器保卫人民是我的使命。</v>
      </c>
      <c r="AY29" s="180"/>
      <c r="AZ29" s="285"/>
      <c r="BA29" s="285"/>
      <c r="BB29" s="285"/>
      <c r="BC29" s="285"/>
      <c r="BD29" s="285"/>
      <c r="BE29" s="285"/>
      <c r="BF29" s="285"/>
      <c r="BG29" s="285"/>
      <c r="BH29" s="285"/>
      <c r="BI29" s="285"/>
      <c r="BJ29" s="285"/>
      <c r="BK29" s="285"/>
      <c r="BL29" s="285"/>
      <c r="BM29" s="285"/>
      <c r="BN29" s="285"/>
      <c r="BO29" s="285"/>
      <c r="BP29" s="285"/>
      <c r="BQ29" s="285"/>
      <c r="BR29" s="285"/>
      <c r="BS29" s="383"/>
    </row>
    <row r="30" spans="1:71" ht="14.4" customHeight="1" x14ac:dyDescent="0.25">
      <c r="A30" s="399" t="s">
        <v>239</v>
      </c>
      <c r="B30" s="349">
        <f>COUNTIF(A25:A29,F5)+COUNTIF(A25:A29,F6)+COUNTIF(A25:A29,F7)++COUNTIF(A25:A29,F8)+COUNTIF(A25:A29,F9)+COUNTIF(A25:A29,F10)</f>
        <v>3</v>
      </c>
      <c r="D30" s="394" t="s">
        <v>4810</v>
      </c>
      <c r="E30" s="118" t="str">
        <f t="array" ref="E30">INDEX(K:K,SMALL(IF($K$2:$K$59&lt;&gt;"",ROW($2:$59),60),ROW(K29)))&amp;""</f>
        <v>城市猎人</v>
      </c>
      <c r="F30" s="1063"/>
      <c r="G30" s="395" t="e">
        <f>IF(AND(综合数据!B15=TRUE,H1&gt;0),"何必去尝试不见得有用的保守策略呢？我宁愿果断选择更激进的解决方案。","")</f>
        <v>#N/A</v>
      </c>
      <c r="H30" s="198" t="e">
        <f t="array" ref="H30">INDEX(G:G,SMALL(IF($G$12:$G$31&lt;&gt;"",ROW($12:$31),32),ROW(H19)))&amp;""</f>
        <v>#N/A</v>
      </c>
      <c r="I30" s="1057"/>
      <c r="J30" s="198" t="str">
        <f>IFERROR(INDEX($AO$62:$BH$74,$J$1,5),"")</f>
        <v/>
      </c>
      <c r="K30" s="396" t="str">
        <f>IF(综合数据!B5=TRUE,"城市猎人","")</f>
        <v>城市猎人</v>
      </c>
      <c r="L30" s="194">
        <v>29</v>
      </c>
      <c r="M30" s="132" t="s">
        <v>4811</v>
      </c>
      <c r="N30" s="132" t="s">
        <v>4812</v>
      </c>
      <c r="O30" s="132"/>
      <c r="P30" s="194" t="s">
        <v>4813</v>
      </c>
      <c r="Q30" s="194" t="s">
        <v>4814</v>
      </c>
      <c r="R30" s="132"/>
      <c r="S30" s="378" t="str">
        <f t="shared" ref="S30:AX30" si="15">S4</f>
        <v>我总是计划好事情变糟时的应对方法。</v>
      </c>
      <c r="T30" s="378" t="str">
        <f t="shared" si="15"/>
        <v>无论情形如何我总能保持冷静。我从不会忽然提高音调或是让情绪影响自己。</v>
      </c>
      <c r="U30" s="378" t="str">
        <f t="shared" si="15"/>
        <v>我每到一个新地方做的第一件事就是记下每个有价值之物的位置——或是可能藏有类似东西的地点。</v>
      </c>
      <c r="V30" s="378" t="str">
        <f t="shared" si="15"/>
        <v>比起制造一个新敌人，我宁可交一个新朋友。</v>
      </c>
      <c r="W30" s="378" t="str">
        <f t="shared" si="15"/>
        <v>我极端的不易信任他人。表面上看上去越公正的人通常都藏着越多见不得光的事。</v>
      </c>
      <c r="X30" s="378" t="str">
        <f t="shared" si="15"/>
        <v>我不会考虑某个情形中的风险。永远别跟我谈几率。</v>
      </c>
      <c r="Y30" s="378" t="str">
        <f t="shared" si="15"/>
        <v>令我做某件事的最好手段就是跟我说不能那样做。</v>
      </c>
      <c r="Z30" s="378" t="str">
        <f t="shared" si="15"/>
        <v>最轻微的侮辱也能把我气炸了。</v>
      </c>
      <c r="AA30" s="290" t="str">
        <f t="shared" si="15"/>
        <v>荣誉：我不会偷行家的东西。</v>
      </c>
      <c r="AB30" s="290" t="str">
        <f t="shared" si="15"/>
        <v>自由：枷锁的存在以及即是被打破，而那些铸造枷锁的人也该受同样对待。</v>
      </c>
      <c r="AC30" s="290" t="str">
        <f t="shared" si="15"/>
        <v>仁爱：我从富人处窃取财富然后帮助有需要的人。</v>
      </c>
      <c r="AD30" s="290" t="str">
        <f t="shared" si="15"/>
        <v>贪婪：为了致富我愿意做任何事。</v>
      </c>
      <c r="AE30" s="379" t="str">
        <f t="shared" si="15"/>
        <v>人民：我忠于我的朋友而非任何理想，此外的其他人就算下到冥河里也与我无关。</v>
      </c>
      <c r="AF30" s="290" t="str">
        <f t="shared" si="15"/>
        <v>救赎：人人心中有善念。</v>
      </c>
      <c r="AG30" s="380" t="str">
        <f t="shared" si="15"/>
        <v>我试图偿还一个慷慨的资助者的老债务。</v>
      </c>
      <c r="AH30" s="380" t="str">
        <f t="shared" si="15"/>
        <v>我的非法所得是为了支持我的家庭。</v>
      </c>
      <c r="AI30" s="380" t="str">
        <f t="shared" si="15"/>
        <v>我有一件重要的东西被夺走了，并且我想要把它偷回来。</v>
      </c>
      <c r="AJ30" s="380" t="str">
        <f t="shared" si="15"/>
        <v>我会成为有史以来最伟大的盗贼。</v>
      </c>
      <c r="AK30" s="380" t="str">
        <f t="shared" si="15"/>
        <v>我因一桩严重罪行而内疚。并希望从中寻求自我救赎。</v>
      </c>
      <c r="AL30" s="380" t="str">
        <f t="shared" si="15"/>
        <v>我深爱的某人因我犯下的错误而死。而我决不会让这种事情再发生了。</v>
      </c>
      <c r="AM30" s="381" t="str">
        <f t="shared" si="15"/>
        <v>当我看到一些有价值的东西时，就会一心只想如何偷到它。</v>
      </c>
      <c r="AN30" s="381" t="str">
        <f t="shared" si="15"/>
        <v>在面对金钱与朋友间的抉择时，我通常都选择金钱。</v>
      </c>
      <c r="AO30" s="381" t="str">
        <f t="shared" si="15"/>
        <v>每当要记住某个计划时，我总会忘掉。就是无法忘掉，我也会选择性无视它。</v>
      </c>
      <c r="AP30" s="381" t="str">
        <f t="shared" si="15"/>
        <v>我撒谎时会故意作出某些习惯动作。</v>
      </c>
      <c r="AQ30" s="381" t="str">
        <f t="shared" si="15"/>
        <v>当事情看起来似乎开始糟糕时，我会转身掉头就跑。</v>
      </c>
      <c r="AR30" s="381" t="str">
        <f t="shared" si="15"/>
        <v>一名无辜者因我犯下的某桩罪行而进了监狱。这事我觉得挺好</v>
      </c>
      <c r="AS30" s="382" t="str">
        <f t="shared" si="15"/>
        <v>我早年痛恨当局权威，并且认为当一个罪犯是对抗暴政和压迫的最好方式。</v>
      </c>
      <c r="AT30" s="382" t="str">
        <f t="shared" si="15"/>
        <v>我被迫走上犯罪的道路，这是我唯一能活下来的方法。</v>
      </c>
      <c r="AU30" s="382" t="str">
        <f t="shared" si="15"/>
        <v>我和一群无赖与废柴们混在一起，从他们那儿学到了我的罪犯专业。</v>
      </c>
      <c r="AV30" s="382" t="str">
        <f t="shared" si="15"/>
        <v>父亲/母亲或者某位亲戚教会了我这项罪犯专业，好让我加入家族的生意。</v>
      </c>
      <c r="AW30" s="382" t="str">
        <f t="shared" si="15"/>
        <v>我离开了家，在盗贼行会或者其他犯罪组织里找到了一席之地。</v>
      </c>
      <c r="AX30" s="382" t="str">
        <f t="shared" si="15"/>
        <v>我总是觉得无聊，所以转向犯罪来打发时间，并且发现我挺擅长干这个。</v>
      </c>
      <c r="AY30" s="180"/>
      <c r="AZ30" s="285"/>
      <c r="BA30" s="285"/>
      <c r="BB30" s="285"/>
      <c r="BC30" s="285"/>
      <c r="BD30" s="285"/>
      <c r="BE30" s="285"/>
      <c r="BF30" s="285"/>
      <c r="BG30" s="285"/>
      <c r="BH30" s="285"/>
      <c r="BI30" s="285"/>
      <c r="BJ30" s="285"/>
      <c r="BK30" s="285"/>
      <c r="BL30" s="285"/>
      <c r="BM30" s="285"/>
      <c r="BN30" s="285"/>
      <c r="BO30" s="285"/>
      <c r="BP30" s="285"/>
      <c r="BQ30" s="285"/>
      <c r="BR30" s="285"/>
      <c r="BS30" s="383"/>
    </row>
    <row r="31" spans="1:71" ht="14.4" customHeight="1" x14ac:dyDescent="0.25">
      <c r="A31" s="360" t="s">
        <v>750</v>
      </c>
      <c r="B31" s="355">
        <f>COUNTIF(C25:C29,"&gt;1")</f>
        <v>0</v>
      </c>
      <c r="C31" s="365"/>
      <c r="D31" s="394" t="s">
        <v>4815</v>
      </c>
      <c r="E31" s="118" t="str">
        <f t="array" ref="E31">INDEX(K:K,SMALL(IF($K$2:$K$59&lt;&gt;"",ROW($2:$59),60),ROW(K30)))&amp;""</f>
        <v>乌斯伽部族成员</v>
      </c>
      <c r="F31" s="1063"/>
      <c r="G31" s="395" t="e">
        <f>IF(AND(综合数据!B15=TRUE,H1&gt;0),"我容易受惊，但并不是懦夫。","")</f>
        <v>#N/A</v>
      </c>
      <c r="H31" s="198" t="e">
        <f t="array" ref="H31">INDEX(G:G,SMALL(IF($G$12:$G$31&lt;&gt;"",ROW($12:$31),32),ROW(H20)))&amp;""</f>
        <v>#N/A</v>
      </c>
      <c r="I31" s="1057"/>
      <c r="J31" s="198" t="str">
        <f>IFERROR(INDEX($AO$62:$BH$74,$J$1,6),"")</f>
        <v/>
      </c>
      <c r="K31" s="396" t="str">
        <f>IF(综合数据!B5=TRUE,"乌斯伽部族成员","")</f>
        <v>乌斯伽部族成员</v>
      </c>
      <c r="L31" s="194">
        <v>30</v>
      </c>
      <c r="M31" s="132" t="s">
        <v>4518</v>
      </c>
      <c r="N31" s="132" t="s">
        <v>4816</v>
      </c>
      <c r="O31" s="119" t="s">
        <v>4365</v>
      </c>
      <c r="P31" s="194" t="s">
        <v>4817</v>
      </c>
      <c r="Q31" s="194" t="s">
        <v>4818</v>
      </c>
      <c r="R31" s="132"/>
      <c r="S31" s="378" t="str">
        <f t="shared" ref="S31:AX31" si="16">S14</f>
        <v>我因旅行欲望的驱使而背井离乡。</v>
      </c>
      <c r="T31" s="378" t="str">
        <f t="shared" si="16"/>
        <v>我像照顾新生儿般照顾同伴。</v>
      </c>
      <c r="U31" s="378" t="str">
        <f t="shared" si="16"/>
        <v>我曾马不停蹄地跑了二十五里以警告氏族有兽人来袭。如果有必要，我还会这么干。</v>
      </c>
      <c r="V31" s="378" t="str">
        <f t="shared" si="16"/>
        <v>我善于观察自然，并从中获得应对任何境况的经验。</v>
      </c>
      <c r="W31" s="378" t="str">
        <f t="shared" si="16"/>
        <v>财富和礼貌无法帮你对抗一头饥饿枭熊，而我对看重这些东西的家伙不屑一顾。</v>
      </c>
      <c r="X31" s="378" t="str">
        <f t="shared" si="16"/>
        <v>我习惯偶尔从地上捡起些东西再漫不经心地摆弄，有的时候还会弄坏它们。</v>
      </c>
      <c r="Y31" s="378" t="str">
        <f t="shared" si="16"/>
        <v>相对于与人相处，和动物在一起会让我更自在。</v>
      </c>
      <c r="Z31" s="378" t="str">
        <f t="shared" si="16"/>
        <v>我实际上是个由狼养大的孩子。</v>
      </c>
      <c r="AA31" s="290" t="str">
        <f t="shared" si="16"/>
        <v>改变：生活如四季流转，变化不止，而我们必须与之一道改变。</v>
      </c>
      <c r="AB31" s="290" t="str">
        <f t="shared" si="16"/>
        <v>大义：部族整体的幸福，是每个成员的义务。</v>
      </c>
      <c r="AC31" s="290" t="str">
        <f t="shared" si="16"/>
        <v>荣誉：我若玷污荣誉，便是给整个氏族蒙羞。</v>
      </c>
      <c r="AD31" s="290" t="str">
        <f t="shared" si="16"/>
        <v>力量：最强者即是规矩本身。</v>
      </c>
      <c r="AE31" s="379" t="str">
        <f t="shared" si="16"/>
        <v>自然：大自然比任何文明造物都重要。</v>
      </c>
      <c r="AF31" s="290" t="str">
        <f t="shared" si="16"/>
        <v>光荣：我必须在战斗中赢得荣耀，既为自己也为氏族。</v>
      </c>
      <c r="AG31" s="380" t="str">
        <f t="shared" si="16"/>
        <v>即使与其异地相隔，我的家族，氏族或部族是我生命中最重要的事物。</v>
      </c>
      <c r="AH31" s="380" t="str">
        <f t="shared" si="16"/>
        <v>破坏家园的原始风貌即是对我的伤害。</v>
      </c>
      <c r="AI31" s="380" t="str">
        <f t="shared" si="16"/>
        <v>我会让那些摧毁我家乡的恶徒见识什么叫狂怒。</v>
      </c>
      <c r="AJ31" s="380" t="str">
        <f t="shared" si="16"/>
        <v>我是部族最后的遗孤，因而只剩我可以让部族的威名成为传奇。</v>
      </c>
      <c r="AK31" s="380" t="str">
        <f t="shared" si="16"/>
        <v>我眼前时常浮现灾难将至的幻景，我要尽全力阻止其发生。</v>
      </c>
      <c r="AL31" s="380" t="str">
        <f t="shared" si="16"/>
        <v>抚养幼童继承部族是我的责任。</v>
      </c>
      <c r="AM31" s="381" t="str">
        <f t="shared" si="16"/>
        <v>我过度痴迷于麦酒、葡萄酒等醉人之物。</v>
      </c>
      <c r="AN31" s="381" t="str">
        <f t="shared" si="16"/>
        <v>繁忙充实的生活里没有谨慎的余地。</v>
      </c>
      <c r="AO31" s="381" t="str">
        <f t="shared" si="16"/>
        <v>我会记住每次侮辱，并对委屈我的人抱以无声的怨恨。</v>
      </c>
      <c r="AP31" s="381" t="str">
        <f t="shared" si="16"/>
        <v>我容易信任对那些来自其他种族，部族或社群的人。</v>
      </c>
      <c r="AQ31" s="381" t="str">
        <f t="shared" si="16"/>
        <v>大多时候我会选择用暴力克服难题。</v>
      </c>
      <c r="AR31" s="381" t="str">
        <f t="shared" si="16"/>
        <v>我不会救那些无法自救者。物竞天择，强者生存。</v>
      </c>
      <c r="AS31" s="382" t="str">
        <f t="shared" si="16"/>
        <v>我早年在野外度过了许多时间，喜欢上了这种生活方式。</v>
      </c>
      <c r="AT31" s="382" t="str">
        <f t="shared" si="16"/>
        <v>从以前开始我就无法忍受臭烘烘的城市，宁愿待在大自然中。</v>
      </c>
      <c r="AU31" s="382" t="str">
        <f t="shared" si="16"/>
        <v>我了解到那些潜伏在野外的黑暗，发誓要与之战斗。</v>
      </c>
      <c r="AV31" s="382" t="str">
        <f t="shared" si="16"/>
        <v>我的族群生活在文明的边沿，我从家人那里学到了在野外生存的技巧。</v>
      </c>
      <c r="AW31" s="382" t="str">
        <f t="shared" si="16"/>
        <v>在一次悲惨的遭遇之后，我抛下了原来的生活，退到了荒野中。</v>
      </c>
      <c r="AX31" s="382" t="str">
        <f t="shared" si="16"/>
        <v>我的家庭从文明社会中迁离了，我学会了适应新环境。</v>
      </c>
      <c r="AY31" s="180"/>
      <c r="AZ31" s="285"/>
      <c r="BA31" s="285"/>
      <c r="BB31" s="285"/>
      <c r="BC31" s="285"/>
      <c r="BD31" s="285"/>
      <c r="BE31" s="285"/>
      <c r="BF31" s="285"/>
      <c r="BG31" s="285"/>
      <c r="BH31" s="285"/>
      <c r="BI31" s="285"/>
      <c r="BJ31" s="285"/>
      <c r="BK31" s="285"/>
      <c r="BL31" s="285"/>
      <c r="BM31" s="285"/>
      <c r="BN31" s="285"/>
      <c r="BO31" s="285"/>
      <c r="BP31" s="285"/>
      <c r="BQ31" s="285"/>
      <c r="BR31" s="285"/>
      <c r="BS31" s="383"/>
    </row>
    <row r="32" spans="1:71" ht="14.4" customHeight="1" x14ac:dyDescent="0.25">
      <c r="D32" s="400" t="s">
        <v>4819</v>
      </c>
      <c r="E32" s="118" t="str">
        <f t="array" ref="E32">INDEX(K:K,SMALL(IF($K$2:$K$59&lt;&gt;"",ROW($2:$59),60),ROW(K31)))&amp;""</f>
        <v>深水人贵族</v>
      </c>
      <c r="F32" s="393"/>
      <c r="H32" s="352"/>
      <c r="I32" s="1057"/>
      <c r="J32" s="198" t="str">
        <f>IFERROR(INDEX($AO$62:$BH$74,$J$1,7),"")</f>
        <v/>
      </c>
      <c r="K32" s="396" t="str">
        <f>IF(综合数据!B5=TRUE,"深水人贵族","")</f>
        <v>深水人贵族</v>
      </c>
      <c r="L32" s="194">
        <v>31</v>
      </c>
      <c r="M32" s="119" t="s">
        <v>4476</v>
      </c>
      <c r="N32" s="119" t="s">
        <v>4820</v>
      </c>
      <c r="O32" s="119" t="s">
        <v>4365</v>
      </c>
      <c r="P32" s="283" t="s">
        <v>4821</v>
      </c>
      <c r="Q32" s="283" t="s">
        <v>4822</v>
      </c>
      <c r="R32" s="119"/>
      <c r="S32" s="378" t="str">
        <f t="shared" ref="S32:AX32" si="17">S12</f>
        <v>我的阿谀奉承能让其他人觉得自己举世无双。</v>
      </c>
      <c r="T32" s="378" t="str">
        <f t="shared" si="17"/>
        <v>平民们因我的仁慈和慷慨而喜爱我。</v>
      </c>
      <c r="U32" s="378" t="str">
        <f t="shared" si="17"/>
        <v>众所周知只要看一眼我威严的仪态，就能明白我和下层民众截然不同。</v>
      </c>
      <c r="V32" s="378" t="str">
        <f t="shared" si="17"/>
        <v>我为了时尚和美貌忍受了很大痛苦。</v>
      </c>
      <c r="W32" s="378" t="str">
        <f t="shared" si="17"/>
        <v>我不喜欢干脏活，更不会因不舒适的食宿勉强自己。</v>
      </c>
      <c r="X32" s="378" t="str">
        <f t="shared" si="17"/>
        <v>我拥有贵族的血统，但并不认为自己比平民百姓更高贵。我们流的血是相同的。</v>
      </c>
      <c r="Y32" s="378" t="str">
        <f t="shared" si="17"/>
        <v>一旦辜负我的期待，就将永远失去我的青睐。</v>
      </c>
      <c r="Z32" s="378" t="str">
        <f t="shared" si="17"/>
        <v>我一受到伤害就要碾碎对方，乃至辱其名声毁其土地。</v>
      </c>
      <c r="AA32" s="290" t="str">
        <f t="shared" si="17"/>
        <v>尊重：人们尊敬我是因为我的地位，但任何人无论地位高低，都应该被体面地对待。</v>
      </c>
      <c r="AB32" s="290" t="str">
        <f t="shared" si="17"/>
        <v>责任：我将服从上级视为责任，正如我的下属也必须要服从我一样。</v>
      </c>
      <c r="AC32" s="290" t="str">
        <f t="shared" si="17"/>
        <v>独立：我必须证明自己即使不借助家族的力量也仍可以自食其力。</v>
      </c>
      <c r="AD32" s="290" t="str">
        <f t="shared" si="17"/>
        <v>权力：只要我掌握了更大的权力，就没人能对我指手画脚了。</v>
      </c>
      <c r="AE32" s="379" t="str">
        <f t="shared" si="17"/>
        <v>家族：血浓于水。</v>
      </c>
      <c r="AF32" s="290" t="str">
        <f t="shared" si="17"/>
        <v>贵族义务：保护依附我的人们，是我的责任。</v>
      </c>
      <c r="AG32" s="380" t="str">
        <f t="shared" si="17"/>
        <v>为了获得家族的认可，我可以面对任何挑战。</v>
      </c>
      <c r="AH32" s="380" t="str">
        <f t="shared" si="17"/>
        <v>我必须不惜代价的维持住两个家族之间的联姻关系。</v>
      </c>
      <c r="AI32" s="380" t="str">
        <f t="shared" si="17"/>
        <v>任何事物都不如家族血亲更重要。</v>
      </c>
      <c r="AJ32" s="380" t="str">
        <f t="shared" si="17"/>
        <v>我爱上了家族所不齿的另一个家族的子嗣。</v>
      </c>
      <c r="AK32" s="380" t="str">
        <f t="shared" si="17"/>
        <v>我对主君的忠诚固若泰山。</v>
      </c>
      <c r="AL32" s="380" t="str">
        <f t="shared" si="17"/>
        <v>平民们将我视作人民的英雄。</v>
      </c>
      <c r="AM32" s="381" t="str">
        <f t="shared" si="17"/>
        <v>我暗自认为自己比所有人都高贵。</v>
      </c>
      <c r="AN32" s="381" t="str">
        <f t="shared" si="17"/>
        <v>我努力遮掩一个会永远摧毁家族的可耻秘密。</v>
      </c>
      <c r="AO32" s="381" t="str">
        <f t="shared" si="17"/>
        <v>我总会听到针对我的隐晦侮辱与威胁，且轻易就会因此而发怒。</v>
      </c>
      <c r="AP32" s="381" t="str">
        <f t="shared" si="17"/>
        <v>我总是放纵自己的肉体欲望。</v>
      </c>
      <c r="AQ32" s="381" t="str">
        <f t="shared" si="17"/>
        <v>事实上，世界就是围着我转的。</v>
      </c>
      <c r="AR32" s="381" t="str">
        <f t="shared" si="17"/>
        <v>我的言行总会为家族带来耻辱。</v>
      </c>
      <c r="AS32" s="382" t="str">
        <f t="shared" si="17"/>
        <v>我来自一个古老而显赫的家族，我必须要对得起家族的名誉。</v>
      </c>
      <c r="AT32" s="382" t="str">
        <f t="shared" si="17"/>
        <v>我的家族已经蒙羞，我打算挽回它的名誉。</v>
      </c>
      <c r="AU32" s="382" t="str">
        <f t="shared" si="17"/>
        <v>我的家族刚刚获得贵族头衔，这项拔擢把我们陡然推进了一个全新而奇异的世界。</v>
      </c>
      <c r="AV32" s="382" t="str">
        <f t="shared" si="17"/>
        <v>我的家族空有贵族头衔，祖上从没出过一个有名望的人。</v>
      </c>
      <c r="AW32" s="382" t="str">
        <f t="shared" si="17"/>
        <v>我的家族里人才济济，我希望自己不辜负这些榜样。</v>
      </c>
      <c r="AX32" s="382" t="str">
        <f t="shared" si="17"/>
        <v>我希望增加我家族的权利和影响力。</v>
      </c>
      <c r="AY32" s="180"/>
      <c r="AZ32" s="285"/>
      <c r="BA32" s="285"/>
      <c r="BB32" s="285"/>
      <c r="BC32" s="285"/>
      <c r="BD32" s="285"/>
      <c r="BE32" s="285"/>
      <c r="BF32" s="285"/>
      <c r="BG32" s="285"/>
      <c r="BH32" s="285"/>
      <c r="BI32" s="285"/>
      <c r="BJ32" s="285"/>
      <c r="BK32" s="285"/>
      <c r="BL32" s="285"/>
      <c r="BM32" s="285"/>
      <c r="BN32" s="285"/>
      <c r="BO32" s="285"/>
      <c r="BP32" s="285"/>
      <c r="BQ32" s="285"/>
      <c r="BR32" s="285"/>
      <c r="BS32" s="383"/>
    </row>
    <row r="33" spans="5:71" ht="14.4" customHeight="1" x14ac:dyDescent="0.25">
      <c r="E33" s="118" t="str">
        <f t="array" ref="E33">INDEX(K:K,SMALL(IF($K$2:$K$59&lt;&gt;"",ROW($2:$59),60),ROW(K32)))&amp;""</f>
        <v>俄佐立官员</v>
      </c>
      <c r="F33" s="1052" t="s">
        <v>5</v>
      </c>
      <c r="G33" s="180" t="str">
        <f>IFERROR(INDEX($AA$2:$AF$60,$H$1,1),"")</f>
        <v/>
      </c>
      <c r="H33" s="352" t="e">
        <f t="array" ref="H33">INDEX(G:G,SMALL(IF($G$33:$G$50&lt;&gt;"",ROW($33:$50),51),ROW(H1)))&amp;""</f>
        <v>#N/A</v>
      </c>
      <c r="I33" s="1057"/>
      <c r="J33" s="198" t="str">
        <f>IFERROR(INDEX($AO$62:$BH$74,$J$1,8),"")</f>
        <v/>
      </c>
      <c r="K33" s="401" t="str">
        <f>IF(综合数据!B9=TRUE,"俄佐立官员","")</f>
        <v>俄佐立官员</v>
      </c>
      <c r="L33" s="385">
        <v>32</v>
      </c>
      <c r="M33" s="119" t="s">
        <v>4823</v>
      </c>
      <c r="N33" s="180"/>
      <c r="O33" s="119" t="s">
        <v>4116</v>
      </c>
      <c r="P33" s="283" t="s">
        <v>4824</v>
      </c>
      <c r="Q33" s="283" t="s">
        <v>4825</v>
      </c>
      <c r="R33" s="119" t="s">
        <v>4826</v>
      </c>
      <c r="S33" s="378" t="s">
        <v>4827</v>
      </c>
      <c r="T33" s="378" t="s">
        <v>4828</v>
      </c>
      <c r="U33" s="378" t="s">
        <v>4829</v>
      </c>
      <c r="V33" s="378" t="s">
        <v>4830</v>
      </c>
      <c r="W33" s="378" t="s">
        <v>4831</v>
      </c>
      <c r="X33" s="378" t="s">
        <v>4832</v>
      </c>
      <c r="Y33" s="378" t="s">
        <v>4833</v>
      </c>
      <c r="Z33" s="378" t="s">
        <v>4834</v>
      </c>
      <c r="AA33" s="290" t="s">
        <v>4835</v>
      </c>
      <c r="AB33" s="290" t="s">
        <v>4836</v>
      </c>
      <c r="AC33" s="290" t="s">
        <v>4837</v>
      </c>
      <c r="AD33" s="290" t="s">
        <v>4838</v>
      </c>
      <c r="AE33" s="379" t="s">
        <v>4839</v>
      </c>
      <c r="AF33" s="290" t="s">
        <v>4840</v>
      </c>
      <c r="AG33" s="380" t="s">
        <v>4841</v>
      </c>
      <c r="AH33" s="380" t="s">
        <v>4842</v>
      </c>
      <c r="AI33" s="380" t="s">
        <v>4843</v>
      </c>
      <c r="AJ33" s="380" t="s">
        <v>4844</v>
      </c>
      <c r="AK33" s="380" t="s">
        <v>4845</v>
      </c>
      <c r="AL33" s="380" t="s">
        <v>4846</v>
      </c>
      <c r="AM33" s="381" t="s">
        <v>4847</v>
      </c>
      <c r="AN33" s="381" t="s">
        <v>4848</v>
      </c>
      <c r="AO33" s="381" t="s">
        <v>4849</v>
      </c>
      <c r="AP33" s="381" t="s">
        <v>4850</v>
      </c>
      <c r="AQ33" s="381" t="s">
        <v>4851</v>
      </c>
      <c r="AR33" s="381" t="s">
        <v>4852</v>
      </c>
      <c r="AS33" s="382"/>
      <c r="AT33" s="382"/>
      <c r="AU33" s="382"/>
      <c r="AV33" s="382"/>
      <c r="AW33" s="382"/>
      <c r="AX33" s="382"/>
      <c r="AY33" s="119"/>
      <c r="AZ33" s="283"/>
      <c r="BA33" s="283"/>
      <c r="BB33" s="283"/>
      <c r="BC33" s="283"/>
      <c r="BD33" s="283"/>
      <c r="BE33" s="283"/>
      <c r="BF33" s="283"/>
      <c r="BG33" s="283"/>
      <c r="BH33" s="283"/>
      <c r="BI33" s="283"/>
      <c r="BJ33" s="285"/>
      <c r="BK33" s="285"/>
      <c r="BL33" s="285"/>
      <c r="BM33" s="285"/>
      <c r="BN33" s="285"/>
      <c r="BO33" s="285"/>
      <c r="BP33" s="285"/>
      <c r="BQ33" s="285"/>
      <c r="BR33" s="285"/>
      <c r="BS33" s="383"/>
    </row>
    <row r="34" spans="5:71" ht="14.4" customHeight="1" x14ac:dyDescent="0.25">
      <c r="E34" s="118" t="str">
        <f t="array" ref="E34">INDEX(K:K,SMALL(IF($K$2:$K$59&lt;&gt;"",ROW($2:$59),60),ROW(K33)))&amp;""</f>
        <v>波洛斯军团兵</v>
      </c>
      <c r="F34" s="1052"/>
      <c r="G34" s="180" t="str">
        <f>IFERROR(INDEX($AA$2:$AF$60,$H$1,2),"")</f>
        <v/>
      </c>
      <c r="H34" s="352" t="e">
        <f t="array" ref="H34">INDEX(G:G,SMALL(IF($G$33:$G$50&lt;&gt;"",ROW($33:$50),51),ROW(H2)))&amp;""</f>
        <v>#N/A</v>
      </c>
      <c r="I34" s="1057"/>
      <c r="J34" s="198" t="str">
        <f>IFERROR(INDEX($AO$62:$BH$74,$J$1,9),"")</f>
        <v/>
      </c>
      <c r="K34" s="401" t="str">
        <f>IF(综合数据!B9=TRUE,"波洛斯军团兵","")</f>
        <v>波洛斯军团兵</v>
      </c>
      <c r="L34" s="385">
        <v>33</v>
      </c>
      <c r="M34" s="119" t="s">
        <v>4853</v>
      </c>
      <c r="N34" s="119" t="s">
        <v>4477</v>
      </c>
      <c r="O34" s="119" t="s">
        <v>4854</v>
      </c>
      <c r="P34" s="283" t="s">
        <v>4855</v>
      </c>
      <c r="Q34" s="283" t="s">
        <v>4856</v>
      </c>
      <c r="R34" s="119" t="s">
        <v>4857</v>
      </c>
      <c r="S34" s="378" t="s">
        <v>4858</v>
      </c>
      <c r="T34" s="378" t="s">
        <v>4859</v>
      </c>
      <c r="U34" s="378" t="s">
        <v>4860</v>
      </c>
      <c r="V34" s="378" t="s">
        <v>4861</v>
      </c>
      <c r="W34" s="378" t="s">
        <v>4862</v>
      </c>
      <c r="X34" s="378" t="s">
        <v>4863</v>
      </c>
      <c r="Y34" s="378" t="s">
        <v>4864</v>
      </c>
      <c r="Z34" s="378" t="s">
        <v>4865</v>
      </c>
      <c r="AA34" s="290" t="s">
        <v>4835</v>
      </c>
      <c r="AB34" s="290" t="s">
        <v>4866</v>
      </c>
      <c r="AC34" s="290" t="s">
        <v>4867</v>
      </c>
      <c r="AD34" s="290" t="s">
        <v>4868</v>
      </c>
      <c r="AE34" s="379" t="s">
        <v>4869</v>
      </c>
      <c r="AF34" s="290" t="s">
        <v>4870</v>
      </c>
      <c r="AG34" s="380" t="s">
        <v>4871</v>
      </c>
      <c r="AH34" s="380" t="s">
        <v>4872</v>
      </c>
      <c r="AI34" s="380" t="s">
        <v>4873</v>
      </c>
      <c r="AJ34" s="380" t="s">
        <v>4874</v>
      </c>
      <c r="AK34" s="380" t="s">
        <v>4875</v>
      </c>
      <c r="AL34" s="380" t="s">
        <v>4876</v>
      </c>
      <c r="AM34" s="381" t="s">
        <v>4877</v>
      </c>
      <c r="AN34" s="381" t="s">
        <v>4878</v>
      </c>
      <c r="AO34" s="381" t="s">
        <v>4879</v>
      </c>
      <c r="AP34" s="381" t="s">
        <v>4880</v>
      </c>
      <c r="AQ34" s="381" t="s">
        <v>4881</v>
      </c>
      <c r="AR34" s="381" t="s">
        <v>4882</v>
      </c>
      <c r="AS34" s="382"/>
      <c r="AT34" s="382"/>
      <c r="AU34" s="382"/>
      <c r="AV34" s="382"/>
      <c r="AW34" s="382"/>
      <c r="AX34" s="382"/>
      <c r="AY34" s="119"/>
      <c r="AZ34" s="283"/>
      <c r="BA34" s="283"/>
      <c r="BB34" s="283"/>
      <c r="BC34" s="283"/>
      <c r="BD34" s="283"/>
      <c r="BE34" s="283"/>
      <c r="BF34" s="283"/>
      <c r="BG34" s="285"/>
      <c r="BH34" s="285"/>
      <c r="BI34" s="285"/>
      <c r="BJ34" s="285"/>
      <c r="BK34" s="285"/>
      <c r="BL34" s="285"/>
      <c r="BM34" s="285"/>
      <c r="BN34" s="285"/>
      <c r="BO34" s="285"/>
      <c r="BP34" s="285"/>
      <c r="BQ34" s="285"/>
      <c r="BR34" s="285"/>
      <c r="BS34" s="383"/>
    </row>
    <row r="35" spans="5:71" ht="14.4" customHeight="1" x14ac:dyDescent="0.25">
      <c r="E35" s="118" t="str">
        <f t="array" ref="E35">INDEX(K:K,SMALL(IF($K$2:$K$59&lt;&gt;"",ROW($2:$59),60),ROW(K34)))&amp;""</f>
        <v>底密尔特务</v>
      </c>
      <c r="F35" s="1052"/>
      <c r="G35" s="180" t="str">
        <f>IFERROR(INDEX($AA$2:$AF$60,$H$1,3),"")</f>
        <v/>
      </c>
      <c r="H35" s="352" t="e">
        <f t="array" ref="H35">INDEX(G:G,SMALL(IF($G$33:$G$50&lt;&gt;"",ROW($33:$50),51),ROW(H3)))&amp;""</f>
        <v>#N/A</v>
      </c>
      <c r="I35" s="1057"/>
      <c r="J35" s="198" t="str">
        <f>IFERROR(INDEX($AO$62:$BH$74,$J$1,10),"")</f>
        <v/>
      </c>
      <c r="K35" s="401" t="str">
        <f>IF(综合数据!B9=TRUE,"底密尔特务","")</f>
        <v>底密尔特务</v>
      </c>
      <c r="L35" s="385">
        <v>34</v>
      </c>
      <c r="M35" s="119" t="s">
        <v>4201</v>
      </c>
      <c r="N35" s="119" t="s">
        <v>3774</v>
      </c>
      <c r="O35" s="119" t="s">
        <v>4365</v>
      </c>
      <c r="P35" s="283" t="s">
        <v>4883</v>
      </c>
      <c r="Q35" s="283" t="s">
        <v>4884</v>
      </c>
      <c r="R35" s="119" t="s">
        <v>4885</v>
      </c>
      <c r="S35" s="378" t="s">
        <v>4886</v>
      </c>
      <c r="T35" s="378" t="s">
        <v>4887</v>
      </c>
      <c r="U35" s="378" t="s">
        <v>4888</v>
      </c>
      <c r="V35" s="378" t="s">
        <v>4889</v>
      </c>
      <c r="W35" s="378" t="s">
        <v>4890</v>
      </c>
      <c r="X35" s="378" t="s">
        <v>4891</v>
      </c>
      <c r="Y35" s="378" t="s">
        <v>4892</v>
      </c>
      <c r="Z35" s="378" t="s">
        <v>4893</v>
      </c>
      <c r="AA35" s="290" t="s">
        <v>4894</v>
      </c>
      <c r="AB35" s="290" t="s">
        <v>4895</v>
      </c>
      <c r="AC35" s="290" t="s">
        <v>4896</v>
      </c>
      <c r="AD35" s="290" t="s">
        <v>4897</v>
      </c>
      <c r="AE35" s="379" t="s">
        <v>4898</v>
      </c>
      <c r="AF35" s="290" t="s">
        <v>4899</v>
      </c>
      <c r="AG35" s="380" t="s">
        <v>4900</v>
      </c>
      <c r="AH35" s="380" t="s">
        <v>4901</v>
      </c>
      <c r="AI35" s="380" t="s">
        <v>4902</v>
      </c>
      <c r="AJ35" s="380" t="s">
        <v>4903</v>
      </c>
      <c r="AK35" s="380" t="s">
        <v>4904</v>
      </c>
      <c r="AL35" s="380" t="s">
        <v>4905</v>
      </c>
      <c r="AM35" s="381" t="s">
        <v>4906</v>
      </c>
      <c r="AN35" s="381" t="s">
        <v>4907</v>
      </c>
      <c r="AO35" s="381" t="s">
        <v>4908</v>
      </c>
      <c r="AP35" s="381" t="s">
        <v>4909</v>
      </c>
      <c r="AQ35" s="381" t="s">
        <v>4910</v>
      </c>
      <c r="AR35" s="381" t="s">
        <v>4911</v>
      </c>
      <c r="AS35" s="382"/>
      <c r="AT35" s="382"/>
      <c r="AU35" s="382"/>
      <c r="AV35" s="382"/>
      <c r="AW35" s="382"/>
      <c r="AX35" s="382"/>
      <c r="AY35" s="119" t="s">
        <v>4912</v>
      </c>
      <c r="AZ35" s="283" t="s">
        <v>4913</v>
      </c>
      <c r="BA35" s="283" t="s">
        <v>4914</v>
      </c>
      <c r="BB35" s="283" t="s">
        <v>4915</v>
      </c>
      <c r="BC35" s="283" t="s">
        <v>4916</v>
      </c>
      <c r="BD35" s="283" t="s">
        <v>4917</v>
      </c>
      <c r="BE35" s="283" t="s">
        <v>4918</v>
      </c>
      <c r="BF35" s="283" t="s">
        <v>4919</v>
      </c>
      <c r="BG35" s="283" t="s">
        <v>4920</v>
      </c>
      <c r="BH35" s="285"/>
      <c r="BI35" s="285"/>
      <c r="BJ35" s="285"/>
      <c r="BK35" s="285"/>
      <c r="BL35" s="285"/>
      <c r="BM35" s="285"/>
      <c r="BN35" s="285"/>
      <c r="BO35" s="285"/>
      <c r="BP35" s="285"/>
      <c r="BQ35" s="285"/>
      <c r="BR35" s="285"/>
      <c r="BS35" s="383"/>
    </row>
    <row r="36" spans="5:71" ht="14.4" customHeight="1" x14ac:dyDescent="0.25">
      <c r="E36" s="118" t="str">
        <f t="array" ref="E36">INDEX(K:K,SMALL(IF($K$2:$K$59&lt;&gt;"",ROW($2:$59),60),ROW(K35)))&amp;""</f>
        <v>葛加理成员</v>
      </c>
      <c r="F36" s="1052"/>
      <c r="G36" s="180" t="str">
        <f>IFERROR(INDEX($AA$2:$AF$60,$H$1,4),"")</f>
        <v/>
      </c>
      <c r="H36" s="352" t="e">
        <f t="array" ref="H36">INDEX(G:G,SMALL(IF($G$33:$G$50&lt;&gt;"",ROW($33:$50),51),ROW(H4)))&amp;""</f>
        <v>#N/A</v>
      </c>
      <c r="I36" s="1057"/>
      <c r="J36" s="198" t="str">
        <f>IFERROR(INDEX($AO$62:$BH$74,$J$1,11),"")</f>
        <v/>
      </c>
      <c r="K36" s="401" t="str">
        <f>IF(综合数据!B9=TRUE,"葛加理成员","")</f>
        <v>葛加理成员</v>
      </c>
      <c r="L36" s="385">
        <v>35</v>
      </c>
      <c r="M36" s="119" t="s">
        <v>4921</v>
      </c>
      <c r="N36" s="119" t="s">
        <v>3853</v>
      </c>
      <c r="O36" s="119" t="s">
        <v>4922</v>
      </c>
      <c r="P36" s="283" t="s">
        <v>4923</v>
      </c>
      <c r="Q36" s="283" t="s">
        <v>4924</v>
      </c>
      <c r="R36" s="119" t="s">
        <v>4925</v>
      </c>
      <c r="S36" s="378" t="s">
        <v>4926</v>
      </c>
      <c r="T36" s="378" t="s">
        <v>4927</v>
      </c>
      <c r="U36" s="378" t="s">
        <v>4928</v>
      </c>
      <c r="V36" s="378" t="s">
        <v>4929</v>
      </c>
      <c r="W36" s="378" t="s">
        <v>4930</v>
      </c>
      <c r="X36" s="378" t="s">
        <v>4931</v>
      </c>
      <c r="Y36" s="378" t="s">
        <v>4932</v>
      </c>
      <c r="Z36" s="378" t="s">
        <v>4933</v>
      </c>
      <c r="AA36" s="290" t="s">
        <v>4934</v>
      </c>
      <c r="AB36" s="290" t="s">
        <v>4935</v>
      </c>
      <c r="AC36" s="290" t="s">
        <v>4936</v>
      </c>
      <c r="AD36" s="290" t="s">
        <v>4937</v>
      </c>
      <c r="AE36" s="379" t="s">
        <v>4938</v>
      </c>
      <c r="AF36" s="290" t="s">
        <v>4939</v>
      </c>
      <c r="AG36" s="380" t="s">
        <v>4940</v>
      </c>
      <c r="AH36" s="380" t="s">
        <v>4941</v>
      </c>
      <c r="AI36" s="380" t="s">
        <v>4942</v>
      </c>
      <c r="AJ36" s="380" t="s">
        <v>4943</v>
      </c>
      <c r="AK36" s="380" t="s">
        <v>4944</v>
      </c>
      <c r="AL36" s="380" t="s">
        <v>4945</v>
      </c>
      <c r="AM36" s="381" t="s">
        <v>4946</v>
      </c>
      <c r="AN36" s="381" t="s">
        <v>4947</v>
      </c>
      <c r="AO36" s="381" t="s">
        <v>4948</v>
      </c>
      <c r="AP36" s="381" t="s">
        <v>4949</v>
      </c>
      <c r="AQ36" s="381" t="s">
        <v>4950</v>
      </c>
      <c r="AR36" s="381" t="s">
        <v>4951</v>
      </c>
      <c r="AS36" s="382"/>
      <c r="AT36" s="382"/>
      <c r="AU36" s="382"/>
      <c r="AV36" s="382"/>
      <c r="AW36" s="382"/>
      <c r="AX36" s="382"/>
      <c r="AY36" s="180"/>
      <c r="AZ36" s="285"/>
      <c r="BA36" s="285"/>
      <c r="BB36" s="285"/>
      <c r="BC36" s="285"/>
      <c r="BD36" s="285"/>
      <c r="BE36" s="285"/>
      <c r="BF36" s="285"/>
      <c r="BG36" s="285"/>
      <c r="BH36" s="285"/>
      <c r="BI36" s="285"/>
      <c r="BJ36" s="285"/>
      <c r="BK36" s="285"/>
      <c r="BL36" s="285"/>
      <c r="BM36" s="285"/>
      <c r="BN36" s="285"/>
      <c r="BO36" s="285"/>
      <c r="BP36" s="285"/>
      <c r="BQ36" s="285"/>
      <c r="BR36" s="285"/>
      <c r="BS36" s="383"/>
    </row>
    <row r="37" spans="5:71" ht="14.4" customHeight="1" x14ac:dyDescent="0.25">
      <c r="E37" s="118" t="str">
        <f t="array" ref="E37">INDEX(K:K,SMALL(IF($K$2:$K$59&lt;&gt;"",ROW($2:$59),60),ROW(K36)))&amp;""</f>
        <v>古鲁反抗者</v>
      </c>
      <c r="F37" s="1052"/>
      <c r="G37" s="180" t="str">
        <f>IFERROR(INDEX($AA$2:$AF$60,$H$1,5),"")</f>
        <v/>
      </c>
      <c r="H37" s="352" t="e">
        <f t="array" ref="H37">INDEX(G:G,SMALL(IF($G$33:$G$50&lt;&gt;"",ROW($33:$50),51),ROW(H5)))&amp;""</f>
        <v>#N/A</v>
      </c>
      <c r="I37" s="1057"/>
      <c r="J37" s="198" t="str">
        <f>IFERROR(INDEX($AO$62:$BH$74,$J$1,12),"")</f>
        <v/>
      </c>
      <c r="K37" s="401" t="str">
        <f>IF(综合数据!B9=TRUE,"古鲁反抗者","")</f>
        <v>古鲁反抗者</v>
      </c>
      <c r="L37" s="385">
        <v>36</v>
      </c>
      <c r="M37" s="119" t="s">
        <v>4952</v>
      </c>
      <c r="N37" s="119" t="s">
        <v>1538</v>
      </c>
      <c r="O37" s="119" t="s">
        <v>4953</v>
      </c>
      <c r="P37" s="283" t="s">
        <v>4954</v>
      </c>
      <c r="Q37" s="283" t="s">
        <v>4955</v>
      </c>
      <c r="R37" s="119" t="s">
        <v>4956</v>
      </c>
      <c r="S37" s="378" t="s">
        <v>4957</v>
      </c>
      <c r="T37" s="378" t="s">
        <v>4958</v>
      </c>
      <c r="U37" s="378" t="s">
        <v>4959</v>
      </c>
      <c r="V37" s="378" t="s">
        <v>4960</v>
      </c>
      <c r="W37" s="378" t="s">
        <v>4961</v>
      </c>
      <c r="X37" s="378" t="s">
        <v>4962</v>
      </c>
      <c r="Y37" s="378" t="s">
        <v>4963</v>
      </c>
      <c r="Z37" s="378" t="s">
        <v>4964</v>
      </c>
      <c r="AA37" s="290" t="s">
        <v>4965</v>
      </c>
      <c r="AB37" s="290" t="s">
        <v>4966</v>
      </c>
      <c r="AC37" s="290" t="s">
        <v>4967</v>
      </c>
      <c r="AD37" s="290" t="s">
        <v>4968</v>
      </c>
      <c r="AE37" s="379" t="s">
        <v>4969</v>
      </c>
      <c r="AF37" s="290" t="s">
        <v>4970</v>
      </c>
      <c r="AG37" s="380" t="s">
        <v>4971</v>
      </c>
      <c r="AH37" s="380" t="s">
        <v>4972</v>
      </c>
      <c r="AI37" s="380" t="s">
        <v>4973</v>
      </c>
      <c r="AJ37" s="380" t="s">
        <v>4974</v>
      </c>
      <c r="AK37" s="380" t="s">
        <v>4975</v>
      </c>
      <c r="AL37" s="380" t="s">
        <v>4976</v>
      </c>
      <c r="AM37" s="381" t="s">
        <v>4977</v>
      </c>
      <c r="AN37" s="381" t="s">
        <v>4978</v>
      </c>
      <c r="AO37" s="381" t="s">
        <v>4979</v>
      </c>
      <c r="AP37" s="381" t="s">
        <v>4980</v>
      </c>
      <c r="AQ37" s="381" t="s">
        <v>4981</v>
      </c>
      <c r="AR37" s="381" t="s">
        <v>4982</v>
      </c>
      <c r="AS37" s="382"/>
      <c r="AT37" s="382"/>
      <c r="AU37" s="382"/>
      <c r="AV37" s="382"/>
      <c r="AW37" s="382"/>
      <c r="AX37" s="382"/>
      <c r="AY37" s="119" t="s">
        <v>4983</v>
      </c>
      <c r="AZ37" s="283" t="s">
        <v>4984</v>
      </c>
      <c r="BA37" s="283" t="s">
        <v>4985</v>
      </c>
      <c r="BB37" s="283" t="s">
        <v>4986</v>
      </c>
      <c r="BC37" s="283" t="s">
        <v>4987</v>
      </c>
      <c r="BD37" s="283" t="s">
        <v>4988</v>
      </c>
      <c r="BE37" s="283" t="s">
        <v>4989</v>
      </c>
      <c r="BF37" s="283" t="s">
        <v>4990</v>
      </c>
      <c r="BG37" s="283" t="s">
        <v>4991</v>
      </c>
      <c r="BH37" s="285"/>
      <c r="BI37" s="285"/>
      <c r="BJ37" s="285"/>
      <c r="BK37" s="285"/>
      <c r="BL37" s="285"/>
      <c r="BM37" s="285"/>
      <c r="BN37" s="285"/>
      <c r="BO37" s="285"/>
      <c r="BP37" s="285"/>
      <c r="BQ37" s="285"/>
      <c r="BR37" s="285"/>
      <c r="BS37" s="383"/>
    </row>
    <row r="38" spans="5:71" ht="14.4" customHeight="1" x14ac:dyDescent="0.25">
      <c r="E38" s="118" t="str">
        <f t="array" ref="E38">INDEX(K:K,SMALL(IF($K$2:$K$59&lt;&gt;"",ROW($2:$59),60),ROW(K37)))&amp;""</f>
        <v>伊捷工程师</v>
      </c>
      <c r="F38" s="1052"/>
      <c r="G38" s="180" t="str">
        <f>IFERROR(INDEX($AA$2:$AF$60,$H$1,6),"")</f>
        <v/>
      </c>
      <c r="H38" s="352" t="e">
        <f t="array" ref="H38">INDEX(G:G,SMALL(IF($G$33:$G$50&lt;&gt;"",ROW($33:$50),51),ROW(H6)))&amp;""</f>
        <v>#N/A</v>
      </c>
      <c r="I38" s="1057"/>
      <c r="J38" s="198" t="str">
        <f>IFERROR(INDEX($AO$62:$BH$74,$J$1,13),"")</f>
        <v/>
      </c>
      <c r="K38" s="401" t="str">
        <f>IF(综合数据!B9=TRUE,"伊捷工程师","")</f>
        <v>伊捷工程师</v>
      </c>
      <c r="L38" s="385">
        <v>37</v>
      </c>
      <c r="M38" s="119" t="s">
        <v>4992</v>
      </c>
      <c r="N38" s="119" t="s">
        <v>4364</v>
      </c>
      <c r="O38" s="119" t="s">
        <v>4993</v>
      </c>
      <c r="P38" s="283" t="s">
        <v>4994</v>
      </c>
      <c r="Q38" s="283" t="s">
        <v>4995</v>
      </c>
      <c r="R38" s="119" t="s">
        <v>4996</v>
      </c>
      <c r="S38" s="378" t="s">
        <v>4997</v>
      </c>
      <c r="T38" s="378" t="s">
        <v>4998</v>
      </c>
      <c r="U38" s="378" t="s">
        <v>4999</v>
      </c>
      <c r="V38" s="378" t="s">
        <v>5000</v>
      </c>
      <c r="W38" s="378" t="s">
        <v>5001</v>
      </c>
      <c r="X38" s="378" t="s">
        <v>5002</v>
      </c>
      <c r="Y38" s="378" t="s">
        <v>5003</v>
      </c>
      <c r="Z38" s="378" t="s">
        <v>5004</v>
      </c>
      <c r="AA38" s="290" t="s">
        <v>4894</v>
      </c>
      <c r="AB38" s="290" t="s">
        <v>5005</v>
      </c>
      <c r="AC38" s="290" t="s">
        <v>5006</v>
      </c>
      <c r="AD38" s="290" t="s">
        <v>5007</v>
      </c>
      <c r="AE38" s="379" t="s">
        <v>5008</v>
      </c>
      <c r="AF38" s="290" t="s">
        <v>5009</v>
      </c>
      <c r="AG38" s="380" t="s">
        <v>5010</v>
      </c>
      <c r="AH38" s="380" t="s">
        <v>5011</v>
      </c>
      <c r="AI38" s="380" t="s">
        <v>5012</v>
      </c>
      <c r="AJ38" s="380" t="s">
        <v>5013</v>
      </c>
      <c r="AK38" s="380" t="s">
        <v>5014</v>
      </c>
      <c r="AL38" s="380" t="s">
        <v>5015</v>
      </c>
      <c r="AM38" s="381" t="s">
        <v>5016</v>
      </c>
      <c r="AN38" s="381" t="s">
        <v>5017</v>
      </c>
      <c r="AO38" s="381" t="s">
        <v>5018</v>
      </c>
      <c r="AP38" s="381" t="s">
        <v>5019</v>
      </c>
      <c r="AQ38" s="381" t="s">
        <v>5020</v>
      </c>
      <c r="AR38" s="381" t="s">
        <v>5021</v>
      </c>
      <c r="AS38" s="382"/>
      <c r="AT38" s="382"/>
      <c r="AU38" s="382"/>
      <c r="AV38" s="382"/>
      <c r="AW38" s="382"/>
      <c r="AX38" s="382"/>
      <c r="AY38" s="180"/>
      <c r="AZ38" s="285"/>
      <c r="BA38" s="285"/>
      <c r="BB38" s="285"/>
      <c r="BC38" s="285"/>
      <c r="BD38" s="285"/>
      <c r="BE38" s="285"/>
      <c r="BF38" s="285"/>
      <c r="BG38" s="285"/>
      <c r="BH38" s="285"/>
      <c r="BI38" s="285"/>
      <c r="BJ38" s="285"/>
      <c r="BK38" s="285"/>
      <c r="BL38" s="285"/>
      <c r="BM38" s="285"/>
      <c r="BN38" s="285"/>
      <c r="BO38" s="285"/>
      <c r="BP38" s="285"/>
      <c r="BQ38" s="285"/>
      <c r="BR38" s="285"/>
      <c r="BS38" s="383"/>
    </row>
    <row r="39" spans="5:71" ht="14.4" customHeight="1" x14ac:dyDescent="0.25">
      <c r="E39" s="118" t="str">
        <f t="array" ref="E39">INDEX(K:K,SMALL(IF($K$2:$K$59&lt;&gt;"",ROW($2:$59),60),ROW(K38)))&amp;""</f>
        <v>欧佐夫议员</v>
      </c>
      <c r="F39" s="1052"/>
      <c r="G39" s="402" t="e">
        <f>IF(AND(综合数据!B15=TRUE,H1&gt;0),"肾上腺素：我的经历如此离奇，以至于我已经无法适应平静的生活。","")</f>
        <v>#N/A</v>
      </c>
      <c r="H39" s="352" t="e">
        <f t="array" ref="H39">INDEX(G:G,SMALL(IF($G$33:$G$50&lt;&gt;"",ROW($33:$50),51),ROW(H7)))&amp;""</f>
        <v>#N/A</v>
      </c>
      <c r="I39" s="1057"/>
      <c r="J39" s="198" t="str">
        <f>IFERROR(INDEX($AO$62:$BH$74,$J$1,14),"")</f>
        <v/>
      </c>
      <c r="K39" s="401" t="str">
        <f>IF(综合数据!B9=TRUE,"欧佐夫议员","")</f>
        <v>欧佐夫议员</v>
      </c>
      <c r="L39" s="385">
        <v>38</v>
      </c>
      <c r="M39" s="119" t="s">
        <v>5022</v>
      </c>
      <c r="N39" s="180"/>
      <c r="O39" s="119" t="s">
        <v>4116</v>
      </c>
      <c r="P39" s="283" t="s">
        <v>5023</v>
      </c>
      <c r="Q39" s="283" t="s">
        <v>5024</v>
      </c>
      <c r="R39" s="119" t="s">
        <v>5025</v>
      </c>
      <c r="S39" s="378" t="s">
        <v>5026</v>
      </c>
      <c r="T39" s="378" t="s">
        <v>5027</v>
      </c>
      <c r="U39" s="378" t="s">
        <v>5028</v>
      </c>
      <c r="V39" s="378" t="s">
        <v>5029</v>
      </c>
      <c r="W39" s="378" t="s">
        <v>5030</v>
      </c>
      <c r="X39" s="378" t="s">
        <v>5031</v>
      </c>
      <c r="Y39" s="378" t="s">
        <v>5032</v>
      </c>
      <c r="Z39" s="378" t="s">
        <v>5033</v>
      </c>
      <c r="AA39" s="290" t="s">
        <v>5034</v>
      </c>
      <c r="AB39" s="290" t="s">
        <v>5035</v>
      </c>
      <c r="AC39" s="290" t="s">
        <v>5036</v>
      </c>
      <c r="AD39" s="290" t="s">
        <v>5037</v>
      </c>
      <c r="AE39" s="379" t="s">
        <v>5038</v>
      </c>
      <c r="AF39" s="290" t="s">
        <v>5039</v>
      </c>
      <c r="AG39" s="380" t="s">
        <v>5040</v>
      </c>
      <c r="AH39" s="380" t="s">
        <v>5041</v>
      </c>
      <c r="AI39" s="380" t="s">
        <v>5042</v>
      </c>
      <c r="AJ39" s="380" t="s">
        <v>5043</v>
      </c>
      <c r="AK39" s="380" t="s">
        <v>5044</v>
      </c>
      <c r="AL39" s="380" t="s">
        <v>5045</v>
      </c>
      <c r="AM39" s="381" t="s">
        <v>5046</v>
      </c>
      <c r="AN39" s="381" t="s">
        <v>5047</v>
      </c>
      <c r="AO39" s="381" t="s">
        <v>5048</v>
      </c>
      <c r="AP39" s="381" t="s">
        <v>5049</v>
      </c>
      <c r="AQ39" s="381" t="s">
        <v>5050</v>
      </c>
      <c r="AR39" s="381" t="s">
        <v>5051</v>
      </c>
      <c r="AS39" s="382"/>
      <c r="AT39" s="382"/>
      <c r="AU39" s="382"/>
      <c r="AV39" s="382"/>
      <c r="AW39" s="382"/>
      <c r="AX39" s="382"/>
      <c r="AY39" s="119" t="s">
        <v>5052</v>
      </c>
      <c r="AZ39" s="285" t="s">
        <v>5053</v>
      </c>
      <c r="BA39" s="285" t="s">
        <v>5054</v>
      </c>
      <c r="BB39" s="285" t="s">
        <v>5055</v>
      </c>
      <c r="BC39" s="285" t="s">
        <v>5056</v>
      </c>
      <c r="BD39" s="285" t="s">
        <v>5057</v>
      </c>
      <c r="BE39" s="285" t="s">
        <v>5058</v>
      </c>
      <c r="BF39" s="285" t="s">
        <v>5059</v>
      </c>
      <c r="BG39" s="285" t="s">
        <v>5060</v>
      </c>
      <c r="BH39" s="285"/>
      <c r="BI39" s="285"/>
      <c r="BJ39" s="285"/>
      <c r="BK39" s="285"/>
      <c r="BL39" s="285"/>
      <c r="BM39" s="285"/>
      <c r="BN39" s="285"/>
      <c r="BO39" s="285"/>
      <c r="BP39" s="285"/>
      <c r="BQ39" s="285"/>
      <c r="BR39" s="285"/>
      <c r="BS39" s="383"/>
    </row>
    <row r="40" spans="5:71" ht="14.4" customHeight="1" x14ac:dyDescent="0.25">
      <c r="E40" s="118" t="str">
        <f t="array" ref="E40">INDEX(K:K,SMALL(IF($K$2:$K$59&lt;&gt;"",ROW($2:$59),60),ROW(K39)))&amp;""</f>
        <v>拉铎斯邪教徒</v>
      </c>
      <c r="F40" s="1052"/>
      <c r="G40" s="402" t="e">
        <f>IF(AND(综合数据!B15=TRUE,H1&gt;0),"均势：我努力反制那些我认为应被责备的人的行为。","")</f>
        <v>#N/A</v>
      </c>
      <c r="H40" s="352" t="e">
        <f t="array" ref="H40">INDEX(G:G,SMALL(IF($G$33:$G$50&lt;&gt;"",ROW($33:$50),51),ROW(H8)))&amp;""</f>
        <v>#N/A</v>
      </c>
      <c r="I40" s="1057"/>
      <c r="J40" s="198" t="str">
        <f>IFERROR(INDEX($AO$62:$BH$74,$J$1,15),"")</f>
        <v/>
      </c>
      <c r="K40" s="401" t="str">
        <f>IF(综合数据!B9=TRUE,"拉铎斯邪教徒","")</f>
        <v>拉铎斯邪教徒</v>
      </c>
      <c r="L40" s="385">
        <v>39</v>
      </c>
      <c r="M40" s="119" t="s">
        <v>4256</v>
      </c>
      <c r="N40" s="119" t="s">
        <v>4519</v>
      </c>
      <c r="O40" s="119" t="s">
        <v>5061</v>
      </c>
      <c r="P40" s="283" t="s">
        <v>5062</v>
      </c>
      <c r="Q40" s="283" t="s">
        <v>5063</v>
      </c>
      <c r="R40" s="119" t="s">
        <v>5064</v>
      </c>
      <c r="S40" s="378" t="s">
        <v>5065</v>
      </c>
      <c r="T40" s="378" t="s">
        <v>5066</v>
      </c>
      <c r="U40" s="378" t="s">
        <v>5067</v>
      </c>
      <c r="V40" s="378" t="s">
        <v>5068</v>
      </c>
      <c r="W40" s="378" t="s">
        <v>5069</v>
      </c>
      <c r="X40" s="378" t="s">
        <v>5070</v>
      </c>
      <c r="Y40" s="378" t="s">
        <v>5071</v>
      </c>
      <c r="Z40" s="378" t="s">
        <v>5072</v>
      </c>
      <c r="AA40" s="290" t="s">
        <v>5073</v>
      </c>
      <c r="AB40" s="290" t="s">
        <v>5074</v>
      </c>
      <c r="AC40" s="290" t="s">
        <v>5075</v>
      </c>
      <c r="AD40" s="290" t="s">
        <v>5076</v>
      </c>
      <c r="AE40" s="379" t="s">
        <v>5077</v>
      </c>
      <c r="AF40" s="290" t="s">
        <v>5078</v>
      </c>
      <c r="AG40" s="380" t="s">
        <v>5079</v>
      </c>
      <c r="AH40" s="380" t="s">
        <v>5080</v>
      </c>
      <c r="AI40" s="380" t="s">
        <v>5081</v>
      </c>
      <c r="AJ40" s="380" t="s">
        <v>5082</v>
      </c>
      <c r="AK40" s="380" t="s">
        <v>5083</v>
      </c>
      <c r="AL40" s="380" t="s">
        <v>5084</v>
      </c>
      <c r="AM40" s="381" t="s">
        <v>5085</v>
      </c>
      <c r="AN40" s="381" t="s">
        <v>5086</v>
      </c>
      <c r="AO40" s="381" t="s">
        <v>5087</v>
      </c>
      <c r="AP40" s="381" t="s">
        <v>5088</v>
      </c>
      <c r="AQ40" s="381" t="s">
        <v>5089</v>
      </c>
      <c r="AR40" s="381" t="s">
        <v>5090</v>
      </c>
      <c r="AS40" s="382"/>
      <c r="AT40" s="382"/>
      <c r="AU40" s="382"/>
      <c r="AV40" s="382"/>
      <c r="AW40" s="382"/>
      <c r="AX40" s="382"/>
      <c r="AY40" s="180"/>
      <c r="AZ40" s="285"/>
      <c r="BA40" s="285"/>
      <c r="BB40" s="285"/>
      <c r="BC40" s="285"/>
      <c r="BD40" s="285"/>
      <c r="BE40" s="285"/>
      <c r="BF40" s="285"/>
      <c r="BG40" s="285"/>
      <c r="BH40" s="285"/>
      <c r="BI40" s="285"/>
      <c r="BJ40" s="285"/>
      <c r="BK40" s="285"/>
      <c r="BL40" s="285"/>
      <c r="BM40" s="285"/>
      <c r="BN40" s="285"/>
      <c r="BO40" s="285"/>
      <c r="BP40" s="285"/>
      <c r="BQ40" s="285"/>
      <c r="BR40" s="285"/>
      <c r="BS40" s="383"/>
    </row>
    <row r="41" spans="5:71" ht="14.4" customHeight="1" x14ac:dyDescent="0.25">
      <c r="E41" s="118" t="str">
        <f t="array" ref="E41">INDEX(K:K,SMALL(IF($K$2:$K$59&lt;&gt;"",ROW($2:$59),60),ROW(K40)))&amp;""</f>
        <v>瑟雷尼亚祀徒</v>
      </c>
      <c r="F41" s="1052"/>
      <c r="G41" s="402" t="e">
        <f>IF(AND(综合数据!B15=TRUE,H1&gt;0),"约束：我得罪了某人，于是不得不按他的要求做事以免被诅咒。","")</f>
        <v>#N/A</v>
      </c>
      <c r="H41" s="352" t="e">
        <f t="array" ref="H41">INDEX(G:G,SMALL(IF($G$33:$G$50&lt;&gt;"",ROW($33:$50),51),ROW(H9)))&amp;""</f>
        <v>#N/A</v>
      </c>
      <c r="I41" s="1057"/>
      <c r="J41" s="198" t="str">
        <f>IFERROR(INDEX($AO$62:$BH$74,$J$1,16),"")</f>
        <v/>
      </c>
      <c r="K41" s="401" t="str">
        <f>IF(综合数据!B9=TRUE,"瑟雷尼亚祀徒","")</f>
        <v>瑟雷尼亚祀徒</v>
      </c>
      <c r="L41" s="385">
        <v>40</v>
      </c>
      <c r="M41" s="119" t="s">
        <v>5091</v>
      </c>
      <c r="N41" s="119" t="s">
        <v>5092</v>
      </c>
      <c r="O41" s="119" t="s">
        <v>5093</v>
      </c>
      <c r="P41" s="283" t="s">
        <v>5094</v>
      </c>
      <c r="Q41" s="283" t="s">
        <v>5095</v>
      </c>
      <c r="R41" s="119" t="s">
        <v>5096</v>
      </c>
      <c r="S41" s="378" t="s">
        <v>5097</v>
      </c>
      <c r="T41" s="378" t="s">
        <v>5098</v>
      </c>
      <c r="U41" s="378" t="s">
        <v>5099</v>
      </c>
      <c r="V41" s="378" t="s">
        <v>5100</v>
      </c>
      <c r="W41" s="378" t="s">
        <v>5101</v>
      </c>
      <c r="X41" s="378" t="s">
        <v>5102</v>
      </c>
      <c r="Y41" s="378" t="s">
        <v>5103</v>
      </c>
      <c r="Z41" s="378" t="s">
        <v>5104</v>
      </c>
      <c r="AA41" s="290" t="s">
        <v>5105</v>
      </c>
      <c r="AB41" s="290" t="s">
        <v>5106</v>
      </c>
      <c r="AC41" s="290" t="s">
        <v>5107</v>
      </c>
      <c r="AD41" s="290" t="s">
        <v>5108</v>
      </c>
      <c r="AE41" s="379" t="s">
        <v>5109</v>
      </c>
      <c r="AF41" s="290" t="s">
        <v>5110</v>
      </c>
      <c r="AG41" s="380" t="s">
        <v>5111</v>
      </c>
      <c r="AH41" s="380" t="s">
        <v>5112</v>
      </c>
      <c r="AI41" s="380" t="s">
        <v>5113</v>
      </c>
      <c r="AJ41" s="380" t="s">
        <v>5114</v>
      </c>
      <c r="AK41" s="380" t="s">
        <v>5115</v>
      </c>
      <c r="AL41" s="380" t="s">
        <v>5116</v>
      </c>
      <c r="AM41" s="381" t="s">
        <v>5117</v>
      </c>
      <c r="AN41" s="381" t="s">
        <v>5118</v>
      </c>
      <c r="AO41" s="381" t="s">
        <v>5119</v>
      </c>
      <c r="AP41" s="381" t="s">
        <v>5120</v>
      </c>
      <c r="AQ41" s="381" t="s">
        <v>5121</v>
      </c>
      <c r="AR41" s="381" t="s">
        <v>5122</v>
      </c>
      <c r="AS41" s="382"/>
      <c r="AT41" s="382"/>
      <c r="AU41" s="382"/>
      <c r="AV41" s="382"/>
      <c r="AW41" s="382"/>
      <c r="AX41" s="382"/>
      <c r="AY41" s="180"/>
      <c r="AZ41" s="285"/>
      <c r="BA41" s="285"/>
      <c r="BB41" s="285"/>
      <c r="BC41" s="285"/>
      <c r="BD41" s="285"/>
      <c r="BE41" s="285"/>
      <c r="BF41" s="285"/>
      <c r="BG41" s="285"/>
      <c r="BH41" s="285"/>
      <c r="BI41" s="285"/>
      <c r="BJ41" s="285"/>
      <c r="BK41" s="285"/>
      <c r="BL41" s="285"/>
      <c r="BM41" s="285"/>
      <c r="BN41" s="285"/>
      <c r="BO41" s="285"/>
      <c r="BP41" s="285"/>
      <c r="BQ41" s="285"/>
      <c r="BR41" s="285"/>
      <c r="BS41" s="383"/>
    </row>
    <row r="42" spans="5:71" ht="14.4" customHeight="1" x14ac:dyDescent="0.25">
      <c r="E42" s="118" t="str">
        <f t="array" ref="E42">INDEX(K:K,SMALL(IF($K$2:$K$59&lt;&gt;"",ROW($2:$59),60),ROW(K41)))&amp;""</f>
        <v>析米克科学家</v>
      </c>
      <c r="F42" s="1052"/>
      <c r="G42" s="402" t="e">
        <f>IF(AND(综合数据!B15=TRUE,H1&gt;0),"逃离：我相信一定有什么在已知世界之外，我希望能找到它。","")</f>
        <v>#N/A</v>
      </c>
      <c r="H42" s="352" t="e">
        <f t="array" ref="H42">INDEX(G:G,SMALL(IF($G$33:$G$50&lt;&gt;"",ROW($33:$50),51),ROW(H10)))&amp;""</f>
        <v>#N/A</v>
      </c>
      <c r="I42" s="1057"/>
      <c r="J42" s="198" t="str">
        <f>IFERROR(INDEX($AO$62:$BH$74,$J$1,17),"")</f>
        <v/>
      </c>
      <c r="K42" s="401" t="str">
        <f>IF(综合数据!B9=TRUE,"析米克科学家","")</f>
        <v>析米克科学家</v>
      </c>
      <c r="L42" s="385">
        <v>41</v>
      </c>
      <c r="M42" s="119" t="s">
        <v>5123</v>
      </c>
      <c r="N42" s="180"/>
      <c r="O42" s="119" t="s">
        <v>4116</v>
      </c>
      <c r="P42" s="283" t="s">
        <v>5124</v>
      </c>
      <c r="Q42" s="283" t="s">
        <v>5125</v>
      </c>
      <c r="R42" s="119" t="s">
        <v>5126</v>
      </c>
      <c r="S42" s="378" t="s">
        <v>5127</v>
      </c>
      <c r="T42" s="378" t="s">
        <v>5128</v>
      </c>
      <c r="U42" s="378" t="s">
        <v>5129</v>
      </c>
      <c r="V42" s="378" t="s">
        <v>5130</v>
      </c>
      <c r="W42" s="378" t="s">
        <v>5131</v>
      </c>
      <c r="X42" s="378" t="s">
        <v>5132</v>
      </c>
      <c r="Y42" s="378" t="s">
        <v>5133</v>
      </c>
      <c r="Z42" s="378" t="s">
        <v>5134</v>
      </c>
      <c r="AA42" s="290" t="s">
        <v>5135</v>
      </c>
      <c r="AB42" s="290" t="s">
        <v>5136</v>
      </c>
      <c r="AC42" s="290" t="s">
        <v>5137</v>
      </c>
      <c r="AD42" s="290" t="s">
        <v>5138</v>
      </c>
      <c r="AE42" s="379" t="s">
        <v>5139</v>
      </c>
      <c r="AF42" s="290" t="s">
        <v>5140</v>
      </c>
      <c r="AG42" s="380" t="s">
        <v>5141</v>
      </c>
      <c r="AH42" s="380" t="s">
        <v>5142</v>
      </c>
      <c r="AI42" s="380" t="s">
        <v>5143</v>
      </c>
      <c r="AJ42" s="380" t="s">
        <v>5144</v>
      </c>
      <c r="AK42" s="380" t="s">
        <v>5145</v>
      </c>
      <c r="AL42" s="380" t="s">
        <v>5146</v>
      </c>
      <c r="AM42" s="381" t="s">
        <v>5147</v>
      </c>
      <c r="AN42" s="381" t="s">
        <v>5148</v>
      </c>
      <c r="AO42" s="381" t="s">
        <v>5149</v>
      </c>
      <c r="AP42" s="381" t="s">
        <v>5150</v>
      </c>
      <c r="AQ42" s="381" t="s">
        <v>5151</v>
      </c>
      <c r="AR42" s="381" t="s">
        <v>5152</v>
      </c>
      <c r="AS42" s="382"/>
      <c r="AT42" s="382"/>
      <c r="AU42" s="382"/>
      <c r="AV42" s="382"/>
      <c r="AW42" s="382"/>
      <c r="AX42" s="382"/>
      <c r="AY42" s="119" t="s">
        <v>5153</v>
      </c>
      <c r="AZ42" s="283" t="s">
        <v>5154</v>
      </c>
      <c r="BA42" s="283" t="s">
        <v>5155</v>
      </c>
      <c r="BB42" s="283" t="s">
        <v>5156</v>
      </c>
      <c r="BC42" s="283" t="s">
        <v>5157</v>
      </c>
      <c r="BD42" s="283" t="s">
        <v>5158</v>
      </c>
      <c r="BE42" s="283" t="s">
        <v>5159</v>
      </c>
      <c r="BF42" s="285"/>
      <c r="BG42" s="285"/>
      <c r="BH42" s="285"/>
      <c r="BI42" s="285"/>
      <c r="BJ42" s="285"/>
      <c r="BK42" s="285"/>
      <c r="BL42" s="285"/>
      <c r="BM42" s="285"/>
      <c r="BN42" s="285"/>
      <c r="BO42" s="285"/>
      <c r="BP42" s="285"/>
      <c r="BQ42" s="285"/>
      <c r="BR42" s="285"/>
      <c r="BS42" s="383"/>
    </row>
    <row r="43" spans="5:71" ht="14.4" customHeight="1" x14ac:dyDescent="0.25">
      <c r="E43" s="118" t="str">
        <f t="array" ref="E43">INDEX(K:K,SMALL(IF($K$2:$K$59&lt;&gt;"",ROW($2:$59),60),ROW(K42)))&amp;""</f>
        <v>家族代理人</v>
      </c>
      <c r="F43" s="1052"/>
      <c r="G43" s="402" t="e">
        <f>IF(AND(综合数据!B15=TRUE,H1&gt;0),"遗产：我的时间不多了，但我希望能做些什么来名垂青史。","")</f>
        <v>#N/A</v>
      </c>
      <c r="H43" s="352" t="e">
        <f t="array" ref="H43">INDEX(G:G,SMALL(IF($G$33:$G$50&lt;&gt;"",ROW($33:$50),51),ROW(H11)))&amp;""</f>
        <v>#N/A</v>
      </c>
      <c r="I43" s="1057"/>
      <c r="J43" s="198" t="str">
        <f>IFERROR(INDEX($AO$62:$BH$74,$J$1,18),"")</f>
        <v/>
      </c>
      <c r="K43" s="403" t="str">
        <f>IF(综合数据!B10=TRUE,"家族代理人","")</f>
        <v>家族代理人</v>
      </c>
      <c r="L43" s="386">
        <v>42</v>
      </c>
      <c r="M43" s="119" t="s">
        <v>5160</v>
      </c>
      <c r="N43" s="119" t="s">
        <v>5161</v>
      </c>
      <c r="O43" s="180"/>
      <c r="P43" s="283" t="s">
        <v>5162</v>
      </c>
      <c r="Q43" s="283" t="s">
        <v>5163</v>
      </c>
      <c r="S43" s="378" t="s">
        <v>5164</v>
      </c>
      <c r="T43" s="378" t="s">
        <v>5165</v>
      </c>
      <c r="U43" s="378" t="s">
        <v>5166</v>
      </c>
      <c r="V43" s="378" t="s">
        <v>5167</v>
      </c>
      <c r="W43" s="378" t="s">
        <v>5168</v>
      </c>
      <c r="X43" s="378" t="s">
        <v>5169</v>
      </c>
      <c r="Y43" s="378" t="s">
        <v>5170</v>
      </c>
      <c r="Z43" s="378" t="s">
        <v>5171</v>
      </c>
      <c r="AA43" s="290" t="s">
        <v>5172</v>
      </c>
      <c r="AB43" s="290" t="s">
        <v>5173</v>
      </c>
      <c r="AC43" s="290" t="s">
        <v>5174</v>
      </c>
      <c r="AD43" s="290" t="s">
        <v>5175</v>
      </c>
      <c r="AE43" s="379" t="s">
        <v>5176</v>
      </c>
      <c r="AF43" s="290" t="s">
        <v>5177</v>
      </c>
      <c r="AG43" s="380" t="s">
        <v>5178</v>
      </c>
      <c r="AH43" s="380" t="s">
        <v>5179</v>
      </c>
      <c r="AI43" s="380" t="s">
        <v>5180</v>
      </c>
      <c r="AJ43" s="380" t="s">
        <v>5181</v>
      </c>
      <c r="AK43" s="380" t="s">
        <v>5182</v>
      </c>
      <c r="AL43" s="380" t="s">
        <v>5183</v>
      </c>
      <c r="AM43" s="381" t="s">
        <v>5178</v>
      </c>
      <c r="AN43" s="381" t="s">
        <v>5179</v>
      </c>
      <c r="AO43" s="381" t="s">
        <v>5180</v>
      </c>
      <c r="AP43" s="381" t="s">
        <v>5181</v>
      </c>
      <c r="AQ43" s="381" t="s">
        <v>5182</v>
      </c>
      <c r="AR43" s="381" t="s">
        <v>5183</v>
      </c>
      <c r="AS43" s="382"/>
      <c r="AT43" s="382"/>
      <c r="AU43" s="382"/>
      <c r="AV43" s="382"/>
      <c r="AW43" s="382"/>
      <c r="AX43" s="382"/>
      <c r="AY43" s="119" t="s">
        <v>5184</v>
      </c>
      <c r="AZ43" s="285" t="s">
        <v>5185</v>
      </c>
      <c r="BA43" s="285" t="s">
        <v>139</v>
      </c>
      <c r="BB43" s="285" t="s">
        <v>5186</v>
      </c>
      <c r="BC43" s="285" t="s">
        <v>5187</v>
      </c>
      <c r="BD43" s="285" t="s">
        <v>5188</v>
      </c>
      <c r="BE43" s="285" t="s">
        <v>5189</v>
      </c>
      <c r="BF43" s="285" t="s">
        <v>5190</v>
      </c>
      <c r="BG43" s="285" t="s">
        <v>5191</v>
      </c>
      <c r="BH43" s="285"/>
      <c r="BI43" s="285"/>
      <c r="BJ43" s="285"/>
      <c r="BK43" s="285"/>
      <c r="BL43" s="285"/>
      <c r="BM43" s="285"/>
      <c r="BN43" s="285"/>
      <c r="BO43" s="285"/>
      <c r="BP43" s="285"/>
      <c r="BQ43" s="285"/>
      <c r="BR43" s="285"/>
      <c r="BS43" s="383"/>
    </row>
    <row r="44" spans="5:71" ht="14.4" customHeight="1" x14ac:dyDescent="0.25">
      <c r="E44" s="118" t="str">
        <f t="array" ref="E44">INDEX(K:K,SMALL(IF($K$2:$K$59&lt;&gt;"",ROW($2:$59),60),ROW(K43)))&amp;""</f>
        <v>笑面人</v>
      </c>
      <c r="F44" s="1052"/>
      <c r="G44" s="402" t="e">
        <f>IF(AND(综合数据!B15=TRUE,H1&gt;0),"误导：我拼命地向他人隐藏自己的缺点或过错。","")</f>
        <v>#N/A</v>
      </c>
      <c r="H44" s="352" t="e">
        <f t="array" ref="H44">INDEX(G:G,SMALL(IF($G$33:$G$50&lt;&gt;"",ROW($33:$50),51),ROW(H12)))&amp;""</f>
        <v>#N/A</v>
      </c>
      <c r="I44" s="1057"/>
      <c r="J44" s="198" t="str">
        <f>IFERROR(INDEX($AO$62:$BH$74,$J$1,19),"")</f>
        <v/>
      </c>
      <c r="K44" s="404" t="str">
        <f>IF(综合数据!B11=TRUE,"笑面人","")</f>
        <v>笑面人</v>
      </c>
      <c r="L44" s="390">
        <v>43</v>
      </c>
      <c r="M44" s="119" t="s">
        <v>5192</v>
      </c>
      <c r="N44" s="119" t="s">
        <v>5193</v>
      </c>
      <c r="O44" s="180"/>
      <c r="P44" s="283" t="s">
        <v>5194</v>
      </c>
      <c r="Q44" s="283" t="s">
        <v>5195</v>
      </c>
      <c r="S44" s="378" t="s">
        <v>5196</v>
      </c>
      <c r="T44" s="378" t="s">
        <v>5197</v>
      </c>
      <c r="U44" s="378" t="s">
        <v>5198</v>
      </c>
      <c r="V44" s="378" t="s">
        <v>5199</v>
      </c>
      <c r="W44" s="378" t="s">
        <v>5200</v>
      </c>
      <c r="X44" s="378" t="s">
        <v>5201</v>
      </c>
      <c r="Y44" s="378" t="s">
        <v>5202</v>
      </c>
      <c r="Z44" s="378" t="s">
        <v>5203</v>
      </c>
      <c r="AA44" s="290" t="s">
        <v>5204</v>
      </c>
      <c r="AB44" s="290" t="s">
        <v>5205</v>
      </c>
      <c r="AC44" s="290" t="s">
        <v>5206</v>
      </c>
      <c r="AD44" s="290" t="s">
        <v>5207</v>
      </c>
      <c r="AE44" s="379" t="s">
        <v>5208</v>
      </c>
      <c r="AF44" s="290" t="s">
        <v>5209</v>
      </c>
      <c r="AG44" s="380" t="s">
        <v>5210</v>
      </c>
      <c r="AH44" s="380" t="s">
        <v>5211</v>
      </c>
      <c r="AI44" s="380" t="s">
        <v>5212</v>
      </c>
      <c r="AJ44" s="380" t="s">
        <v>5213</v>
      </c>
      <c r="AK44" s="380" t="s">
        <v>5214</v>
      </c>
      <c r="AL44" s="380" t="s">
        <v>5215</v>
      </c>
      <c r="AM44" s="381" t="s">
        <v>5216</v>
      </c>
      <c r="AN44" s="381" t="s">
        <v>5217</v>
      </c>
      <c r="AO44" s="381" t="s">
        <v>5218</v>
      </c>
      <c r="AP44" s="381" t="s">
        <v>5219</v>
      </c>
      <c r="AQ44" s="381" t="s">
        <v>5220</v>
      </c>
      <c r="AR44" s="381" t="s">
        <v>5221</v>
      </c>
      <c r="AS44" s="382"/>
      <c r="AT44" s="382"/>
      <c r="AU44" s="382"/>
      <c r="AV44" s="382"/>
      <c r="AW44" s="382"/>
      <c r="AX44" s="382"/>
      <c r="AY44" s="119" t="s">
        <v>5222</v>
      </c>
      <c r="AZ44" s="285" t="s">
        <v>5223</v>
      </c>
      <c r="BA44" s="285" t="s">
        <v>5224</v>
      </c>
      <c r="BB44" s="285" t="s">
        <v>5225</v>
      </c>
      <c r="BC44" s="285" t="s">
        <v>5226</v>
      </c>
      <c r="BD44" s="285" t="s">
        <v>5227</v>
      </c>
      <c r="BE44" s="285" t="s">
        <v>5228</v>
      </c>
      <c r="BF44" s="285"/>
      <c r="BG44" s="285"/>
      <c r="BH44" s="285"/>
      <c r="BI44" s="285"/>
      <c r="BJ44" s="285"/>
      <c r="BK44" s="285"/>
      <c r="BL44" s="285"/>
      <c r="BM44" s="285"/>
      <c r="BN44" s="285"/>
      <c r="BO44" s="285"/>
      <c r="BP44" s="285"/>
      <c r="BQ44" s="285"/>
      <c r="BR44" s="285"/>
      <c r="BS44" s="383"/>
    </row>
    <row r="45" spans="5:71" ht="14.4" customHeight="1" x14ac:dyDescent="0.25">
      <c r="E45" s="118" t="str">
        <f t="array" ref="E45">INDEX(K:K,SMALL(IF($K$2:$K$59&lt;&gt;"",ROW($2:$59),60),ROW(K44)))&amp;""</f>
        <v>伏击者特工</v>
      </c>
      <c r="F45" s="1052"/>
      <c r="G45" s="402" t="e">
        <f>IF(AND(综合数据!B15=TRUE,H1&gt;0),"沉醉：我已经这样生活了很久，都无法想象其他生活方式了。","")</f>
        <v>#N/A</v>
      </c>
      <c r="H45" s="352" t="e">
        <f t="array" ref="H45">INDEX(G:G,SMALL(IF($G$33:$G$50&lt;&gt;"",ROW($33:$50),51),ROW(H13)))&amp;""</f>
        <v>#N/A</v>
      </c>
      <c r="I45" s="1057"/>
      <c r="J45" s="198" t="str">
        <f>IFERROR(INDEX($AO$62:$BH$74,$J$1,20),"")</f>
        <v/>
      </c>
      <c r="K45" s="404" t="str">
        <f>IF(综合数据!B11=TRUE,"伏击者特工","")</f>
        <v>伏击者特工</v>
      </c>
      <c r="L45" s="390">
        <v>44</v>
      </c>
      <c r="M45" s="119" t="s">
        <v>4201</v>
      </c>
      <c r="N45" s="119" t="s">
        <v>3853</v>
      </c>
      <c r="O45" s="119" t="s">
        <v>4365</v>
      </c>
      <c r="P45" s="283" t="s">
        <v>5229</v>
      </c>
      <c r="Q45" s="283" t="s">
        <v>5230</v>
      </c>
      <c r="S45" s="378" t="s">
        <v>5231</v>
      </c>
      <c r="T45" s="378" t="s">
        <v>5232</v>
      </c>
      <c r="U45" s="378" t="s">
        <v>5233</v>
      </c>
      <c r="V45" s="378" t="s">
        <v>5234</v>
      </c>
      <c r="W45" s="378" t="s">
        <v>5235</v>
      </c>
      <c r="X45" s="378" t="s">
        <v>5236</v>
      </c>
      <c r="Y45" s="378" t="str">
        <f>""</f>
        <v/>
      </c>
      <c r="Z45" s="378" t="str">
        <f>""</f>
        <v/>
      </c>
      <c r="AA45" s="290" t="s">
        <v>5237</v>
      </c>
      <c r="AB45" s="290" t="s">
        <v>5238</v>
      </c>
      <c r="AC45" s="290" t="s">
        <v>5239</v>
      </c>
      <c r="AD45" s="290" t="s">
        <v>5240</v>
      </c>
      <c r="AE45" s="379" t="s">
        <v>5241</v>
      </c>
      <c r="AF45" s="290" t="s">
        <v>5242</v>
      </c>
      <c r="AG45" s="380" t="s">
        <v>5243</v>
      </c>
      <c r="AH45" s="380" t="s">
        <v>5244</v>
      </c>
      <c r="AI45" s="380" t="s">
        <v>5245</v>
      </c>
      <c r="AJ45" s="380" t="s">
        <v>5246</v>
      </c>
      <c r="AK45" s="380" t="str">
        <f>""</f>
        <v/>
      </c>
      <c r="AL45" s="380" t="str">
        <f>""</f>
        <v/>
      </c>
      <c r="AM45" s="381" t="s">
        <v>5247</v>
      </c>
      <c r="AN45" s="381" t="s">
        <v>5248</v>
      </c>
      <c r="AO45" s="381" t="s">
        <v>5249</v>
      </c>
      <c r="AP45" s="381" t="s">
        <v>5250</v>
      </c>
      <c r="AQ45" s="381" t="str">
        <f>""</f>
        <v/>
      </c>
      <c r="AR45" s="381" t="str">
        <f>""</f>
        <v/>
      </c>
      <c r="AS45" s="382"/>
      <c r="AT45" s="382"/>
      <c r="AU45" s="382"/>
      <c r="AV45" s="382"/>
      <c r="AW45" s="382"/>
      <c r="AX45" s="382"/>
      <c r="AY45" s="119" t="s">
        <v>5251</v>
      </c>
      <c r="AZ45" s="285" t="s">
        <v>5252</v>
      </c>
      <c r="BA45" s="285" t="s">
        <v>5253</v>
      </c>
      <c r="BB45" s="285" t="s">
        <v>5254</v>
      </c>
      <c r="BC45" s="285" t="s">
        <v>5255</v>
      </c>
      <c r="BD45" s="285" t="s">
        <v>5256</v>
      </c>
      <c r="BE45" s="285" t="s">
        <v>5257</v>
      </c>
      <c r="BF45" s="285"/>
      <c r="BG45" s="285"/>
      <c r="BH45" s="285"/>
      <c r="BI45" s="285"/>
      <c r="BJ45" s="285"/>
      <c r="BK45" s="285"/>
      <c r="BL45" s="285"/>
      <c r="BM45" s="285"/>
      <c r="BN45" s="285"/>
      <c r="BO45" s="285"/>
      <c r="BP45" s="285"/>
      <c r="BQ45" s="285"/>
      <c r="BR45" s="285"/>
      <c r="BS45" s="383"/>
    </row>
    <row r="46" spans="5:71" ht="14.4" customHeight="1" x14ac:dyDescent="0.25">
      <c r="E46" s="118" t="str">
        <f t="array" ref="E46">INDEX(K:K,SMALL(IF($K$2:$K$59&lt;&gt;"",ROW($2:$59),60),ROW(K45)))&amp;""</f>
        <v>名人冒险家的子孙</v>
      </c>
      <c r="F46" s="1052"/>
      <c r="G46" s="402" t="e">
        <f>IF(AND(综合数据!B15=TRUE,H1&gt;0),"职责：为了我的人民、信仰、家庭或老师，我要继续传承这值得夸耀的遗产。","")</f>
        <v>#N/A</v>
      </c>
      <c r="H46" s="352" t="e">
        <f t="array" ref="H46">INDEX(G:G,SMALL(IF($G$33:$G$50&lt;&gt;"",ROW($33:$50),51),ROW(H14)))&amp;""</f>
        <v>#N/A</v>
      </c>
      <c r="I46" s="1057">
        <f>IFERROR(INDEX(BI62:BI74,J1,1),0)</f>
        <v>0</v>
      </c>
      <c r="J46" s="198" t="str">
        <f>IFERROR(INDEX($BJ$62:$BU$74,$J$1,1),"")</f>
        <v/>
      </c>
      <c r="K46" s="405" t="str">
        <f>IF(综合数据!B12=TRUE,"名人冒险家的子孙","")</f>
        <v>名人冒险家的子孙</v>
      </c>
      <c r="L46" s="391">
        <v>45</v>
      </c>
      <c r="M46" s="119" t="s">
        <v>5258</v>
      </c>
      <c r="N46" s="119" t="s">
        <v>3774</v>
      </c>
      <c r="O46" s="119" t="s">
        <v>4116</v>
      </c>
      <c r="P46" s="283" t="s">
        <v>5259</v>
      </c>
      <c r="Q46" s="283" t="s">
        <v>5260</v>
      </c>
      <c r="S46" s="378" t="s">
        <v>5261</v>
      </c>
      <c r="T46" s="378" t="s">
        <v>5262</v>
      </c>
      <c r="U46" s="378" t="s">
        <v>5263</v>
      </c>
      <c r="V46" s="378" t="s">
        <v>5264</v>
      </c>
      <c r="W46" s="378" t="s">
        <v>5265</v>
      </c>
      <c r="X46" s="378" t="s">
        <v>5266</v>
      </c>
      <c r="Y46" s="378" t="s">
        <v>5267</v>
      </c>
      <c r="Z46" s="378" t="s">
        <v>5268</v>
      </c>
      <c r="AA46" s="290" t="s">
        <v>5269</v>
      </c>
      <c r="AB46" s="290" t="s">
        <v>5270</v>
      </c>
      <c r="AC46" s="290" t="s">
        <v>5271</v>
      </c>
      <c r="AD46" s="290" t="s">
        <v>5272</v>
      </c>
      <c r="AE46" s="379" t="s">
        <v>5273</v>
      </c>
      <c r="AF46" s="290" t="s">
        <v>5274</v>
      </c>
      <c r="AG46" s="380" t="s">
        <v>5275</v>
      </c>
      <c r="AH46" s="380" t="s">
        <v>5276</v>
      </c>
      <c r="AI46" s="380" t="s">
        <v>5277</v>
      </c>
      <c r="AJ46" s="380" t="s">
        <v>5278</v>
      </c>
      <c r="AK46" s="380" t="s">
        <v>5279</v>
      </c>
      <c r="AL46" s="380" t="s">
        <v>5280</v>
      </c>
      <c r="AM46" s="381" t="s">
        <v>5281</v>
      </c>
      <c r="AN46" s="381" t="s">
        <v>5282</v>
      </c>
      <c r="AO46" s="381" t="s">
        <v>5283</v>
      </c>
      <c r="AP46" s="381" t="s">
        <v>5284</v>
      </c>
      <c r="AQ46" s="381" t="s">
        <v>5285</v>
      </c>
      <c r="AR46" s="381" t="s">
        <v>5286</v>
      </c>
      <c r="AS46" s="382"/>
      <c r="AT46" s="382"/>
      <c r="AU46" s="382"/>
      <c r="AV46" s="382"/>
      <c r="AW46" s="382"/>
      <c r="AX46" s="382"/>
      <c r="AY46" s="180"/>
      <c r="AZ46" s="285"/>
      <c r="BA46" s="285"/>
      <c r="BB46" s="285"/>
      <c r="BC46" s="285"/>
      <c r="BD46" s="285"/>
      <c r="BE46" s="285"/>
      <c r="BF46" s="285"/>
      <c r="BG46" s="285"/>
      <c r="BH46" s="285"/>
      <c r="BI46" s="285"/>
      <c r="BJ46" s="285"/>
      <c r="BK46" s="285"/>
      <c r="BL46" s="285"/>
      <c r="BM46" s="285"/>
      <c r="BN46" s="285"/>
      <c r="BO46" s="285"/>
      <c r="BP46" s="285"/>
      <c r="BQ46" s="285"/>
      <c r="BR46" s="285"/>
      <c r="BS46" s="383"/>
    </row>
    <row r="47" spans="5:71" ht="14.4" customHeight="1" x14ac:dyDescent="0.25">
      <c r="E47" s="118" t="str">
        <f t="array" ref="E47">INDEX(K:K,SMALL(IF($K$2:$K$59&lt;&gt;"",ROW($2:$59),60),ROW(K46)))&amp;""</f>
        <v>失败商人</v>
      </c>
      <c r="F47" s="1052"/>
      <c r="G47" s="402" t="e">
        <f>IF(AND(综合数据!B15=TRUE,H1&gt;0),"承诺：我的生命不再仅属于我自己，更要实现某位逝者的梦想。","")</f>
        <v>#N/A</v>
      </c>
      <c r="H47" s="352" t="e">
        <f t="array" ref="H47">INDEX(G:G,SMALL(IF($G$33:$G$50&lt;&gt;"",ROW($33:$50),51),ROW(H15)))&amp;""</f>
        <v>#N/A</v>
      </c>
      <c r="I47" s="1057"/>
      <c r="J47" s="198" t="str">
        <f>IFERROR(INDEX($BJ$62:$BU$74,$J$1,2),"")</f>
        <v/>
      </c>
      <c r="K47" s="405" t="str">
        <f>IF(综合数据!B12=TRUE,"失败商人","")</f>
        <v>失败商人</v>
      </c>
      <c r="L47" s="391">
        <v>46</v>
      </c>
      <c r="M47" s="119" t="s">
        <v>5160</v>
      </c>
      <c r="N47" s="119" t="s">
        <v>4364</v>
      </c>
      <c r="O47" s="119" t="s">
        <v>4365</v>
      </c>
      <c r="P47" s="283" t="s">
        <v>5287</v>
      </c>
      <c r="Q47" s="283" t="s">
        <v>5288</v>
      </c>
      <c r="S47" s="378" t="s">
        <v>5289</v>
      </c>
      <c r="T47" s="378" t="s">
        <v>5290</v>
      </c>
      <c r="U47" s="378" t="s">
        <v>5291</v>
      </c>
      <c r="V47" s="378" t="s">
        <v>5292</v>
      </c>
      <c r="W47" s="378" t="s">
        <v>5293</v>
      </c>
      <c r="X47" s="378" t="s">
        <v>5294</v>
      </c>
      <c r="Y47" s="378" t="s">
        <v>5295</v>
      </c>
      <c r="Z47" s="378" t="s">
        <v>5296</v>
      </c>
      <c r="AA47" s="290" t="s">
        <v>5297</v>
      </c>
      <c r="AB47" s="290" t="s">
        <v>5298</v>
      </c>
      <c r="AC47" s="290" t="s">
        <v>5299</v>
      </c>
      <c r="AD47" s="290" t="s">
        <v>5300</v>
      </c>
      <c r="AE47" s="379" t="s">
        <v>5301</v>
      </c>
      <c r="AF47" s="290" t="s">
        <v>5302</v>
      </c>
      <c r="AG47" s="380" t="s">
        <v>5303</v>
      </c>
      <c r="AH47" s="380" t="s">
        <v>5304</v>
      </c>
      <c r="AI47" s="380" t="s">
        <v>5305</v>
      </c>
      <c r="AJ47" s="380" t="s">
        <v>5306</v>
      </c>
      <c r="AK47" s="380" t="s">
        <v>5307</v>
      </c>
      <c r="AL47" s="380" t="s">
        <v>5308</v>
      </c>
      <c r="AM47" s="381" t="s">
        <v>5309</v>
      </c>
      <c r="AN47" s="381" t="s">
        <v>5310</v>
      </c>
      <c r="AO47" s="381" t="s">
        <v>5311</v>
      </c>
      <c r="AP47" s="381" t="s">
        <v>5312</v>
      </c>
      <c r="AQ47" s="381" t="s">
        <v>5313</v>
      </c>
      <c r="AR47" s="381" t="s">
        <v>5314</v>
      </c>
      <c r="AS47" s="382"/>
      <c r="AT47" s="382"/>
      <c r="AU47" s="382"/>
      <c r="AV47" s="382"/>
      <c r="AW47" s="382"/>
      <c r="AX47" s="382"/>
      <c r="AY47" s="180"/>
      <c r="AZ47" s="285"/>
      <c r="BA47" s="285"/>
      <c r="BB47" s="285"/>
      <c r="BC47" s="285"/>
      <c r="BD47" s="285"/>
      <c r="BE47" s="285"/>
      <c r="BF47" s="285"/>
      <c r="BG47" s="285"/>
      <c r="BH47" s="285"/>
      <c r="BI47" s="285"/>
      <c r="BJ47" s="285"/>
      <c r="BK47" s="285"/>
      <c r="BL47" s="285"/>
      <c r="BM47" s="285"/>
      <c r="BN47" s="285"/>
      <c r="BO47" s="285"/>
      <c r="BP47" s="285"/>
      <c r="BQ47" s="285"/>
      <c r="BR47" s="285"/>
      <c r="BS47" s="383"/>
    </row>
    <row r="48" spans="5:71" ht="14.4" customHeight="1" x14ac:dyDescent="0.25">
      <c r="E48" s="118" t="str">
        <f t="array" ref="E48">INDEX(K:K,SMALL(IF($K$2:$K$59&lt;&gt;"",ROW($2:$59),60),ROW(K47)))&amp;""</f>
        <v>赌徒</v>
      </c>
      <c r="F48" s="1052"/>
      <c r="G48" s="402" t="e">
        <f>IF(AND(综合数据!B15=TRUE,H1&gt;0),"启示录：我想知道有什么谎言可以超越死亡、世界或迷雾。","")</f>
        <v>#N/A</v>
      </c>
      <c r="H48" s="352" t="e">
        <f t="array" ref="H48">INDEX(G:G,SMALL(IF($G$33:$G$50&lt;&gt;"",ROW($33:$50),51),ROW(H16)))&amp;""</f>
        <v>#N/A</v>
      </c>
      <c r="I48" s="1057"/>
      <c r="J48" s="198" t="str">
        <f>IFERROR(INDEX($BJ$62:$BU$74,$J$1,3),"")</f>
        <v/>
      </c>
      <c r="K48" s="405" t="str">
        <f>IF(综合数据!B12=TRUE,"赌徒","")</f>
        <v>赌徒</v>
      </c>
      <c r="L48" s="391">
        <v>47</v>
      </c>
      <c r="M48" s="119" t="s">
        <v>5315</v>
      </c>
      <c r="N48" s="119" t="s">
        <v>4477</v>
      </c>
      <c r="O48" s="119" t="s">
        <v>4365</v>
      </c>
      <c r="P48" s="283" t="s">
        <v>5316</v>
      </c>
      <c r="Q48" s="283" t="s">
        <v>5317</v>
      </c>
      <c r="S48" s="378" t="s">
        <v>5318</v>
      </c>
      <c r="T48" s="378" t="s">
        <v>5319</v>
      </c>
      <c r="U48" s="378" t="s">
        <v>5320</v>
      </c>
      <c r="V48" s="378" t="s">
        <v>5321</v>
      </c>
      <c r="W48" s="378" t="s">
        <v>5322</v>
      </c>
      <c r="X48" s="378" t="s">
        <v>5323</v>
      </c>
      <c r="Y48" s="378" t="s">
        <v>5324</v>
      </c>
      <c r="Z48" s="378" t="s">
        <v>5325</v>
      </c>
      <c r="AA48" s="290" t="s">
        <v>5326</v>
      </c>
      <c r="AB48" s="290" t="s">
        <v>5327</v>
      </c>
      <c r="AC48" s="290" t="s">
        <v>5328</v>
      </c>
      <c r="AD48" s="290" t="s">
        <v>5329</v>
      </c>
      <c r="AE48" s="379" t="s">
        <v>5330</v>
      </c>
      <c r="AF48" s="290" t="s">
        <v>5331</v>
      </c>
      <c r="AG48" s="380" t="s">
        <v>5332</v>
      </c>
      <c r="AH48" s="380" t="s">
        <v>5333</v>
      </c>
      <c r="AI48" s="380" t="s">
        <v>5334</v>
      </c>
      <c r="AJ48" s="380" t="s">
        <v>5335</v>
      </c>
      <c r="AK48" s="380" t="s">
        <v>5336</v>
      </c>
      <c r="AL48" s="380" t="s">
        <v>5337</v>
      </c>
      <c r="AM48" s="381" t="s">
        <v>5338</v>
      </c>
      <c r="AN48" s="381" t="s">
        <v>5339</v>
      </c>
      <c r="AO48" s="381" t="s">
        <v>5340</v>
      </c>
      <c r="AP48" s="381" t="s">
        <v>5341</v>
      </c>
      <c r="AQ48" s="381" t="s">
        <v>5342</v>
      </c>
      <c r="AR48" s="381" t="s">
        <v>5343</v>
      </c>
      <c r="AS48" s="382"/>
      <c r="AT48" s="382"/>
      <c r="AU48" s="382"/>
      <c r="AV48" s="382"/>
      <c r="AW48" s="382"/>
      <c r="AX48" s="382"/>
      <c r="AY48" s="180"/>
      <c r="AZ48" s="285"/>
      <c r="BA48" s="285"/>
      <c r="BB48" s="285"/>
      <c r="BC48" s="285"/>
      <c r="BD48" s="285"/>
      <c r="BE48" s="285"/>
      <c r="BF48" s="285"/>
      <c r="BG48" s="285"/>
      <c r="BH48" s="285"/>
      <c r="BI48" s="285"/>
      <c r="BJ48" s="285"/>
      <c r="BK48" s="285"/>
      <c r="BL48" s="285"/>
      <c r="BM48" s="285"/>
      <c r="BN48" s="285"/>
      <c r="BO48" s="285"/>
      <c r="BP48" s="285"/>
      <c r="BQ48" s="285"/>
      <c r="BR48" s="285"/>
      <c r="BS48" s="383"/>
    </row>
    <row r="49" spans="5:84" ht="14.4" customHeight="1" x14ac:dyDescent="0.25">
      <c r="E49" s="118" t="str">
        <f t="array" ref="E49">INDEX(K:K,SMALL(IF($K$2:$K$59&lt;&gt;"",ROW($2:$59),60),ROW(K48)))&amp;""</f>
        <v>自诉人</v>
      </c>
      <c r="F49" s="1052"/>
      <c r="G49" s="402" t="e">
        <f>IF(AND(综合数据!B15=TRUE,H1&gt;0),"庇护所：我知晓运作世界的力量，并努力在其之外建设一个世外桃源。","")</f>
        <v>#N/A</v>
      </c>
      <c r="H49" s="352" t="e">
        <f t="array" ref="H49">INDEX(G:G,SMALL(IF($G$33:$G$50&lt;&gt;"",ROW($33:$50),51),ROW(H17)))&amp;""</f>
        <v>#N/A</v>
      </c>
      <c r="I49" s="1057"/>
      <c r="J49" s="198" t="str">
        <f>IFERROR(INDEX($BJ$62:$BU$74,$J$1,4),"")</f>
        <v/>
      </c>
      <c r="K49" s="405" t="str">
        <f>IF(综合数据!B12=TRUE,"自诉人","")</f>
        <v>自诉人</v>
      </c>
      <c r="L49" s="391">
        <v>48</v>
      </c>
      <c r="M49" s="119" t="s">
        <v>5344</v>
      </c>
      <c r="N49" s="119" t="s">
        <v>4364</v>
      </c>
      <c r="O49" s="119" t="s">
        <v>4365</v>
      </c>
      <c r="P49" s="283" t="s">
        <v>5345</v>
      </c>
      <c r="Q49" s="283" t="s">
        <v>5346</v>
      </c>
      <c r="S49" s="378" t="s">
        <v>5347</v>
      </c>
      <c r="T49" s="378" t="s">
        <v>5348</v>
      </c>
      <c r="U49" s="378" t="s">
        <v>5349</v>
      </c>
      <c r="V49" s="378" t="s">
        <v>5350</v>
      </c>
      <c r="W49" s="378" t="s">
        <v>5351</v>
      </c>
      <c r="X49" s="378" t="s">
        <v>5352</v>
      </c>
      <c r="Y49" s="378" t="s">
        <v>5353</v>
      </c>
      <c r="Z49" s="378" t="s">
        <v>5354</v>
      </c>
      <c r="AA49" s="290" t="s">
        <v>5355</v>
      </c>
      <c r="AB49" s="290" t="s">
        <v>5356</v>
      </c>
      <c r="AC49" s="290" t="s">
        <v>5357</v>
      </c>
      <c r="AD49" s="290" t="s">
        <v>5358</v>
      </c>
      <c r="AE49" s="379" t="s">
        <v>5359</v>
      </c>
      <c r="AF49" s="290" t="s">
        <v>5360</v>
      </c>
      <c r="AG49" s="380" t="s">
        <v>5361</v>
      </c>
      <c r="AH49" s="380" t="s">
        <v>5362</v>
      </c>
      <c r="AI49" s="380" t="s">
        <v>5363</v>
      </c>
      <c r="AJ49" s="380" t="s">
        <v>5364</v>
      </c>
      <c r="AK49" s="380" t="s">
        <v>5365</v>
      </c>
      <c r="AL49" s="380" t="s">
        <v>5366</v>
      </c>
      <c r="AM49" s="381" t="s">
        <v>5367</v>
      </c>
      <c r="AN49" s="381" t="s">
        <v>5368</v>
      </c>
      <c r="AO49" s="381" t="s">
        <v>5369</v>
      </c>
      <c r="AP49" s="381" t="s">
        <v>5370</v>
      </c>
      <c r="AQ49" s="381" t="s">
        <v>5371</v>
      </c>
      <c r="AR49" s="381" t="s">
        <v>5372</v>
      </c>
      <c r="AS49" s="382"/>
      <c r="AT49" s="382"/>
      <c r="AU49" s="382"/>
      <c r="AV49" s="382"/>
      <c r="AW49" s="382"/>
      <c r="AX49" s="382"/>
      <c r="AY49" s="180"/>
      <c r="AZ49" s="285"/>
      <c r="BA49" s="285"/>
      <c r="BB49" s="285"/>
      <c r="BC49" s="285"/>
      <c r="BD49" s="285"/>
      <c r="BE49" s="285"/>
      <c r="BF49" s="285"/>
      <c r="BG49" s="285"/>
      <c r="BH49" s="285"/>
      <c r="BI49" s="285"/>
      <c r="BJ49" s="285"/>
      <c r="BK49" s="285"/>
      <c r="BL49" s="285"/>
      <c r="BM49" s="285"/>
      <c r="BN49" s="285"/>
      <c r="BO49" s="285"/>
      <c r="BP49" s="285"/>
      <c r="BQ49" s="285"/>
      <c r="BR49" s="285"/>
      <c r="BS49" s="383"/>
    </row>
    <row r="50" spans="5:84" ht="14.4" customHeight="1" x14ac:dyDescent="0.25">
      <c r="E50" s="118" t="str">
        <f t="array" ref="E50">INDEX(K:K,SMALL(IF($K$2:$K$59&lt;&gt;"",ROW($2:$59),60),ROW(K49)))&amp;""</f>
        <v>竞争对手实习生</v>
      </c>
      <c r="F50" s="1052"/>
      <c r="G50" s="402" t="e">
        <f>IF(AND(综合数据!B15=TRUE,H1&gt;0),"真相：哪怕对任何人都没好处，我也认为真相才是最重要的。","")</f>
        <v>#N/A</v>
      </c>
      <c r="H50" s="352" t="e">
        <f t="array" ref="H50">INDEX(G:G,SMALL(IF($G$33:$G$50&lt;&gt;"",ROW($33:$50),51),ROW(H18)))&amp;""</f>
        <v>#N/A</v>
      </c>
      <c r="I50" s="1057"/>
      <c r="J50" s="198" t="str">
        <f>IFERROR(INDEX($BJ$62:$BU$74,$J$1,5),"")</f>
        <v/>
      </c>
      <c r="K50" s="405" t="str">
        <f>IF(综合数据!B12=TRUE,"竞争对手实习生","")</f>
        <v>竞争对手实习生</v>
      </c>
      <c r="L50" s="391">
        <v>49</v>
      </c>
      <c r="M50" s="119" t="s">
        <v>5373</v>
      </c>
      <c r="N50" s="119" t="s">
        <v>4364</v>
      </c>
      <c r="O50" s="119" t="s">
        <v>4365</v>
      </c>
      <c r="P50" s="283" t="s">
        <v>5374</v>
      </c>
      <c r="Q50" s="283" t="s">
        <v>5375</v>
      </c>
      <c r="S50" s="378" t="s">
        <v>5376</v>
      </c>
      <c r="T50" s="378" t="s">
        <v>5377</v>
      </c>
      <c r="U50" s="378" t="s">
        <v>5378</v>
      </c>
      <c r="V50" s="378" t="s">
        <v>5379</v>
      </c>
      <c r="W50" s="378" t="s">
        <v>5380</v>
      </c>
      <c r="X50" s="378" t="s">
        <v>5381</v>
      </c>
      <c r="Y50" s="378" t="s">
        <v>5382</v>
      </c>
      <c r="Z50" s="378" t="s">
        <v>5383</v>
      </c>
      <c r="AA50" s="290" t="s">
        <v>5384</v>
      </c>
      <c r="AB50" s="290" t="s">
        <v>5385</v>
      </c>
      <c r="AC50" s="290" t="s">
        <v>5386</v>
      </c>
      <c r="AD50" s="290" t="s">
        <v>5387</v>
      </c>
      <c r="AE50" s="379" t="s">
        <v>5388</v>
      </c>
      <c r="AF50" s="290" t="s">
        <v>5389</v>
      </c>
      <c r="AG50" s="380" t="s">
        <v>5390</v>
      </c>
      <c r="AH50" s="380" t="s">
        <v>5391</v>
      </c>
      <c r="AI50" s="380" t="s">
        <v>5392</v>
      </c>
      <c r="AJ50" s="380" t="s">
        <v>5393</v>
      </c>
      <c r="AK50" s="380" t="s">
        <v>5394</v>
      </c>
      <c r="AL50" s="380" t="s">
        <v>5395</v>
      </c>
      <c r="AM50" s="381" t="s">
        <v>5396</v>
      </c>
      <c r="AN50" s="381" t="s">
        <v>5397</v>
      </c>
      <c r="AO50" s="381" t="s">
        <v>5398</v>
      </c>
      <c r="AP50" s="381" t="s">
        <v>5399</v>
      </c>
      <c r="AQ50" s="381" t="s">
        <v>5400</v>
      </c>
      <c r="AR50" s="381" t="s">
        <v>5401</v>
      </c>
      <c r="AS50" s="382"/>
      <c r="AT50" s="382"/>
      <c r="AU50" s="382"/>
      <c r="AV50" s="382"/>
      <c r="AW50" s="382"/>
      <c r="AX50" s="382"/>
      <c r="AY50" s="180"/>
      <c r="AZ50" s="285"/>
      <c r="BA50" s="285"/>
      <c r="BB50" s="285"/>
      <c r="BC50" s="285"/>
      <c r="BD50" s="285"/>
      <c r="BE50" s="285"/>
      <c r="BF50" s="285"/>
      <c r="BG50" s="285"/>
      <c r="BH50" s="285"/>
      <c r="BI50" s="285"/>
      <c r="BJ50" s="285"/>
      <c r="BK50" s="285"/>
      <c r="BL50" s="285"/>
      <c r="BM50" s="285"/>
      <c r="BN50" s="285"/>
      <c r="BO50" s="285"/>
      <c r="BP50" s="285"/>
      <c r="BQ50" s="285"/>
      <c r="BR50" s="285"/>
      <c r="BS50" s="383"/>
    </row>
    <row r="51" spans="5:84" ht="14.4" customHeight="1" x14ac:dyDescent="0.25">
      <c r="E51" s="118" t="str">
        <f t="array" ref="E51">INDEX(K:K,SMALL(IF($K$2:$K$59&lt;&gt;"",ROW($2:$59),60),ROW(K50)))&amp;""</f>
        <v>健将</v>
      </c>
      <c r="F51" s="393"/>
      <c r="H51" s="352"/>
      <c r="I51" s="1057"/>
      <c r="J51" s="198" t="str">
        <f>IFERROR(INDEX($BJ$62:$BU$74,$J$1,6),"")</f>
        <v/>
      </c>
      <c r="K51" s="406" t="str">
        <f>IF(综合数据!B13=TRUE,"健将","")</f>
        <v>健将</v>
      </c>
      <c r="L51" s="392">
        <v>50</v>
      </c>
      <c r="M51" s="119" t="s">
        <v>5402</v>
      </c>
      <c r="N51" s="119" t="s">
        <v>3866</v>
      </c>
      <c r="O51" s="119" t="s">
        <v>4365</v>
      </c>
      <c r="P51" s="283" t="s">
        <v>5403</v>
      </c>
      <c r="Q51" s="283" t="s">
        <v>5404</v>
      </c>
      <c r="S51" s="378" t="s">
        <v>5405</v>
      </c>
      <c r="T51" s="378" t="s">
        <v>5406</v>
      </c>
      <c r="U51" s="378" t="s">
        <v>5407</v>
      </c>
      <c r="V51" s="378" t="s">
        <v>5408</v>
      </c>
      <c r="W51" s="378" t="s">
        <v>5409</v>
      </c>
      <c r="X51" s="378" t="s">
        <v>5410</v>
      </c>
      <c r="Y51" s="378" t="s">
        <v>5411</v>
      </c>
      <c r="Z51" s="378" t="s">
        <v>5412</v>
      </c>
      <c r="AA51" s="290" t="s">
        <v>5413</v>
      </c>
      <c r="AB51" s="290" t="s">
        <v>5414</v>
      </c>
      <c r="AC51" s="290" t="s">
        <v>5415</v>
      </c>
      <c r="AD51" s="290" t="s">
        <v>5416</v>
      </c>
      <c r="AE51" s="379" t="s">
        <v>5417</v>
      </c>
      <c r="AF51" s="290" t="s">
        <v>5418</v>
      </c>
      <c r="AG51" s="380" t="s">
        <v>5419</v>
      </c>
      <c r="AH51" s="380" t="s">
        <v>5420</v>
      </c>
      <c r="AI51" s="380" t="s">
        <v>5421</v>
      </c>
      <c r="AJ51" s="380" t="s">
        <v>5422</v>
      </c>
      <c r="AK51" s="380" t="s">
        <v>5423</v>
      </c>
      <c r="AL51" s="380" t="s">
        <v>5424</v>
      </c>
      <c r="AM51" s="381" t="s">
        <v>5425</v>
      </c>
      <c r="AN51" s="381" t="s">
        <v>5426</v>
      </c>
      <c r="AO51" s="381" t="s">
        <v>5427</v>
      </c>
      <c r="AP51" s="381" t="s">
        <v>5428</v>
      </c>
      <c r="AQ51" s="381" t="s">
        <v>5429</v>
      </c>
      <c r="AR51" s="381" t="s">
        <v>5430</v>
      </c>
      <c r="AS51" s="382"/>
      <c r="AT51" s="382"/>
      <c r="AU51" s="382"/>
      <c r="AV51" s="382"/>
      <c r="AW51" s="382"/>
      <c r="AX51" s="382"/>
      <c r="AY51" s="180" t="s">
        <v>5431</v>
      </c>
      <c r="AZ51" s="285" t="s">
        <v>5432</v>
      </c>
      <c r="BA51" s="285" t="s">
        <v>5433</v>
      </c>
      <c r="BB51" s="285" t="s">
        <v>5434</v>
      </c>
      <c r="BC51" s="285" t="s">
        <v>5435</v>
      </c>
      <c r="BD51" s="285" t="s">
        <v>5436</v>
      </c>
      <c r="BE51" s="285" t="s">
        <v>5437</v>
      </c>
      <c r="BF51" s="285" t="s">
        <v>5438</v>
      </c>
      <c r="BG51" s="285" t="s">
        <v>5439</v>
      </c>
      <c r="BH51" s="285"/>
      <c r="BI51" s="285"/>
      <c r="BJ51" s="285"/>
      <c r="BK51" s="285"/>
      <c r="BL51" s="285"/>
      <c r="BM51" s="285"/>
      <c r="BN51" s="285"/>
      <c r="BO51" s="285"/>
      <c r="BP51" s="285"/>
      <c r="BQ51" s="285"/>
      <c r="BR51" s="285"/>
      <c r="BS51" s="383"/>
    </row>
    <row r="52" spans="5:84" ht="14.4" customHeight="1" x14ac:dyDescent="0.25">
      <c r="E52" s="118" t="str">
        <f t="array" ref="E52">INDEX(K:K,SMALL(IF($K$2:$K$59&lt;&gt;"",ROW($2:$59),60),ROW(K51)))&amp;""</f>
        <v>鬼上身者</v>
      </c>
      <c r="F52" s="1052" t="s">
        <v>7</v>
      </c>
      <c r="G52" s="180" t="str">
        <f>IFERROR(INDEX($AG$2:$AL$60,$H$1,1),"")</f>
        <v/>
      </c>
      <c r="H52" s="352" t="e">
        <f t="array" ref="H52">INDEX(G:G,SMALL(IF($G$52:$G$69&lt;&gt;"",ROW($52:$69),70),ROW(H1)))&amp;""</f>
        <v>#N/A</v>
      </c>
      <c r="I52" s="1057"/>
      <c r="J52" s="198" t="str">
        <f>IFERROR(INDEX($BJ$62:$BU$74,$J$1,7),"")</f>
        <v/>
      </c>
      <c r="K52" s="407" t="str">
        <f>IF(综合数据!B15=TRUE,"鬼上身者","")</f>
        <v>鬼上身者</v>
      </c>
      <c r="L52" s="395">
        <v>51</v>
      </c>
      <c r="M52" s="388" t="s">
        <v>5440</v>
      </c>
      <c r="O52" s="388" t="s">
        <v>5441</v>
      </c>
      <c r="P52" s="283" t="s">
        <v>5442</v>
      </c>
      <c r="Q52" s="283" t="s">
        <v>5443</v>
      </c>
      <c r="S52" s="378" t="str">
        <f t="shared" ref="S52:AR52" si="18">""</f>
        <v/>
      </c>
      <c r="T52" s="378" t="str">
        <f t="shared" si="18"/>
        <v/>
      </c>
      <c r="U52" s="378" t="str">
        <f t="shared" si="18"/>
        <v/>
      </c>
      <c r="V52" s="378" t="str">
        <f t="shared" si="18"/>
        <v/>
      </c>
      <c r="W52" s="378" t="str">
        <f t="shared" si="18"/>
        <v/>
      </c>
      <c r="X52" s="378" t="str">
        <f t="shared" si="18"/>
        <v/>
      </c>
      <c r="Y52" s="378" t="str">
        <f t="shared" si="18"/>
        <v/>
      </c>
      <c r="Z52" s="378" t="str">
        <f t="shared" si="18"/>
        <v/>
      </c>
      <c r="AA52" s="290" t="str">
        <f t="shared" si="18"/>
        <v/>
      </c>
      <c r="AB52" s="290" t="str">
        <f t="shared" si="18"/>
        <v/>
      </c>
      <c r="AC52" s="290" t="str">
        <f t="shared" si="18"/>
        <v/>
      </c>
      <c r="AD52" s="290" t="str">
        <f t="shared" si="18"/>
        <v/>
      </c>
      <c r="AE52" s="379" t="str">
        <f t="shared" si="18"/>
        <v/>
      </c>
      <c r="AF52" s="290" t="str">
        <f t="shared" si="18"/>
        <v/>
      </c>
      <c r="AG52" s="380" t="str">
        <f t="shared" si="18"/>
        <v/>
      </c>
      <c r="AH52" s="380" t="str">
        <f t="shared" si="18"/>
        <v/>
      </c>
      <c r="AI52" s="380" t="str">
        <f t="shared" si="18"/>
        <v/>
      </c>
      <c r="AJ52" s="380" t="str">
        <f t="shared" si="18"/>
        <v/>
      </c>
      <c r="AK52" s="380" t="str">
        <f t="shared" si="18"/>
        <v/>
      </c>
      <c r="AL52" s="380" t="str">
        <f t="shared" si="18"/>
        <v/>
      </c>
      <c r="AM52" s="381" t="str">
        <f t="shared" si="18"/>
        <v/>
      </c>
      <c r="AN52" s="381" t="str">
        <f t="shared" si="18"/>
        <v/>
      </c>
      <c r="AO52" s="381" t="str">
        <f t="shared" si="18"/>
        <v/>
      </c>
      <c r="AP52" s="381" t="str">
        <f t="shared" si="18"/>
        <v/>
      </c>
      <c r="AQ52" s="381" t="str">
        <f t="shared" si="18"/>
        <v/>
      </c>
      <c r="AR52" s="381" t="str">
        <f t="shared" si="18"/>
        <v/>
      </c>
      <c r="AS52" s="382"/>
      <c r="AT52" s="382"/>
      <c r="AU52" s="382"/>
      <c r="AV52" s="382"/>
      <c r="AW52" s="382"/>
      <c r="AX52" s="382"/>
      <c r="AY52" s="388" t="s">
        <v>5444</v>
      </c>
      <c r="AZ52" s="285" t="s">
        <v>5445</v>
      </c>
      <c r="BA52" s="285" t="s">
        <v>5446</v>
      </c>
      <c r="BB52" s="285" t="s">
        <v>5447</v>
      </c>
      <c r="BC52" s="285" t="s">
        <v>5448</v>
      </c>
      <c r="BD52" s="285" t="s">
        <v>5449</v>
      </c>
      <c r="BE52" s="285" t="s">
        <v>5450</v>
      </c>
      <c r="BF52" s="285" t="s">
        <v>5451</v>
      </c>
      <c r="BG52" s="285" t="s">
        <v>5452</v>
      </c>
      <c r="BH52" s="285" t="s">
        <v>5453</v>
      </c>
      <c r="BI52" s="285" t="s">
        <v>5454</v>
      </c>
      <c r="BJ52" s="285"/>
      <c r="BK52" s="285"/>
      <c r="BL52" s="285"/>
      <c r="BM52" s="285"/>
      <c r="BN52" s="285"/>
      <c r="BO52" s="285"/>
      <c r="BP52" s="285"/>
      <c r="BQ52" s="285"/>
      <c r="BR52" s="285"/>
      <c r="BS52" s="383"/>
    </row>
    <row r="53" spans="5:84" ht="14.4" customHeight="1" x14ac:dyDescent="0.25">
      <c r="E53" s="118" t="str">
        <f t="array" ref="E53">INDEX(K:K,SMALL(IF($K$2:$K$59&lt;&gt;"",ROW($2:$59),60),ROW(K52)))&amp;""</f>
        <v>调查员</v>
      </c>
      <c r="F53" s="1052"/>
      <c r="G53" s="180" t="str">
        <f>IFERROR(INDEX($AG$2:$AL$60,$H$1,2),"")</f>
        <v/>
      </c>
      <c r="H53" s="352" t="e">
        <f t="array" ref="H53">INDEX(G:G,SMALL(IF($G$52:$G$69&lt;&gt;"",ROW($52:$69),70),ROW(H2)))&amp;""</f>
        <v>#N/A</v>
      </c>
      <c r="I53" s="1057"/>
      <c r="J53" s="198" t="str">
        <f>IFERROR(INDEX($BJ$62:$BU$74,$J$1,8),"")</f>
        <v/>
      </c>
      <c r="K53" s="407" t="str">
        <f>IF(综合数据!B15=TRUE,"调查员","")</f>
        <v>调查员</v>
      </c>
      <c r="L53" s="395">
        <v>52</v>
      </c>
      <c r="M53" s="388" t="s">
        <v>5455</v>
      </c>
      <c r="N53" s="388" t="s">
        <v>4700</v>
      </c>
      <c r="P53" s="283" t="s">
        <v>5456</v>
      </c>
      <c r="Q53" s="283" t="s">
        <v>5457</v>
      </c>
      <c r="S53" s="378" t="str">
        <f t="shared" ref="S53:AR53" si="19">""</f>
        <v/>
      </c>
      <c r="T53" s="378" t="str">
        <f t="shared" si="19"/>
        <v/>
      </c>
      <c r="U53" s="378" t="str">
        <f t="shared" si="19"/>
        <v/>
      </c>
      <c r="V53" s="378" t="str">
        <f t="shared" si="19"/>
        <v/>
      </c>
      <c r="W53" s="378" t="str">
        <f t="shared" si="19"/>
        <v/>
      </c>
      <c r="X53" s="378" t="str">
        <f t="shared" si="19"/>
        <v/>
      </c>
      <c r="Y53" s="378" t="str">
        <f t="shared" si="19"/>
        <v/>
      </c>
      <c r="Z53" s="378" t="str">
        <f t="shared" si="19"/>
        <v/>
      </c>
      <c r="AA53" s="290" t="str">
        <f t="shared" si="19"/>
        <v/>
      </c>
      <c r="AB53" s="290" t="str">
        <f t="shared" si="19"/>
        <v/>
      </c>
      <c r="AC53" s="290" t="str">
        <f t="shared" si="19"/>
        <v/>
      </c>
      <c r="AD53" s="290" t="str">
        <f t="shared" si="19"/>
        <v/>
      </c>
      <c r="AE53" s="379" t="str">
        <f t="shared" si="19"/>
        <v/>
      </c>
      <c r="AF53" s="290" t="str">
        <f t="shared" si="19"/>
        <v/>
      </c>
      <c r="AG53" s="380" t="str">
        <f t="shared" si="19"/>
        <v/>
      </c>
      <c r="AH53" s="380" t="str">
        <f t="shared" si="19"/>
        <v/>
      </c>
      <c r="AI53" s="380" t="str">
        <f t="shared" si="19"/>
        <v/>
      </c>
      <c r="AJ53" s="380" t="str">
        <f t="shared" si="19"/>
        <v/>
      </c>
      <c r="AK53" s="380" t="str">
        <f t="shared" si="19"/>
        <v/>
      </c>
      <c r="AL53" s="380" t="str">
        <f t="shared" si="19"/>
        <v/>
      </c>
      <c r="AM53" s="381" t="str">
        <f t="shared" si="19"/>
        <v/>
      </c>
      <c r="AN53" s="381" t="str">
        <f t="shared" si="19"/>
        <v/>
      </c>
      <c r="AO53" s="381" t="str">
        <f t="shared" si="19"/>
        <v/>
      </c>
      <c r="AP53" s="381" t="str">
        <f t="shared" si="19"/>
        <v/>
      </c>
      <c r="AQ53" s="381" t="str">
        <f t="shared" si="19"/>
        <v/>
      </c>
      <c r="AR53" s="381" t="str">
        <f t="shared" si="19"/>
        <v/>
      </c>
      <c r="AS53" s="382"/>
      <c r="AT53" s="382"/>
      <c r="AU53" s="382"/>
      <c r="AV53" s="382"/>
      <c r="AW53" s="382"/>
      <c r="AX53" s="382"/>
      <c r="AY53" s="388" t="s">
        <v>5458</v>
      </c>
      <c r="AZ53" s="285" t="s">
        <v>5459</v>
      </c>
      <c r="BA53" s="285" t="s">
        <v>5460</v>
      </c>
      <c r="BB53" s="285" t="s">
        <v>5461</v>
      </c>
      <c r="BC53" s="285" t="s">
        <v>5462</v>
      </c>
      <c r="BD53" s="285" t="s">
        <v>5463</v>
      </c>
      <c r="BE53" s="285" t="s">
        <v>5464</v>
      </c>
      <c r="BF53" s="285" t="s">
        <v>5465</v>
      </c>
      <c r="BG53" s="285" t="s">
        <v>5466</v>
      </c>
      <c r="BH53" s="285"/>
      <c r="BI53" s="285"/>
      <c r="BJ53" s="285"/>
      <c r="BK53" s="285"/>
      <c r="BL53" s="285"/>
      <c r="BM53" s="285"/>
      <c r="BN53" s="285"/>
      <c r="BO53" s="285"/>
      <c r="BP53" s="285"/>
      <c r="BQ53" s="285"/>
      <c r="BR53" s="285"/>
      <c r="BS53" s="383"/>
    </row>
    <row r="54" spans="5:84" ht="14.4" customHeight="1" x14ac:dyDescent="0.25">
      <c r="E54" s="118" t="str">
        <f t="array" ref="E54">INDEX(K:K,SMALL(IF($K$2:$K$59&lt;&gt;"",ROW($2:$59),60),ROW(K53)))&amp;""</f>
        <v>衡鉴学生</v>
      </c>
      <c r="F54" s="1052"/>
      <c r="G54" s="180" t="str">
        <f>IFERROR(INDEX($AG$2:$AL$60,$H$1,3),"")</f>
        <v/>
      </c>
      <c r="H54" s="352" t="e">
        <f t="array" ref="H54">INDEX(G:G,SMALL(IF($G$52:$G$69&lt;&gt;"",ROW($52:$69),70),ROW(H3)))&amp;""</f>
        <v>#N/A</v>
      </c>
      <c r="I54" s="1057"/>
      <c r="J54" s="198" t="str">
        <f>IFERROR(INDEX($BJ$62:$BU$74,$J$1,9),"")</f>
        <v/>
      </c>
      <c r="K54" s="377" t="str">
        <f>IF(综合数据!B17=TRUE,"衡鉴学生","")</f>
        <v>衡鉴学生</v>
      </c>
      <c r="L54" s="180">
        <v>53</v>
      </c>
      <c r="M54" s="388" t="s">
        <v>5467</v>
      </c>
      <c r="O54" s="388" t="s">
        <v>4116</v>
      </c>
      <c r="P54" s="283" t="s">
        <v>5468</v>
      </c>
      <c r="Q54" s="283" t="s">
        <v>5469</v>
      </c>
      <c r="R54" s="180" t="s">
        <v>5470</v>
      </c>
      <c r="S54" s="378" t="s">
        <v>5471</v>
      </c>
      <c r="T54" s="378" t="s">
        <v>5472</v>
      </c>
      <c r="U54" s="378" t="s">
        <v>5473</v>
      </c>
      <c r="V54" s="378" t="s">
        <v>5474</v>
      </c>
      <c r="W54" s="378" t="s">
        <v>5475</v>
      </c>
      <c r="X54" s="378" t="s">
        <v>5476</v>
      </c>
      <c r="Y54" s="378" t="str">
        <f t="shared" ref="Y54:AR54" si="20">""</f>
        <v/>
      </c>
      <c r="Z54" s="378" t="str">
        <f t="shared" si="20"/>
        <v/>
      </c>
      <c r="AA54" s="290" t="str">
        <f t="shared" si="20"/>
        <v/>
      </c>
      <c r="AB54" s="290" t="str">
        <f t="shared" si="20"/>
        <v/>
      </c>
      <c r="AC54" s="290" t="str">
        <f t="shared" si="20"/>
        <v/>
      </c>
      <c r="AD54" s="290" t="str">
        <f t="shared" si="20"/>
        <v/>
      </c>
      <c r="AE54" s="379" t="str">
        <f t="shared" si="20"/>
        <v/>
      </c>
      <c r="AF54" s="290" t="str">
        <f t="shared" si="20"/>
        <v/>
      </c>
      <c r="AG54" s="380" t="str">
        <f t="shared" si="20"/>
        <v/>
      </c>
      <c r="AH54" s="380" t="str">
        <f t="shared" si="20"/>
        <v/>
      </c>
      <c r="AI54" s="380" t="str">
        <f t="shared" si="20"/>
        <v/>
      </c>
      <c r="AJ54" s="380" t="str">
        <f t="shared" si="20"/>
        <v/>
      </c>
      <c r="AK54" s="380" t="str">
        <f t="shared" si="20"/>
        <v/>
      </c>
      <c r="AL54" s="380" t="str">
        <f t="shared" si="20"/>
        <v/>
      </c>
      <c r="AM54" s="381" t="str">
        <f t="shared" si="20"/>
        <v/>
      </c>
      <c r="AN54" s="381" t="str">
        <f t="shared" si="20"/>
        <v/>
      </c>
      <c r="AO54" s="381" t="str">
        <f t="shared" si="20"/>
        <v/>
      </c>
      <c r="AP54" s="381" t="str">
        <f t="shared" si="20"/>
        <v/>
      </c>
      <c r="AQ54" s="381" t="str">
        <f t="shared" si="20"/>
        <v/>
      </c>
      <c r="AR54" s="381" t="str">
        <f t="shared" si="20"/>
        <v/>
      </c>
      <c r="AS54" s="382"/>
      <c r="AT54" s="382"/>
      <c r="AU54" s="382"/>
      <c r="AV54" s="382"/>
      <c r="AW54" s="382"/>
      <c r="AX54" s="382"/>
      <c r="AY54" s="388"/>
      <c r="AZ54" s="285"/>
      <c r="BA54" s="285"/>
      <c r="BB54" s="285"/>
      <c r="BC54" s="285"/>
      <c r="BD54" s="285"/>
      <c r="BE54" s="285"/>
      <c r="BF54" s="285"/>
      <c r="BG54" s="285"/>
      <c r="BH54" s="285"/>
      <c r="BI54" s="285"/>
      <c r="BJ54" s="285"/>
      <c r="BK54" s="285"/>
      <c r="BL54" s="285"/>
      <c r="BM54" s="285"/>
      <c r="BN54" s="285"/>
      <c r="BO54" s="285"/>
      <c r="BP54" s="285"/>
      <c r="BQ54" s="285"/>
      <c r="BR54" s="285"/>
      <c r="BS54" s="383"/>
    </row>
    <row r="55" spans="5:84" ht="14.4" customHeight="1" x14ac:dyDescent="0.25">
      <c r="E55" s="118" t="str">
        <f t="array" ref="E55">INDEX(K:K,SMALL(IF($K$2:$K$59&lt;&gt;"",ROW($2:$59),60),ROW(K54)))&amp;""</f>
        <v>粹丽学生</v>
      </c>
      <c r="F55" s="1052"/>
      <c r="G55" s="180" t="str">
        <f>IFERROR(INDEX($AG$2:$AL$60,$H$1,4),"")</f>
        <v/>
      </c>
      <c r="H55" s="352" t="e">
        <f t="array" ref="H55">INDEX(G:G,SMALL(IF($G$52:$G$69&lt;&gt;"",ROW($52:$69),70),ROW(H4)))&amp;""</f>
        <v>#N/A</v>
      </c>
      <c r="I55" s="1057"/>
      <c r="J55" s="198" t="str">
        <f>IFERROR(INDEX($BJ$62:$BU$74,$J$1,10),"")</f>
        <v/>
      </c>
      <c r="K55" s="377" t="str">
        <f>IF(综合数据!B17=TRUE,"粹丽学生","")</f>
        <v>粹丽学生</v>
      </c>
      <c r="L55" s="180">
        <v>54</v>
      </c>
      <c r="M55" s="388" t="s">
        <v>4256</v>
      </c>
      <c r="N55" s="388" t="s">
        <v>4816</v>
      </c>
      <c r="O55" s="119" t="s">
        <v>4365</v>
      </c>
      <c r="P55" s="283" t="s">
        <v>5477</v>
      </c>
      <c r="Q55" s="283" t="s">
        <v>5478</v>
      </c>
      <c r="R55" s="180" t="s">
        <v>5479</v>
      </c>
      <c r="S55" s="378" t="s">
        <v>5480</v>
      </c>
      <c r="T55" s="378" t="s">
        <v>5481</v>
      </c>
      <c r="U55" s="378" t="s">
        <v>5482</v>
      </c>
      <c r="V55" s="378" t="s">
        <v>5483</v>
      </c>
      <c r="W55" s="378" t="s">
        <v>5484</v>
      </c>
      <c r="X55" s="378" t="s">
        <v>5485</v>
      </c>
      <c r="Y55" s="378" t="str">
        <f t="shared" ref="Y55:AR55" si="21">""</f>
        <v/>
      </c>
      <c r="Z55" s="378" t="str">
        <f t="shared" si="21"/>
        <v/>
      </c>
      <c r="AA55" s="290" t="str">
        <f t="shared" si="21"/>
        <v/>
      </c>
      <c r="AB55" s="290" t="str">
        <f t="shared" si="21"/>
        <v/>
      </c>
      <c r="AC55" s="290" t="str">
        <f t="shared" si="21"/>
        <v/>
      </c>
      <c r="AD55" s="290" t="str">
        <f t="shared" si="21"/>
        <v/>
      </c>
      <c r="AE55" s="379" t="str">
        <f t="shared" si="21"/>
        <v/>
      </c>
      <c r="AF55" s="290" t="str">
        <f t="shared" si="21"/>
        <v/>
      </c>
      <c r="AG55" s="380" t="str">
        <f t="shared" si="21"/>
        <v/>
      </c>
      <c r="AH55" s="380" t="str">
        <f t="shared" si="21"/>
        <v/>
      </c>
      <c r="AI55" s="380" t="str">
        <f t="shared" si="21"/>
        <v/>
      </c>
      <c r="AJ55" s="380" t="str">
        <f t="shared" si="21"/>
        <v/>
      </c>
      <c r="AK55" s="380" t="str">
        <f t="shared" si="21"/>
        <v/>
      </c>
      <c r="AL55" s="380" t="str">
        <f t="shared" si="21"/>
        <v/>
      </c>
      <c r="AM55" s="381" t="str">
        <f t="shared" si="21"/>
        <v/>
      </c>
      <c r="AN55" s="381" t="str">
        <f t="shared" si="21"/>
        <v/>
      </c>
      <c r="AO55" s="381" t="str">
        <f t="shared" si="21"/>
        <v/>
      </c>
      <c r="AP55" s="381" t="str">
        <f t="shared" si="21"/>
        <v/>
      </c>
      <c r="AQ55" s="381" t="str">
        <f t="shared" si="21"/>
        <v/>
      </c>
      <c r="AR55" s="381" t="str">
        <f t="shared" si="21"/>
        <v/>
      </c>
      <c r="AS55" s="382"/>
      <c r="AT55" s="382"/>
      <c r="AU55" s="382"/>
      <c r="AV55" s="382"/>
      <c r="AW55" s="382"/>
      <c r="AX55" s="382"/>
      <c r="AY55" s="388"/>
      <c r="AZ55" s="285"/>
      <c r="BA55" s="285"/>
      <c r="BB55" s="285"/>
      <c r="BC55" s="285"/>
      <c r="BD55" s="285"/>
      <c r="BE55" s="285"/>
      <c r="BF55" s="285"/>
      <c r="BG55" s="285"/>
      <c r="BH55" s="285"/>
      <c r="BI55" s="285"/>
      <c r="BJ55" s="285"/>
      <c r="BK55" s="285"/>
      <c r="BL55" s="285"/>
      <c r="BM55" s="285"/>
      <c r="BN55" s="285"/>
      <c r="BO55" s="285"/>
      <c r="BP55" s="285"/>
      <c r="BQ55" s="285"/>
      <c r="BR55" s="285"/>
      <c r="BS55" s="383"/>
    </row>
    <row r="56" spans="5:84" ht="14.4" customHeight="1" x14ac:dyDescent="0.25">
      <c r="E56" s="118" t="str">
        <f t="array" ref="E56">INDEX(K:K,SMALL(IF($K$2:$K$59&lt;&gt;"",ROW($2:$59),60),ROW(K55)))&amp;""</f>
        <v>量析学生</v>
      </c>
      <c r="F56" s="1052"/>
      <c r="G56" s="180" t="str">
        <f>IFERROR(INDEX($AG$2:$AL$60,$H$1,5),"")</f>
        <v/>
      </c>
      <c r="H56" s="352" t="e">
        <f t="array" ref="H56">INDEX(G:G,SMALL(IF($G$52:$G$69&lt;&gt;"",ROW($52:$69),70),ROW(H5)))&amp;""</f>
        <v>#N/A</v>
      </c>
      <c r="I56" s="1057"/>
      <c r="J56" s="198" t="str">
        <f>IFERROR(INDEX($BJ$62:$BU$74,$J$1,11),"")</f>
        <v/>
      </c>
      <c r="K56" s="377" t="str">
        <f>IF(综合数据!B17=TRUE,"量析学生","")</f>
        <v>量析学生</v>
      </c>
      <c r="L56" s="180">
        <v>55</v>
      </c>
      <c r="M56" s="388" t="s">
        <v>5486</v>
      </c>
      <c r="N56" s="388" t="s">
        <v>4364</v>
      </c>
      <c r="O56" s="119" t="s">
        <v>4365</v>
      </c>
      <c r="P56" s="283" t="s">
        <v>5487</v>
      </c>
      <c r="Q56" s="283" t="s">
        <v>5488</v>
      </c>
      <c r="R56" s="180" t="s">
        <v>5489</v>
      </c>
      <c r="S56" s="378" t="s">
        <v>5490</v>
      </c>
      <c r="T56" s="378" t="s">
        <v>5491</v>
      </c>
      <c r="U56" s="378" t="s">
        <v>5492</v>
      </c>
      <c r="V56" s="378" t="s">
        <v>5493</v>
      </c>
      <c r="W56" s="378" t="s">
        <v>5494</v>
      </c>
      <c r="X56" s="378" t="s">
        <v>5495</v>
      </c>
      <c r="Y56" s="378" t="str">
        <f t="shared" ref="Y56:AR56" si="22">""</f>
        <v/>
      </c>
      <c r="Z56" s="378" t="str">
        <f t="shared" si="22"/>
        <v/>
      </c>
      <c r="AA56" s="290" t="str">
        <f t="shared" si="22"/>
        <v/>
      </c>
      <c r="AB56" s="290" t="str">
        <f t="shared" si="22"/>
        <v/>
      </c>
      <c r="AC56" s="290" t="str">
        <f t="shared" si="22"/>
        <v/>
      </c>
      <c r="AD56" s="290" t="str">
        <f t="shared" si="22"/>
        <v/>
      </c>
      <c r="AE56" s="379" t="str">
        <f t="shared" si="22"/>
        <v/>
      </c>
      <c r="AF56" s="290" t="str">
        <f t="shared" si="22"/>
        <v/>
      </c>
      <c r="AG56" s="380" t="str">
        <f t="shared" si="22"/>
        <v/>
      </c>
      <c r="AH56" s="380" t="str">
        <f t="shared" si="22"/>
        <v/>
      </c>
      <c r="AI56" s="380" t="str">
        <f t="shared" si="22"/>
        <v/>
      </c>
      <c r="AJ56" s="380" t="str">
        <f t="shared" si="22"/>
        <v/>
      </c>
      <c r="AK56" s="380" t="str">
        <f t="shared" si="22"/>
        <v/>
      </c>
      <c r="AL56" s="380" t="str">
        <f t="shared" si="22"/>
        <v/>
      </c>
      <c r="AM56" s="381" t="str">
        <f t="shared" si="22"/>
        <v/>
      </c>
      <c r="AN56" s="381" t="str">
        <f t="shared" si="22"/>
        <v/>
      </c>
      <c r="AO56" s="381" t="str">
        <f t="shared" si="22"/>
        <v/>
      </c>
      <c r="AP56" s="381" t="str">
        <f t="shared" si="22"/>
        <v/>
      </c>
      <c r="AQ56" s="381" t="str">
        <f t="shared" si="22"/>
        <v/>
      </c>
      <c r="AR56" s="381" t="str">
        <f t="shared" si="22"/>
        <v/>
      </c>
      <c r="AS56" s="382"/>
      <c r="AT56" s="382"/>
      <c r="AU56" s="382"/>
      <c r="AV56" s="382"/>
      <c r="AW56" s="382"/>
      <c r="AX56" s="382"/>
      <c r="AY56" s="388"/>
      <c r="AZ56" s="285"/>
      <c r="BA56" s="285"/>
      <c r="BB56" s="285"/>
      <c r="BC56" s="285"/>
      <c r="BD56" s="285"/>
      <c r="BE56" s="285"/>
      <c r="BF56" s="285"/>
      <c r="BG56" s="285"/>
      <c r="BH56" s="285"/>
      <c r="BI56" s="285"/>
      <c r="BJ56" s="285"/>
      <c r="BK56" s="285"/>
      <c r="BL56" s="285"/>
      <c r="BM56" s="285"/>
      <c r="BN56" s="285"/>
      <c r="BO56" s="285"/>
      <c r="BP56" s="285"/>
      <c r="BQ56" s="285"/>
      <c r="BR56" s="285"/>
      <c r="BS56" s="383"/>
    </row>
    <row r="57" spans="5:84" ht="14.4" customHeight="1" x14ac:dyDescent="0.25">
      <c r="E57" s="118" t="str">
        <f t="array" ref="E57">INDEX(K:K,SMALL(IF($K$2:$K$59&lt;&gt;"",ROW($2:$59),60),ROW(K56)))&amp;""</f>
        <v>银毫学生</v>
      </c>
      <c r="F57" s="1052"/>
      <c r="G57" s="180" t="str">
        <f>IFERROR(INDEX($AG$2:$AL$60,$H$1,6),"")</f>
        <v/>
      </c>
      <c r="H57" s="352" t="e">
        <f t="array" ref="H57">INDEX(G:G,SMALL(IF($G$52:$G$69&lt;&gt;"",ROW($52:$69),70),ROW(H6)))&amp;""</f>
        <v>#N/A</v>
      </c>
      <c r="I57" s="1057"/>
      <c r="J57" s="198" t="str">
        <f>IFERROR(INDEX($BJ$62:$BU$74,$J$1,12),"")</f>
        <v/>
      </c>
      <c r="K57" s="377" t="str">
        <f>IF(综合数据!B17=TRUE,"银毫学生","")</f>
        <v>银毫学生</v>
      </c>
      <c r="L57" s="180">
        <v>56</v>
      </c>
      <c r="M57" s="388" t="s">
        <v>5496</v>
      </c>
      <c r="O57" s="388" t="s">
        <v>4116</v>
      </c>
      <c r="P57" s="283" t="s">
        <v>5497</v>
      </c>
      <c r="Q57" s="283" t="s">
        <v>5498</v>
      </c>
      <c r="R57" s="180" t="s">
        <v>5499</v>
      </c>
      <c r="S57" s="378" t="s">
        <v>5500</v>
      </c>
      <c r="T57" s="378" t="s">
        <v>5501</v>
      </c>
      <c r="U57" s="378" t="s">
        <v>5502</v>
      </c>
      <c r="V57" s="378" t="s">
        <v>5503</v>
      </c>
      <c r="W57" s="378" t="s">
        <v>5504</v>
      </c>
      <c r="X57" s="378" t="s">
        <v>5505</v>
      </c>
      <c r="Y57" s="378" t="str">
        <f t="shared" ref="Y57:AR57" si="23">""</f>
        <v/>
      </c>
      <c r="Z57" s="378" t="str">
        <f t="shared" si="23"/>
        <v/>
      </c>
      <c r="AA57" s="290" t="str">
        <f t="shared" si="23"/>
        <v/>
      </c>
      <c r="AB57" s="290" t="str">
        <f t="shared" si="23"/>
        <v/>
      </c>
      <c r="AC57" s="290" t="str">
        <f t="shared" si="23"/>
        <v/>
      </c>
      <c r="AD57" s="290" t="str">
        <f t="shared" si="23"/>
        <v/>
      </c>
      <c r="AE57" s="379" t="str">
        <f t="shared" si="23"/>
        <v/>
      </c>
      <c r="AF57" s="290" t="str">
        <f t="shared" si="23"/>
        <v/>
      </c>
      <c r="AG57" s="380" t="str">
        <f t="shared" si="23"/>
        <v/>
      </c>
      <c r="AH57" s="380" t="str">
        <f t="shared" si="23"/>
        <v/>
      </c>
      <c r="AI57" s="380" t="str">
        <f t="shared" si="23"/>
        <v/>
      </c>
      <c r="AJ57" s="380" t="str">
        <f t="shared" si="23"/>
        <v/>
      </c>
      <c r="AK57" s="380" t="str">
        <f t="shared" si="23"/>
        <v/>
      </c>
      <c r="AL57" s="380" t="str">
        <f t="shared" si="23"/>
        <v/>
      </c>
      <c r="AM57" s="381" t="str">
        <f t="shared" si="23"/>
        <v/>
      </c>
      <c r="AN57" s="381" t="str">
        <f t="shared" si="23"/>
        <v/>
      </c>
      <c r="AO57" s="381" t="str">
        <f t="shared" si="23"/>
        <v/>
      </c>
      <c r="AP57" s="381" t="str">
        <f t="shared" si="23"/>
        <v/>
      </c>
      <c r="AQ57" s="381" t="str">
        <f t="shared" si="23"/>
        <v/>
      </c>
      <c r="AR57" s="381" t="str">
        <f t="shared" si="23"/>
        <v/>
      </c>
      <c r="AS57" s="382"/>
      <c r="AT57" s="382"/>
      <c r="AU57" s="382"/>
      <c r="AV57" s="382"/>
      <c r="AW57" s="382"/>
      <c r="AX57" s="382"/>
      <c r="AY57" s="388"/>
      <c r="AZ57" s="285"/>
      <c r="BA57" s="285"/>
      <c r="BB57" s="285"/>
      <c r="BC57" s="285"/>
      <c r="BD57" s="285"/>
      <c r="BE57" s="285"/>
      <c r="BF57" s="285"/>
      <c r="BG57" s="285"/>
      <c r="BH57" s="285"/>
      <c r="BI57" s="285"/>
      <c r="BJ57" s="285"/>
      <c r="BK57" s="285"/>
      <c r="BL57" s="285"/>
      <c r="BM57" s="285"/>
      <c r="BN57" s="285"/>
      <c r="BO57" s="285"/>
      <c r="BP57" s="285"/>
      <c r="BQ57" s="285"/>
      <c r="BR57" s="285"/>
      <c r="BS57" s="383"/>
    </row>
    <row r="58" spans="5:84" ht="14.4" customHeight="1" x14ac:dyDescent="0.25">
      <c r="E58" s="118" t="str">
        <f t="array" ref="E58">INDEX(K:K,SMALL(IF($K$2:$K$59&lt;&gt;"",ROW($2:$59),60),ROW(K57)))&amp;""</f>
        <v>靡华学生</v>
      </c>
      <c r="F58" s="1052"/>
      <c r="G58" s="402" t="e">
        <f>IF(AND(综合数据!B15=TRUE,H1&gt;0),"我不顾一切地希望回到某地或某人身旁，但我在迷雾中迷失了方向。","")</f>
        <v>#N/A</v>
      </c>
      <c r="H58" s="352" t="e">
        <f t="array" ref="H58">INDEX(G:G,SMALL(IF($G$52:$G$69&lt;&gt;"",ROW($52:$69),70),ROW(H7)))&amp;""</f>
        <v>#N/A</v>
      </c>
      <c r="I58" s="1057">
        <f>IFERROR(INDEX(BV62:BV74,J1,1),0)</f>
        <v>0</v>
      </c>
      <c r="J58" s="198" t="str">
        <f>IFERROR(INDEX($BW$62:$CF$74,$J$1,1),"")</f>
        <v/>
      </c>
      <c r="K58" s="377" t="str">
        <f>IF(综合数据!B17=TRUE,"靡华学生","")</f>
        <v>靡华学生</v>
      </c>
      <c r="L58" s="180">
        <v>57</v>
      </c>
      <c r="M58" s="388" t="s">
        <v>4921</v>
      </c>
      <c r="N58" s="388" t="s">
        <v>1538</v>
      </c>
      <c r="O58" s="119" t="s">
        <v>4365</v>
      </c>
      <c r="P58" s="283" t="s">
        <v>5506</v>
      </c>
      <c r="Q58" s="283" t="s">
        <v>5507</v>
      </c>
      <c r="R58" s="180" t="s">
        <v>5508</v>
      </c>
      <c r="S58" s="378" t="s">
        <v>5509</v>
      </c>
      <c r="T58" s="378" t="s">
        <v>5510</v>
      </c>
      <c r="U58" s="378" t="s">
        <v>5511</v>
      </c>
      <c r="V58" s="378" t="s">
        <v>5512</v>
      </c>
      <c r="W58" s="378" t="s">
        <v>5513</v>
      </c>
      <c r="X58" s="378" t="s">
        <v>5514</v>
      </c>
      <c r="Y58" s="378" t="str">
        <f t="shared" ref="Y58:AR58" si="24">""</f>
        <v/>
      </c>
      <c r="Z58" s="378" t="str">
        <f t="shared" si="24"/>
        <v/>
      </c>
      <c r="AA58" s="290" t="str">
        <f t="shared" si="24"/>
        <v/>
      </c>
      <c r="AB58" s="290" t="str">
        <f t="shared" si="24"/>
        <v/>
      </c>
      <c r="AC58" s="290" t="str">
        <f t="shared" si="24"/>
        <v/>
      </c>
      <c r="AD58" s="290" t="str">
        <f t="shared" si="24"/>
        <v/>
      </c>
      <c r="AE58" s="379" t="str">
        <f t="shared" si="24"/>
        <v/>
      </c>
      <c r="AF58" s="290" t="str">
        <f t="shared" si="24"/>
        <v/>
      </c>
      <c r="AG58" s="380" t="str">
        <f t="shared" si="24"/>
        <v/>
      </c>
      <c r="AH58" s="380" t="str">
        <f t="shared" si="24"/>
        <v/>
      </c>
      <c r="AI58" s="380" t="str">
        <f t="shared" si="24"/>
        <v/>
      </c>
      <c r="AJ58" s="380" t="str">
        <f t="shared" si="24"/>
        <v/>
      </c>
      <c r="AK58" s="380" t="str">
        <f t="shared" si="24"/>
        <v/>
      </c>
      <c r="AL58" s="380" t="str">
        <f t="shared" si="24"/>
        <v/>
      </c>
      <c r="AM58" s="381" t="str">
        <f t="shared" si="24"/>
        <v/>
      </c>
      <c r="AN58" s="381" t="str">
        <f t="shared" si="24"/>
        <v/>
      </c>
      <c r="AO58" s="381" t="str">
        <f t="shared" si="24"/>
        <v/>
      </c>
      <c r="AP58" s="381" t="str">
        <f t="shared" si="24"/>
        <v/>
      </c>
      <c r="AQ58" s="381" t="str">
        <f t="shared" si="24"/>
        <v/>
      </c>
      <c r="AR58" s="381" t="str">
        <f t="shared" si="24"/>
        <v/>
      </c>
      <c r="AS58" s="382"/>
      <c r="AT58" s="382"/>
      <c r="AU58" s="382"/>
      <c r="AV58" s="382"/>
      <c r="AW58" s="382"/>
      <c r="AX58" s="382"/>
      <c r="AY58" s="388"/>
      <c r="AZ58" s="285"/>
      <c r="BA58" s="285"/>
      <c r="BB58" s="285"/>
      <c r="BC58" s="285"/>
      <c r="BD58" s="285"/>
      <c r="BE58" s="285"/>
      <c r="BF58" s="285"/>
      <c r="BG58" s="285"/>
      <c r="BH58" s="285"/>
      <c r="BI58" s="285"/>
      <c r="BJ58" s="285"/>
      <c r="BK58" s="285"/>
      <c r="BL58" s="285"/>
      <c r="BM58" s="285"/>
      <c r="BN58" s="285"/>
      <c r="BO58" s="285"/>
      <c r="BP58" s="285"/>
      <c r="BQ58" s="285"/>
      <c r="BR58" s="285"/>
      <c r="BS58" s="383"/>
    </row>
    <row r="59" spans="5:84" ht="14.4" customHeight="1" x14ac:dyDescent="0.25">
      <c r="E59" s="128" t="str">
        <f t="array" ref="E59">INDEX(K:K,SMALL(IF($K$2:$K$59&lt;&gt;"",ROW($2:$59),60),ROW(K58)))&amp;""</f>
        <v/>
      </c>
      <c r="F59" s="1052"/>
      <c r="G59" s="402" t="e">
        <f>IF(AND(综合数据!B15=TRUE,H1&gt;0),"我所做的一切都是为了一位不可向其他人透露的强大主人。","")</f>
        <v>#N/A</v>
      </c>
      <c r="H59" s="352" t="e">
        <f t="array" ref="H59">INDEX(G:G,SMALL(IF($G$52:$G$69&lt;&gt;"",ROW($52:$69),70),ROW(H8)))&amp;""</f>
        <v>#N/A</v>
      </c>
      <c r="I59" s="1057"/>
      <c r="J59" s="198" t="str">
        <f>IFERROR(INDEX($BW$62:$CF$74,$J$1,2),"")</f>
        <v/>
      </c>
      <c r="K59" s="408" t="str">
        <f>IF(综合数据!B19=TRUE,"审判官","")</f>
        <v/>
      </c>
      <c r="L59" s="409">
        <v>58</v>
      </c>
      <c r="M59" s="129" t="s">
        <v>5515</v>
      </c>
      <c r="N59" s="129" t="s">
        <v>5516</v>
      </c>
      <c r="O59" s="129"/>
      <c r="P59" s="410" t="s">
        <v>4824</v>
      </c>
      <c r="Q59" s="410" t="s">
        <v>5517</v>
      </c>
      <c r="R59" s="235"/>
      <c r="S59" s="411" t="s">
        <v>5518</v>
      </c>
      <c r="T59" s="411" t="s">
        <v>5519</v>
      </c>
      <c r="U59" s="411" t="s">
        <v>5520</v>
      </c>
      <c r="V59" s="411" t="s">
        <v>5521</v>
      </c>
      <c r="W59" s="411" t="s">
        <v>5522</v>
      </c>
      <c r="X59" s="411" t="s">
        <v>5523</v>
      </c>
      <c r="Y59" s="411" t="s">
        <v>5524</v>
      </c>
      <c r="Z59" s="411" t="s">
        <v>5525</v>
      </c>
      <c r="AA59" s="412" t="s">
        <v>5526</v>
      </c>
      <c r="AB59" s="412" t="s">
        <v>5527</v>
      </c>
      <c r="AC59" s="412" t="s">
        <v>5528</v>
      </c>
      <c r="AD59" s="412" t="s">
        <v>5529</v>
      </c>
      <c r="AE59" s="413" t="s">
        <v>5530</v>
      </c>
      <c r="AF59" s="412" t="s">
        <v>5531</v>
      </c>
      <c r="AG59" s="414" t="s">
        <v>5532</v>
      </c>
      <c r="AH59" s="414" t="s">
        <v>5533</v>
      </c>
      <c r="AI59" s="414" t="s">
        <v>5534</v>
      </c>
      <c r="AJ59" s="414" t="s">
        <v>5535</v>
      </c>
      <c r="AK59" s="414" t="s">
        <v>5536</v>
      </c>
      <c r="AL59" s="414" t="s">
        <v>5537</v>
      </c>
      <c r="AM59" s="415" t="s">
        <v>5538</v>
      </c>
      <c r="AN59" s="415" t="s">
        <v>5539</v>
      </c>
      <c r="AO59" s="415" t="s">
        <v>5540</v>
      </c>
      <c r="AP59" s="415" t="s">
        <v>5541</v>
      </c>
      <c r="AQ59" s="415" t="s">
        <v>5542</v>
      </c>
      <c r="AR59" s="415" t="s">
        <v>5543</v>
      </c>
      <c r="AS59" s="416"/>
      <c r="AT59" s="416"/>
      <c r="AU59" s="416"/>
      <c r="AV59" s="416"/>
      <c r="AW59" s="416"/>
      <c r="AX59" s="416"/>
      <c r="AY59" s="129"/>
      <c r="AZ59" s="417"/>
      <c r="BA59" s="417"/>
      <c r="BB59" s="417"/>
      <c r="BC59" s="417"/>
      <c r="BD59" s="417"/>
      <c r="BE59" s="417"/>
      <c r="BF59" s="418"/>
      <c r="BG59" s="418"/>
      <c r="BH59" s="417"/>
      <c r="BI59" s="417"/>
      <c r="BJ59" s="417"/>
      <c r="BK59" s="417"/>
      <c r="BL59" s="417"/>
      <c r="BM59" s="417"/>
      <c r="BN59" s="417"/>
      <c r="BO59" s="417"/>
      <c r="BP59" s="417"/>
      <c r="BQ59" s="417"/>
      <c r="BR59" s="417"/>
      <c r="BS59" s="419"/>
    </row>
    <row r="60" spans="5:84" ht="14.4" customHeight="1" x14ac:dyDescent="0.25">
      <c r="F60" s="1052"/>
      <c r="G60" s="402" t="e">
        <f>IF(AND(综合数据!B15=TRUE,H1&gt;0),"我非常敬重消失的导师，现在正在一边继续他留下的工作一边在寻找着他。","")</f>
        <v>#N/A</v>
      </c>
      <c r="H60" s="352" t="e">
        <f t="array" ref="H60">INDEX(G:G,SMALL(IF($G$52:$G$69&lt;&gt;"",ROW($52:$69),70),ROW(H9)))&amp;""</f>
        <v>#N/A</v>
      </c>
      <c r="I60" s="1057"/>
      <c r="J60" s="198" t="str">
        <f>IFERROR(INDEX($BW$62:$CF$74,$J$1,3),"")</f>
        <v/>
      </c>
    </row>
    <row r="61" spans="5:84" ht="14.4" customHeight="1" x14ac:dyDescent="0.25">
      <c r="F61" s="1052"/>
      <c r="G61" s="402" t="e">
        <f>IF(AND(综合数据!B15=TRUE,H1&gt;0),"我见识过巨大的黑暗，所以我决心化身光明带领其他光明一起对抗它。","")</f>
        <v>#N/A</v>
      </c>
      <c r="H61" s="352" t="e">
        <f t="array" ref="H61">INDEX(G:G,SMALL(IF($G$52:$G$69&lt;&gt;"",ROW($52:$69),70),ROW(H10)))&amp;""</f>
        <v>#N/A</v>
      </c>
      <c r="I61" s="1057"/>
      <c r="J61" s="198" t="str">
        <f>IFERROR(INDEX($BW$62:$CF$74,$J$1,4),"")</f>
        <v/>
      </c>
      <c r="K61" s="337"/>
      <c r="L61" s="338"/>
      <c r="M61" s="1049" t="s">
        <v>4107</v>
      </c>
      <c r="N61" s="1049"/>
      <c r="O61" s="1049"/>
      <c r="P61" s="1049"/>
      <c r="Q61" s="1049"/>
      <c r="R61" s="1049"/>
      <c r="S61" s="1049" t="s">
        <v>5544</v>
      </c>
      <c r="T61" s="1058"/>
      <c r="U61" s="1058"/>
      <c r="V61" s="1058"/>
      <c r="W61" s="1058"/>
      <c r="X61" s="1058"/>
      <c r="Y61" s="1058"/>
      <c r="Z61" s="1049" t="s">
        <v>5545</v>
      </c>
      <c r="AA61" s="1058"/>
      <c r="AB61" s="1058"/>
      <c r="AC61" s="1058"/>
      <c r="AD61" s="1058"/>
      <c r="AE61" s="1058"/>
      <c r="AF61" s="1058"/>
      <c r="AG61" s="1049" t="s">
        <v>5546</v>
      </c>
      <c r="AH61" s="1058"/>
      <c r="AI61" s="1058"/>
      <c r="AJ61" s="1058"/>
      <c r="AK61" s="1058"/>
      <c r="AL61" s="1058"/>
      <c r="AM61" s="1058"/>
      <c r="AN61" s="1049" t="s">
        <v>5547</v>
      </c>
      <c r="AO61" s="1049"/>
      <c r="AP61" s="1049"/>
      <c r="AQ61" s="1049"/>
      <c r="AR61" s="1049"/>
      <c r="AS61" s="1049"/>
      <c r="AT61" s="1049"/>
      <c r="AU61" s="1049"/>
      <c r="AV61" s="1049"/>
      <c r="AW61" s="1049"/>
      <c r="AX61" s="1049"/>
      <c r="AY61" s="1049"/>
      <c r="AZ61" s="1049"/>
      <c r="BA61" s="1049"/>
      <c r="BB61" s="1049"/>
      <c r="BC61" s="1049"/>
      <c r="BD61" s="1049"/>
      <c r="BE61" s="1049"/>
      <c r="BF61" s="1049"/>
      <c r="BG61" s="1049"/>
      <c r="BH61" s="1049"/>
      <c r="BI61" s="1049" t="s">
        <v>5548</v>
      </c>
      <c r="BJ61" s="1049"/>
      <c r="BK61" s="1049"/>
      <c r="BL61" s="1049"/>
      <c r="BM61" s="1049"/>
      <c r="BN61" s="1049"/>
      <c r="BO61" s="1049"/>
      <c r="BP61" s="1049"/>
      <c r="BQ61" s="1049"/>
      <c r="BR61" s="1049"/>
      <c r="BS61" s="1049"/>
      <c r="BT61" s="1049"/>
      <c r="BU61" s="1049"/>
      <c r="BV61" s="1049" t="s">
        <v>5549</v>
      </c>
      <c r="BW61" s="1049"/>
      <c r="BX61" s="1049"/>
      <c r="BY61" s="1049"/>
      <c r="BZ61" s="1049"/>
      <c r="CA61" s="1049"/>
      <c r="CB61" s="1049"/>
      <c r="CC61" s="1049"/>
      <c r="CD61" s="1049"/>
      <c r="CE61" s="1049"/>
      <c r="CF61" s="1048"/>
    </row>
    <row r="62" spans="5:84" ht="14.4" customHeight="1" x14ac:dyDescent="0.25">
      <c r="F62" s="1052"/>
      <c r="G62" s="402" t="e">
        <f>IF(AND(综合数据!B15=TRUE,H1&gt;0),"我最爱的人变成了怪物、杀人犯、或是其他威胁，我决心要救赎他。","")</f>
        <v>#N/A</v>
      </c>
      <c r="H62" s="352" t="e">
        <f t="array" ref="H62">INDEX(G:G,SMALL(IF($G$52:$G$69&lt;&gt;"",ROW($52:$69),70),ROW(H11)))&amp;""</f>
        <v>#N/A</v>
      </c>
      <c r="I62" s="1057"/>
      <c r="J62" s="198" t="str">
        <f>IFERROR(INDEX($BW$62:$CF$74,$J$1,5),"")</f>
        <v/>
      </c>
      <c r="K62" s="246" t="s">
        <v>1441</v>
      </c>
      <c r="L62" s="180">
        <v>1</v>
      </c>
      <c r="M62" s="119" t="s">
        <v>5550</v>
      </c>
      <c r="N62" s="119" t="s">
        <v>5551</v>
      </c>
      <c r="O62" s="119" t="s">
        <v>5552</v>
      </c>
      <c r="P62" s="119" t="s">
        <v>5553</v>
      </c>
      <c r="Q62" s="119" t="s">
        <v>5554</v>
      </c>
      <c r="R62" s="119" t="s">
        <v>5555</v>
      </c>
      <c r="S62" s="283" t="s">
        <v>3947</v>
      </c>
      <c r="T62" s="285" t="s">
        <v>5556</v>
      </c>
      <c r="U62" s="285" t="s">
        <v>5557</v>
      </c>
      <c r="V62" s="285" t="s">
        <v>5558</v>
      </c>
      <c r="W62" s="285" t="s">
        <v>5559</v>
      </c>
      <c r="X62" s="285" t="s">
        <v>5560</v>
      </c>
      <c r="Y62" s="285" t="s">
        <v>5561</v>
      </c>
      <c r="Z62" s="287" t="s">
        <v>5562</v>
      </c>
      <c r="AA62" s="378" t="s">
        <v>5563</v>
      </c>
      <c r="AB62" s="378" t="s">
        <v>5564</v>
      </c>
      <c r="AC62" s="378" t="s">
        <v>5565</v>
      </c>
      <c r="AD62" s="378" t="s">
        <v>5566</v>
      </c>
      <c r="AE62" s="378" t="s">
        <v>5567</v>
      </c>
      <c r="AF62" s="378" t="s">
        <v>5568</v>
      </c>
      <c r="AG62" s="379" t="s">
        <v>5569</v>
      </c>
      <c r="AH62" s="379" t="s">
        <v>5570</v>
      </c>
      <c r="AI62" s="379" t="s">
        <v>5571</v>
      </c>
      <c r="AJ62" s="379" t="s">
        <v>5572</v>
      </c>
      <c r="AK62" s="379" t="s">
        <v>5573</v>
      </c>
      <c r="AL62" s="379" t="s">
        <v>5574</v>
      </c>
      <c r="AM62" s="379" t="s">
        <v>5575</v>
      </c>
      <c r="AN62" s="293" t="s">
        <v>5576</v>
      </c>
      <c r="AO62" s="380" t="s">
        <v>5577</v>
      </c>
      <c r="AP62" s="380" t="s">
        <v>5578</v>
      </c>
      <c r="AQ62" s="380" t="s">
        <v>5579</v>
      </c>
      <c r="AR62" s="380" t="s">
        <v>5580</v>
      </c>
      <c r="AS62" s="380" t="s">
        <v>5581</v>
      </c>
      <c r="AT62" s="380" t="s">
        <v>5582</v>
      </c>
      <c r="AU62" s="380" t="s">
        <v>5583</v>
      </c>
      <c r="AV62" s="380" t="s">
        <v>5584</v>
      </c>
      <c r="AW62" s="380" t="s">
        <v>5585</v>
      </c>
      <c r="AX62" s="380" t="s">
        <v>5586</v>
      </c>
      <c r="AY62" s="293"/>
      <c r="AZ62" s="380"/>
      <c r="BA62" s="380"/>
      <c r="BB62" s="380"/>
      <c r="BC62" s="380"/>
      <c r="BD62" s="380"/>
      <c r="BE62" s="380"/>
      <c r="BF62" s="380"/>
      <c r="BG62" s="380"/>
      <c r="BH62" s="380"/>
      <c r="BI62" s="297" t="s">
        <v>5587</v>
      </c>
      <c r="BJ62" s="381" t="s">
        <v>5588</v>
      </c>
      <c r="BK62" s="381" t="s">
        <v>5589</v>
      </c>
      <c r="BL62" s="381" t="s">
        <v>5590</v>
      </c>
      <c r="BM62" s="381" t="s">
        <v>5591</v>
      </c>
      <c r="BN62" s="381" t="s">
        <v>5592</v>
      </c>
      <c r="BO62" s="381" t="s">
        <v>5593</v>
      </c>
      <c r="BP62" s="381" t="s">
        <v>5594</v>
      </c>
      <c r="BQ62" s="381" t="s">
        <v>5595</v>
      </c>
      <c r="BR62" s="381" t="s">
        <v>5596</v>
      </c>
      <c r="BS62" s="381" t="s">
        <v>5597</v>
      </c>
      <c r="BT62" s="381"/>
      <c r="BU62" s="381"/>
      <c r="BV62" s="382"/>
      <c r="BW62" s="382"/>
      <c r="BX62" s="382"/>
      <c r="BY62" s="382"/>
      <c r="BZ62" s="382"/>
      <c r="CA62" s="382"/>
      <c r="CB62" s="382"/>
      <c r="CC62" s="382"/>
      <c r="CD62" s="382"/>
      <c r="CE62" s="382"/>
      <c r="CF62" s="420"/>
    </row>
    <row r="63" spans="5:84" ht="14.4" customHeight="1" x14ac:dyDescent="0.25">
      <c r="F63" s="1052"/>
      <c r="G63" s="402" t="e">
        <f>IF(AND(综合数据!B15=TRUE,H1&gt;0),"全世界都被一个可怕的谎言所迷惑，我决定要揭露真相。","")</f>
        <v>#N/A</v>
      </c>
      <c r="H63" s="352" t="e">
        <f t="array" ref="H63">INDEX(G:G,SMALL(IF($G$52:$G$69&lt;&gt;"",ROW($52:$69),70),ROW(H12)))&amp;""</f>
        <v>#N/A</v>
      </c>
      <c r="I63" s="1057"/>
      <c r="J63" s="198" t="str">
        <f>IFERROR(INDEX($BW$62:$CF$74,$J$1,6),"")</f>
        <v/>
      </c>
      <c r="K63" s="246" t="s">
        <v>1471</v>
      </c>
      <c r="L63" s="180">
        <v>2</v>
      </c>
      <c r="M63" s="119" t="s">
        <v>5598</v>
      </c>
      <c r="N63" s="119" t="s">
        <v>5599</v>
      </c>
      <c r="O63" s="119" t="s">
        <v>5600</v>
      </c>
      <c r="P63" s="119" t="s">
        <v>5601</v>
      </c>
      <c r="Q63" s="119" t="s">
        <v>5602</v>
      </c>
      <c r="R63" s="119" t="s">
        <v>5603</v>
      </c>
      <c r="S63" s="283" t="s">
        <v>5604</v>
      </c>
      <c r="T63" s="285" t="s">
        <v>5605</v>
      </c>
      <c r="U63" s="285" t="s">
        <v>5606</v>
      </c>
      <c r="V63" s="285" t="s">
        <v>5607</v>
      </c>
      <c r="W63" s="285" t="s">
        <v>5608</v>
      </c>
      <c r="X63" s="285" t="s">
        <v>5609</v>
      </c>
      <c r="Y63" s="285" t="s">
        <v>5610</v>
      </c>
      <c r="Z63" s="287" t="s">
        <v>3810</v>
      </c>
      <c r="AA63" s="378" t="s">
        <v>5611</v>
      </c>
      <c r="AB63" s="378" t="s">
        <v>5612</v>
      </c>
      <c r="AC63" s="378" t="s">
        <v>5613</v>
      </c>
      <c r="AD63" s="378" t="s">
        <v>5614</v>
      </c>
      <c r="AE63" s="378" t="s">
        <v>5615</v>
      </c>
      <c r="AF63" s="378" t="s">
        <v>5616</v>
      </c>
      <c r="AG63" s="290" t="s">
        <v>5617</v>
      </c>
      <c r="AH63" s="379" t="s">
        <v>5618</v>
      </c>
      <c r="AI63" s="379" t="s">
        <v>5619</v>
      </c>
      <c r="AJ63" s="379" t="s">
        <v>5620</v>
      </c>
      <c r="AK63" s="379" t="s">
        <v>5621</v>
      </c>
      <c r="AL63" s="379" t="s">
        <v>5622</v>
      </c>
      <c r="AM63" s="379" t="s">
        <v>5623</v>
      </c>
      <c r="AN63" s="380" t="s">
        <v>5624</v>
      </c>
      <c r="AO63" s="380" t="s">
        <v>5625</v>
      </c>
      <c r="AP63" s="380" t="s">
        <v>5626</v>
      </c>
      <c r="AQ63" s="380" t="s">
        <v>5627</v>
      </c>
      <c r="AR63" s="380" t="s">
        <v>5628</v>
      </c>
      <c r="AS63" s="380" t="s">
        <v>5629</v>
      </c>
      <c r="AT63" s="380" t="s">
        <v>5630</v>
      </c>
      <c r="AU63" s="380" t="s">
        <v>5631</v>
      </c>
      <c r="AV63" s="380" t="s">
        <v>5632</v>
      </c>
      <c r="AW63" s="380" t="s">
        <v>5633</v>
      </c>
      <c r="AX63" s="380" t="s">
        <v>5634</v>
      </c>
      <c r="AY63" s="380" t="s">
        <v>5635</v>
      </c>
      <c r="AZ63" s="380" t="s">
        <v>5636</v>
      </c>
      <c r="BA63" s="380" t="s">
        <v>5637</v>
      </c>
      <c r="BB63" s="380" t="s">
        <v>5638</v>
      </c>
      <c r="BC63" s="380" t="s">
        <v>5639</v>
      </c>
      <c r="BD63" s="380" t="s">
        <v>5640</v>
      </c>
      <c r="BE63" s="380" t="s">
        <v>5641</v>
      </c>
      <c r="BF63" s="380" t="s">
        <v>5642</v>
      </c>
      <c r="BG63" s="380" t="s">
        <v>5643</v>
      </c>
      <c r="BH63" s="380" t="s">
        <v>5644</v>
      </c>
      <c r="BI63" s="297" t="s">
        <v>5645</v>
      </c>
      <c r="BJ63" s="381" t="s">
        <v>5646</v>
      </c>
      <c r="BK63" s="381" t="s">
        <v>5647</v>
      </c>
      <c r="BL63" s="381" t="s">
        <v>5648</v>
      </c>
      <c r="BM63" s="381" t="s">
        <v>5649</v>
      </c>
      <c r="BN63" s="381" t="s">
        <v>5650</v>
      </c>
      <c r="BO63" s="381" t="s">
        <v>5651</v>
      </c>
      <c r="BP63" s="381" t="s">
        <v>5652</v>
      </c>
      <c r="BQ63" s="381" t="s">
        <v>5653</v>
      </c>
      <c r="BR63" s="381" t="s">
        <v>5654</v>
      </c>
      <c r="BS63" s="381" t="s">
        <v>5655</v>
      </c>
      <c r="BT63" s="381"/>
      <c r="BU63" s="381"/>
      <c r="BV63" s="382"/>
      <c r="BW63" s="382"/>
      <c r="BX63" s="382"/>
      <c r="BY63" s="382"/>
      <c r="BZ63" s="382"/>
      <c r="CA63" s="382"/>
      <c r="CB63" s="382"/>
      <c r="CC63" s="382"/>
      <c r="CD63" s="382"/>
      <c r="CE63" s="382"/>
      <c r="CF63" s="420"/>
    </row>
    <row r="64" spans="5:84" ht="14.4" customHeight="1" x14ac:dyDescent="0.25">
      <c r="F64" s="1052"/>
      <c r="G64" s="402" t="e">
        <f>IF(AND(综合数据!B15=TRUE,H1&gt;0),"我特别怀念某个人，所以我毫不犹豫地收养了一个让我能想到他的人。","")</f>
        <v>#N/A</v>
      </c>
      <c r="H64" s="352" t="e">
        <f t="array" ref="H64">INDEX(G:G,SMALL(IF($G$52:$G$69&lt;&gt;"",ROW($52:$69),70),ROW(H13)))&amp;""</f>
        <v>#N/A</v>
      </c>
      <c r="I64" s="1057"/>
      <c r="J64" s="198" t="str">
        <f>IFERROR(INDEX($BW$62:$CF$74,$J$1,7),"")</f>
        <v/>
      </c>
      <c r="K64" s="246" t="s">
        <v>1501</v>
      </c>
      <c r="L64" s="180">
        <v>3</v>
      </c>
      <c r="M64" s="119" t="s">
        <v>5656</v>
      </c>
      <c r="N64" s="119" t="s">
        <v>5657</v>
      </c>
      <c r="O64" s="119" t="s">
        <v>5658</v>
      </c>
      <c r="P64" s="119" t="s">
        <v>5659</v>
      </c>
      <c r="Q64" s="119" t="s">
        <v>5660</v>
      </c>
      <c r="R64" s="119" t="s">
        <v>5661</v>
      </c>
      <c r="S64" s="283" t="s">
        <v>5662</v>
      </c>
      <c r="T64" s="285" t="s">
        <v>5663</v>
      </c>
      <c r="U64" s="285" t="s">
        <v>5664</v>
      </c>
      <c r="V64" s="285" t="s">
        <v>5665</v>
      </c>
      <c r="W64" s="285" t="s">
        <v>5666</v>
      </c>
      <c r="X64" s="285" t="s">
        <v>5667</v>
      </c>
      <c r="Y64" s="285" t="s">
        <v>5668</v>
      </c>
      <c r="Z64" s="287" t="s">
        <v>5669</v>
      </c>
      <c r="AA64" s="287" t="s">
        <v>5670</v>
      </c>
      <c r="AB64" s="287" t="s">
        <v>5671</v>
      </c>
      <c r="AC64" s="287" t="s">
        <v>5672</v>
      </c>
      <c r="AD64" s="287" t="s">
        <v>5673</v>
      </c>
      <c r="AE64" s="287" t="s">
        <v>5674</v>
      </c>
      <c r="AF64" s="287" t="s">
        <v>5675</v>
      </c>
      <c r="AG64" s="290" t="s">
        <v>5676</v>
      </c>
      <c r="AH64" s="379" t="s">
        <v>5677</v>
      </c>
      <c r="AI64" s="379" t="s">
        <v>5678</v>
      </c>
      <c r="AJ64" s="379" t="s">
        <v>5679</v>
      </c>
      <c r="AK64" s="379" t="s">
        <v>5680</v>
      </c>
      <c r="AL64" s="379" t="s">
        <v>5681</v>
      </c>
      <c r="AM64" s="379" t="s">
        <v>5682</v>
      </c>
      <c r="AN64" s="293" t="s">
        <v>1423</v>
      </c>
      <c r="AO64" s="380" t="s">
        <v>5683</v>
      </c>
      <c r="AP64" s="380" t="s">
        <v>5684</v>
      </c>
      <c r="AQ64" s="380" t="s">
        <v>5685</v>
      </c>
      <c r="AR64" s="380" t="s">
        <v>5686</v>
      </c>
      <c r="AS64" s="380" t="s">
        <v>5687</v>
      </c>
      <c r="AT64" s="380" t="s">
        <v>5688</v>
      </c>
      <c r="AU64" s="380" t="s">
        <v>5689</v>
      </c>
      <c r="AV64" s="380" t="s">
        <v>5690</v>
      </c>
      <c r="AW64" s="380"/>
      <c r="AX64" s="380"/>
      <c r="AY64" s="380"/>
      <c r="AZ64" s="380"/>
      <c r="BA64" s="380"/>
      <c r="BB64" s="380"/>
      <c r="BC64" s="380"/>
      <c r="BD64" s="380"/>
      <c r="BE64" s="380"/>
      <c r="BF64" s="380"/>
      <c r="BG64" s="380"/>
      <c r="BH64" s="380"/>
      <c r="BI64" s="381" t="s">
        <v>5691</v>
      </c>
      <c r="BJ64" s="381" t="s">
        <v>5692</v>
      </c>
      <c r="BK64" s="381" t="s">
        <v>5693</v>
      </c>
      <c r="BL64" s="381" t="s">
        <v>5694</v>
      </c>
      <c r="BM64" s="381" t="s">
        <v>5695</v>
      </c>
      <c r="BN64" s="381" t="s">
        <v>5696</v>
      </c>
      <c r="BO64" s="381" t="s">
        <v>5697</v>
      </c>
      <c r="BP64" s="381" t="s">
        <v>5698</v>
      </c>
      <c r="BQ64" s="381" t="s">
        <v>5699</v>
      </c>
      <c r="BR64" s="381"/>
      <c r="BS64" s="381"/>
      <c r="BT64" s="381"/>
      <c r="BU64" s="381"/>
      <c r="BV64" s="382" t="s">
        <v>5700</v>
      </c>
      <c r="BW64" s="382" t="s">
        <v>5701</v>
      </c>
      <c r="BX64" s="382" t="s">
        <v>5702</v>
      </c>
      <c r="BY64" s="382" t="s">
        <v>5703</v>
      </c>
      <c r="BZ64" s="382" t="s">
        <v>5704</v>
      </c>
      <c r="CA64" s="382" t="s">
        <v>5705</v>
      </c>
      <c r="CB64" s="382" t="s">
        <v>5706</v>
      </c>
      <c r="CC64" s="382" t="s">
        <v>5707</v>
      </c>
      <c r="CD64" s="382" t="s">
        <v>5708</v>
      </c>
      <c r="CE64" s="382" t="s">
        <v>5709</v>
      </c>
      <c r="CF64" s="420" t="s">
        <v>5710</v>
      </c>
    </row>
    <row r="65" spans="6:84" ht="14.4" customHeight="1" x14ac:dyDescent="0.25">
      <c r="F65" s="1052"/>
      <c r="G65" s="402" t="e">
        <f>IF(AND(综合数据!B15=TRUE,H1&gt;0),"某种巨大的邪恶的栖身在我体内，我将为消灭它、以及世上其他的邪恶战斗到底。","")</f>
        <v>#N/A</v>
      </c>
      <c r="H65" s="352" t="e">
        <f t="array" ref="H65">INDEX(G:G,SMALL(IF($G$52:$G$69&lt;&gt;"",ROW($52:$69),70),ROW(H14)))&amp;""</f>
        <v>#N/A</v>
      </c>
      <c r="I65" s="1057"/>
      <c r="J65" s="198" t="str">
        <f>IFERROR(INDEX($BW$62:$CF$74,$J$1,8),"")</f>
        <v/>
      </c>
      <c r="K65" s="246" t="s">
        <v>1531</v>
      </c>
      <c r="L65" s="180">
        <v>4</v>
      </c>
      <c r="M65" s="119" t="s">
        <v>5711</v>
      </c>
      <c r="N65" s="119" t="s">
        <v>5712</v>
      </c>
      <c r="O65" s="119" t="s">
        <v>5713</v>
      </c>
      <c r="P65" s="119" t="s">
        <v>5714</v>
      </c>
      <c r="Q65" s="119" t="s">
        <v>5715</v>
      </c>
      <c r="R65" s="119" t="s">
        <v>5716</v>
      </c>
      <c r="S65" s="283" t="s">
        <v>5717</v>
      </c>
      <c r="T65" s="285" t="s">
        <v>5718</v>
      </c>
      <c r="U65" s="285" t="s">
        <v>5719</v>
      </c>
      <c r="V65" s="285" t="s">
        <v>5720</v>
      </c>
      <c r="W65" s="285" t="s">
        <v>5721</v>
      </c>
      <c r="X65" s="285" t="s">
        <v>5722</v>
      </c>
      <c r="Y65" s="285" t="s">
        <v>5723</v>
      </c>
      <c r="Z65" s="287" t="s">
        <v>5724</v>
      </c>
      <c r="AA65" s="378" t="s">
        <v>5725</v>
      </c>
      <c r="AB65" s="378" t="s">
        <v>5726</v>
      </c>
      <c r="AC65" s="378" t="s">
        <v>5727</v>
      </c>
      <c r="AD65" s="378" t="s">
        <v>5728</v>
      </c>
      <c r="AE65" s="378" t="s">
        <v>5729</v>
      </c>
      <c r="AF65" s="378" t="s">
        <v>5730</v>
      </c>
      <c r="AG65" s="290" t="s">
        <v>5731</v>
      </c>
      <c r="AH65" s="379" t="s">
        <v>5732</v>
      </c>
      <c r="AI65" s="379" t="s">
        <v>5733</v>
      </c>
      <c r="AJ65" s="379" t="s">
        <v>5734</v>
      </c>
      <c r="AK65" s="379" t="s">
        <v>5735</v>
      </c>
      <c r="AL65" s="379" t="s">
        <v>5736</v>
      </c>
      <c r="AM65" s="379" t="s">
        <v>5737</v>
      </c>
      <c r="AN65" s="380" t="s">
        <v>5738</v>
      </c>
      <c r="AO65" s="380" t="s">
        <v>5739</v>
      </c>
      <c r="AP65" s="380" t="s">
        <v>5740</v>
      </c>
      <c r="AQ65" s="380" t="s">
        <v>5741</v>
      </c>
      <c r="AR65" s="380" t="s">
        <v>5742</v>
      </c>
      <c r="AS65" s="380" t="s">
        <v>5743</v>
      </c>
      <c r="AT65" s="380" t="s">
        <v>5744</v>
      </c>
      <c r="AU65" s="380"/>
      <c r="AV65" s="380"/>
      <c r="AW65" s="380"/>
      <c r="AX65" s="380"/>
      <c r="AY65" s="380"/>
      <c r="AZ65" s="380"/>
      <c r="BA65" s="380"/>
      <c r="BB65" s="380"/>
      <c r="BC65" s="380"/>
      <c r="BD65" s="380"/>
      <c r="BE65" s="380"/>
      <c r="BF65" s="380"/>
      <c r="BG65" s="380"/>
      <c r="BH65" s="380"/>
      <c r="BI65" s="297" t="s">
        <v>1424</v>
      </c>
      <c r="BJ65" s="381" t="s">
        <v>1454</v>
      </c>
      <c r="BK65" s="297" t="s">
        <v>5745</v>
      </c>
      <c r="BL65" s="381" t="s">
        <v>1514</v>
      </c>
      <c r="BM65" s="381" t="s">
        <v>1545</v>
      </c>
      <c r="BN65" s="381" t="s">
        <v>1572</v>
      </c>
      <c r="BO65" s="381" t="s">
        <v>1599</v>
      </c>
      <c r="BP65" s="381" t="s">
        <v>1621</v>
      </c>
      <c r="BQ65" s="381" t="s">
        <v>1630</v>
      </c>
      <c r="BR65" s="381" t="s">
        <v>1641</v>
      </c>
      <c r="BS65" s="381" t="s">
        <v>1649</v>
      </c>
      <c r="BT65" s="381"/>
      <c r="BU65" s="381"/>
      <c r="BV65" s="382" t="s">
        <v>5746</v>
      </c>
      <c r="BW65" s="382" t="s">
        <v>5747</v>
      </c>
      <c r="BX65" s="382" t="s">
        <v>5748</v>
      </c>
      <c r="BY65" s="382" t="s">
        <v>5749</v>
      </c>
      <c r="BZ65" s="382" t="s">
        <v>5750</v>
      </c>
      <c r="CA65" s="382" t="s">
        <v>5751</v>
      </c>
      <c r="CB65" s="382" t="s">
        <v>5752</v>
      </c>
      <c r="CC65" s="382" t="s">
        <v>5753</v>
      </c>
      <c r="CD65" s="382" t="s">
        <v>5754</v>
      </c>
      <c r="CE65" s="382" t="s">
        <v>5755</v>
      </c>
      <c r="CF65" s="420" t="s">
        <v>5756</v>
      </c>
    </row>
    <row r="66" spans="6:84" ht="14.4" customHeight="1" x14ac:dyDescent="0.25">
      <c r="F66" s="1052"/>
      <c r="G66" s="402" t="e">
        <f>IF(AND(综合数据!B15=TRUE,H1&gt;0),"我正为自己或身边的人寻找一种治愈痛苦或诅咒的方法。","")</f>
        <v>#N/A</v>
      </c>
      <c r="H66" s="352" t="e">
        <f t="array" ref="H66">INDEX(G:G,SMALL(IF($G$52:$G$69&lt;&gt;"",ROW($52:$69),70),ROW(H15)))&amp;""</f>
        <v>#N/A</v>
      </c>
      <c r="I66" s="1057"/>
      <c r="J66" s="198" t="str">
        <f>IFERROR(INDEX($BW$62:$CF$74,$J$1,9),"")</f>
        <v/>
      </c>
      <c r="K66" s="246" t="s">
        <v>1562</v>
      </c>
      <c r="L66" s="180">
        <v>5</v>
      </c>
      <c r="M66" s="119" t="s">
        <v>5757</v>
      </c>
      <c r="N66" s="119" t="s">
        <v>5758</v>
      </c>
      <c r="O66" s="119" t="s">
        <v>5759</v>
      </c>
      <c r="P66" s="119" t="s">
        <v>5760</v>
      </c>
      <c r="Q66" s="119" t="s">
        <v>5761</v>
      </c>
      <c r="R66" s="119" t="s">
        <v>5762</v>
      </c>
      <c r="S66" s="283" t="s">
        <v>5763</v>
      </c>
      <c r="T66" s="283" t="s">
        <v>5764</v>
      </c>
      <c r="U66" s="283" t="s">
        <v>5765</v>
      </c>
      <c r="V66" s="283" t="s">
        <v>5766</v>
      </c>
      <c r="W66" s="283" t="s">
        <v>5767</v>
      </c>
      <c r="X66" s="283" t="s">
        <v>5768</v>
      </c>
      <c r="Y66" s="283" t="s">
        <v>5769</v>
      </c>
      <c r="Z66" s="287" t="s">
        <v>5731</v>
      </c>
      <c r="AA66" s="378" t="s">
        <v>5770</v>
      </c>
      <c r="AB66" s="378" t="s">
        <v>5771</v>
      </c>
      <c r="AC66" s="378" t="s">
        <v>5772</v>
      </c>
      <c r="AD66" s="378" t="s">
        <v>5773</v>
      </c>
      <c r="AE66" s="378" t="s">
        <v>5774</v>
      </c>
      <c r="AF66" s="378" t="s">
        <v>5775</v>
      </c>
      <c r="AG66" s="290" t="s">
        <v>5587</v>
      </c>
      <c r="AH66" s="379" t="s">
        <v>5776</v>
      </c>
      <c r="AI66" s="379" t="s">
        <v>5777</v>
      </c>
      <c r="AJ66" s="379" t="s">
        <v>5778</v>
      </c>
      <c r="AK66" s="379" t="s">
        <v>5779</v>
      </c>
      <c r="AL66" s="379" t="s">
        <v>5780</v>
      </c>
      <c r="AM66" s="379" t="s">
        <v>5781</v>
      </c>
      <c r="AN66" s="293" t="s">
        <v>1426</v>
      </c>
      <c r="AO66" s="380" t="s">
        <v>1456</v>
      </c>
      <c r="AP66" s="380" t="s">
        <v>1486</v>
      </c>
      <c r="AQ66" s="380" t="s">
        <v>1516</v>
      </c>
      <c r="AR66" s="380" t="s">
        <v>1547</v>
      </c>
      <c r="AS66" s="380" t="s">
        <v>1574</v>
      </c>
      <c r="AT66" s="380" t="s">
        <v>1601</v>
      </c>
      <c r="AU66" s="380"/>
      <c r="AV66" s="380"/>
      <c r="AW66" s="380"/>
      <c r="AX66" s="380"/>
      <c r="AY66" s="380"/>
      <c r="AZ66" s="380"/>
      <c r="BA66" s="380"/>
      <c r="BB66" s="380"/>
      <c r="BC66" s="380"/>
      <c r="BD66" s="380"/>
      <c r="BE66" s="380"/>
      <c r="BF66" s="380"/>
      <c r="BG66" s="380"/>
      <c r="BH66" s="380"/>
      <c r="BI66" s="381" t="s">
        <v>104</v>
      </c>
      <c r="BJ66" s="381" t="s">
        <v>5782</v>
      </c>
      <c r="BK66" s="381" t="s">
        <v>5783</v>
      </c>
      <c r="BL66" s="381" t="s">
        <v>5784</v>
      </c>
      <c r="BM66" s="381" t="s">
        <v>5785</v>
      </c>
      <c r="BN66" s="381" t="s">
        <v>5786</v>
      </c>
      <c r="BO66" s="381" t="s">
        <v>5787</v>
      </c>
      <c r="BP66" s="381" t="s">
        <v>5788</v>
      </c>
      <c r="BQ66" s="381" t="s">
        <v>5789</v>
      </c>
      <c r="BR66" s="381" t="s">
        <v>5790</v>
      </c>
      <c r="BS66" s="381" t="s">
        <v>5791</v>
      </c>
      <c r="BT66" s="381" t="s">
        <v>5792</v>
      </c>
      <c r="BU66" s="381" t="s">
        <v>5793</v>
      </c>
      <c r="BV66" s="382" t="s">
        <v>5691</v>
      </c>
      <c r="BW66" s="382" t="s">
        <v>5794</v>
      </c>
      <c r="BX66" s="382" t="s">
        <v>5795</v>
      </c>
      <c r="BY66" s="382" t="s">
        <v>5796</v>
      </c>
      <c r="BZ66" s="382" t="s">
        <v>5797</v>
      </c>
      <c r="CA66" s="382" t="s">
        <v>5798</v>
      </c>
      <c r="CB66" s="382" t="s">
        <v>5799</v>
      </c>
      <c r="CC66" s="382" t="s">
        <v>5800</v>
      </c>
      <c r="CD66" s="382" t="s">
        <v>5801</v>
      </c>
      <c r="CE66" s="382" t="s">
        <v>5802</v>
      </c>
      <c r="CF66" s="420" t="s">
        <v>5803</v>
      </c>
    </row>
    <row r="67" spans="6:84" ht="14.4" customHeight="1" x14ac:dyDescent="0.25">
      <c r="F67" s="1052"/>
      <c r="G67" s="402" t="e">
        <f>IF(AND(综合数据!B15=TRUE,H1&gt;0),"精魂被我所吸引，我也在尝试各种办法希望为它们寻得安宁。","")</f>
        <v>#N/A</v>
      </c>
      <c r="H67" s="352" t="e">
        <f t="array" ref="H67">INDEX(G:G,SMALL(IF($G$52:$G$69&lt;&gt;"",ROW($52:$69),70),ROW(H16)))&amp;""</f>
        <v>#N/A</v>
      </c>
      <c r="I67" s="1060"/>
      <c r="J67" s="280" t="str">
        <f>IFERROR(INDEX($BW$62:$CF$74,$J$1,10),"")</f>
        <v/>
      </c>
      <c r="K67" s="246" t="s">
        <v>1588</v>
      </c>
      <c r="L67" s="180">
        <v>6</v>
      </c>
      <c r="M67" s="119" t="s">
        <v>5804</v>
      </c>
      <c r="N67" s="119" t="s">
        <v>5805</v>
      </c>
      <c r="O67" s="119" t="s">
        <v>5806</v>
      </c>
      <c r="P67" s="119" t="s">
        <v>5807</v>
      </c>
      <c r="Q67" s="119" t="s">
        <v>5808</v>
      </c>
      <c r="R67" s="119" t="s">
        <v>5809</v>
      </c>
      <c r="S67" s="283" t="s">
        <v>5810</v>
      </c>
      <c r="T67" s="285" t="s">
        <v>5811</v>
      </c>
      <c r="U67" s="285" t="s">
        <v>5812</v>
      </c>
      <c r="V67" s="285" t="s">
        <v>5813</v>
      </c>
      <c r="W67" s="285" t="s">
        <v>5814</v>
      </c>
      <c r="X67" s="285" t="s">
        <v>5815</v>
      </c>
      <c r="Y67" s="285" t="s">
        <v>5816</v>
      </c>
      <c r="Z67" s="287" t="s">
        <v>5817</v>
      </c>
      <c r="AA67" s="378" t="s">
        <v>5818</v>
      </c>
      <c r="AB67" s="378" t="s">
        <v>5819</v>
      </c>
      <c r="AC67" s="378" t="s">
        <v>5820</v>
      </c>
      <c r="AD67" s="378" t="s">
        <v>5821</v>
      </c>
      <c r="AE67" s="378" t="s">
        <v>5822</v>
      </c>
      <c r="AF67" s="378" t="s">
        <v>5823</v>
      </c>
      <c r="AG67" s="290" t="s">
        <v>5824</v>
      </c>
      <c r="AH67" s="379" t="s">
        <v>5825</v>
      </c>
      <c r="AI67" s="379" t="s">
        <v>5826</v>
      </c>
      <c r="AJ67" s="379" t="s">
        <v>5827</v>
      </c>
      <c r="AK67" s="379" t="s">
        <v>5828</v>
      </c>
      <c r="AL67" s="379" t="s">
        <v>5829</v>
      </c>
      <c r="AM67" s="379" t="s">
        <v>5830</v>
      </c>
      <c r="AN67" s="293" t="s">
        <v>1427</v>
      </c>
      <c r="AO67" s="380" t="s">
        <v>1457</v>
      </c>
      <c r="AP67" s="380" t="s">
        <v>1487</v>
      </c>
      <c r="AQ67" s="380" t="s">
        <v>1517</v>
      </c>
      <c r="AR67" s="380" t="s">
        <v>1548</v>
      </c>
      <c r="AS67" s="380" t="s">
        <v>1575</v>
      </c>
      <c r="AT67" s="380" t="s">
        <v>5831</v>
      </c>
      <c r="AU67" s="380" t="s">
        <v>1622</v>
      </c>
      <c r="AV67" s="380" t="s">
        <v>1631</v>
      </c>
      <c r="AW67" s="380"/>
      <c r="AX67" s="380"/>
      <c r="AY67" s="380"/>
      <c r="AZ67" s="380"/>
      <c r="BA67" s="380"/>
      <c r="BB67" s="380"/>
      <c r="BC67" s="380"/>
      <c r="BD67" s="380"/>
      <c r="BE67" s="380"/>
      <c r="BF67" s="380"/>
      <c r="BG67" s="380"/>
      <c r="BH67" s="380"/>
      <c r="BI67" s="381" t="s">
        <v>5832</v>
      </c>
      <c r="BJ67" s="381" t="s">
        <v>5833</v>
      </c>
      <c r="BK67" s="381" t="s">
        <v>5834</v>
      </c>
      <c r="BL67" s="381" t="s">
        <v>5835</v>
      </c>
      <c r="BM67" s="381" t="s">
        <v>5836</v>
      </c>
      <c r="BN67" s="381" t="s">
        <v>5837</v>
      </c>
      <c r="BO67" s="381" t="s">
        <v>5838</v>
      </c>
      <c r="BP67" s="381" t="s">
        <v>5839</v>
      </c>
      <c r="BQ67" s="381" t="s">
        <v>5840</v>
      </c>
      <c r="BR67" s="381" t="s">
        <v>5841</v>
      </c>
      <c r="BS67" s="381" t="s">
        <v>5842</v>
      </c>
      <c r="BT67" s="381"/>
      <c r="BU67" s="381"/>
      <c r="BV67" s="382" t="s">
        <v>5810</v>
      </c>
      <c r="BW67" s="382" t="s">
        <v>5843</v>
      </c>
      <c r="BX67" s="382" t="s">
        <v>5844</v>
      </c>
      <c r="BY67" s="382" t="s">
        <v>5845</v>
      </c>
      <c r="BZ67" s="382" t="s">
        <v>5846</v>
      </c>
      <c r="CA67" s="382" t="s">
        <v>5847</v>
      </c>
      <c r="CB67" s="382" t="s">
        <v>5848</v>
      </c>
      <c r="CC67" s="382" t="s">
        <v>5849</v>
      </c>
      <c r="CD67" s="382" t="s">
        <v>5850</v>
      </c>
      <c r="CE67" s="382" t="s">
        <v>5851</v>
      </c>
      <c r="CF67" s="420" t="s">
        <v>5852</v>
      </c>
    </row>
    <row r="68" spans="6:84" ht="14.4" customHeight="1" x14ac:dyDescent="0.25">
      <c r="F68" s="1052"/>
      <c r="G68" s="402" t="e">
        <f>IF(AND(综合数据!B15=TRUE,H1&gt;0),"我用精明的头脑解决各种问题，并为那些被冤枉的人伸张正义。","")</f>
        <v>#N/A</v>
      </c>
      <c r="H68" s="352" t="e">
        <f t="array" ref="H68">INDEX(G:G,SMALL(IF($G$52:$G$69&lt;&gt;"",ROW($52:$69),70),ROW(H17)))&amp;""</f>
        <v>#N/A</v>
      </c>
      <c r="K68" s="246" t="s">
        <v>1614</v>
      </c>
      <c r="L68" s="180">
        <v>7</v>
      </c>
      <c r="M68" s="119" t="s">
        <v>5853</v>
      </c>
      <c r="N68" s="119" t="s">
        <v>5854</v>
      </c>
      <c r="O68" s="119" t="s">
        <v>5855</v>
      </c>
      <c r="P68" s="119" t="s">
        <v>5856</v>
      </c>
      <c r="Q68" s="119" t="s">
        <v>5857</v>
      </c>
      <c r="R68" s="119" t="s">
        <v>5858</v>
      </c>
      <c r="S68" s="283" t="s">
        <v>5859</v>
      </c>
      <c r="T68" s="285" t="s">
        <v>5860</v>
      </c>
      <c r="U68" s="285" t="s">
        <v>5861</v>
      </c>
      <c r="V68" s="285" t="s">
        <v>5862</v>
      </c>
      <c r="W68" s="285" t="s">
        <v>5863</v>
      </c>
      <c r="X68" s="285" t="s">
        <v>5864</v>
      </c>
      <c r="Y68" s="285" t="s">
        <v>5865</v>
      </c>
      <c r="Z68" s="287" t="s">
        <v>5866</v>
      </c>
      <c r="AA68" s="378" t="s">
        <v>5867</v>
      </c>
      <c r="AB68" s="378" t="s">
        <v>5868</v>
      </c>
      <c r="AC68" s="378" t="s">
        <v>5869</v>
      </c>
      <c r="AD68" s="378" t="s">
        <v>5870</v>
      </c>
      <c r="AE68" s="378" t="s">
        <v>5871</v>
      </c>
      <c r="AF68" s="378" t="s">
        <v>5872</v>
      </c>
      <c r="AG68" s="290" t="s">
        <v>5873</v>
      </c>
      <c r="AH68" s="379" t="s">
        <v>1459</v>
      </c>
      <c r="AI68" s="379" t="s">
        <v>1489</v>
      </c>
      <c r="AJ68" s="379" t="s">
        <v>1519</v>
      </c>
      <c r="AK68" s="379" t="s">
        <v>1550</v>
      </c>
      <c r="AL68" s="379" t="s">
        <v>1577</v>
      </c>
      <c r="AM68" s="379" t="s">
        <v>1604</v>
      </c>
      <c r="AN68" s="293" t="s">
        <v>5874</v>
      </c>
      <c r="AO68" s="380" t="s">
        <v>5875</v>
      </c>
      <c r="AP68" s="380" t="s">
        <v>5876</v>
      </c>
      <c r="AQ68" s="380" t="s">
        <v>5877</v>
      </c>
      <c r="AR68" s="380" t="s">
        <v>5878</v>
      </c>
      <c r="AS68" s="380" t="s">
        <v>5879</v>
      </c>
      <c r="AT68" s="380" t="s">
        <v>5880</v>
      </c>
      <c r="AU68" s="380"/>
      <c r="AV68" s="380"/>
      <c r="AW68" s="380"/>
      <c r="AX68" s="380"/>
      <c r="AY68" s="380"/>
      <c r="AZ68" s="380"/>
      <c r="BA68" s="380"/>
      <c r="BB68" s="380"/>
      <c r="BC68" s="380"/>
      <c r="BD68" s="380"/>
      <c r="BE68" s="380"/>
      <c r="BF68" s="380"/>
      <c r="BG68" s="380"/>
      <c r="BH68" s="380"/>
      <c r="BI68" s="381" t="s">
        <v>5676</v>
      </c>
      <c r="BJ68" s="381" t="s">
        <v>5881</v>
      </c>
      <c r="BK68" s="381" t="s">
        <v>5882</v>
      </c>
      <c r="BL68" s="381" t="s">
        <v>5883</v>
      </c>
      <c r="BM68" s="381" t="s">
        <v>5884</v>
      </c>
      <c r="BN68" s="297" t="s">
        <v>5885</v>
      </c>
      <c r="BO68" s="381" t="s">
        <v>5886</v>
      </c>
      <c r="BP68" s="381"/>
      <c r="BQ68" s="381"/>
      <c r="BR68" s="381"/>
      <c r="BS68" s="381"/>
      <c r="BT68" s="381"/>
      <c r="BU68" s="381"/>
      <c r="BV68" s="382" t="s">
        <v>5887</v>
      </c>
      <c r="BW68" s="382" t="s">
        <v>5888</v>
      </c>
      <c r="BX68" s="382" t="s">
        <v>5889</v>
      </c>
      <c r="BY68" s="382" t="s">
        <v>5890</v>
      </c>
      <c r="BZ68" s="382" t="s">
        <v>5891</v>
      </c>
      <c r="CA68" s="382" t="s">
        <v>5892</v>
      </c>
      <c r="CB68" s="382" t="s">
        <v>5893</v>
      </c>
      <c r="CC68" s="382" t="s">
        <v>5894</v>
      </c>
      <c r="CD68" s="382" t="s">
        <v>5895</v>
      </c>
      <c r="CE68" s="382"/>
      <c r="CF68" s="420"/>
    </row>
    <row r="69" spans="6:84" ht="14.4" customHeight="1" x14ac:dyDescent="0.25">
      <c r="F69" s="1052"/>
      <c r="G69" s="402" t="e">
        <f>IF(AND(综合数据!B15=TRUE,H1&gt;0),"我失去了一位我在意的人，但他仍会出现在我内疚的幻境或是梦中、亦或像精魂一样出现在我面前。","")</f>
        <v>#N/A</v>
      </c>
      <c r="H69" s="352" t="e">
        <f t="array" ref="H69">INDEX(G:G,SMALL(IF($G$52:$G$69&lt;&gt;"",ROW($52:$69),70),ROW(H18)))&amp;""</f>
        <v>#N/A</v>
      </c>
      <c r="K69" s="246" t="s">
        <v>1623</v>
      </c>
      <c r="L69" s="180">
        <v>8</v>
      </c>
      <c r="M69" s="119" t="s">
        <v>5896</v>
      </c>
      <c r="N69" s="119" t="s">
        <v>5897</v>
      </c>
      <c r="O69" s="119" t="s">
        <v>5898</v>
      </c>
      <c r="P69" s="119" t="s">
        <v>5899</v>
      </c>
      <c r="Q69" s="119" t="s">
        <v>5900</v>
      </c>
      <c r="R69" s="119" t="s">
        <v>5901</v>
      </c>
      <c r="S69" s="283" t="s">
        <v>5902</v>
      </c>
      <c r="T69" s="285" t="s">
        <v>5903</v>
      </c>
      <c r="U69" s="285" t="s">
        <v>5904</v>
      </c>
      <c r="V69" s="285" t="s">
        <v>5905</v>
      </c>
      <c r="W69" s="285" t="s">
        <v>5906</v>
      </c>
      <c r="X69" s="285" t="s">
        <v>5907</v>
      </c>
      <c r="Y69" s="285" t="s">
        <v>5908</v>
      </c>
      <c r="Z69" s="287" t="s">
        <v>5909</v>
      </c>
      <c r="AA69" s="378" t="s">
        <v>5910</v>
      </c>
      <c r="AB69" s="378" t="s">
        <v>5911</v>
      </c>
      <c r="AC69" s="378" t="s">
        <v>5912</v>
      </c>
      <c r="AD69" s="378" t="s">
        <v>5913</v>
      </c>
      <c r="AE69" s="378" t="s">
        <v>5914</v>
      </c>
      <c r="AF69" s="378" t="s">
        <v>5915</v>
      </c>
      <c r="AG69" s="290" t="s">
        <v>5645</v>
      </c>
      <c r="AH69" s="379" t="s">
        <v>5916</v>
      </c>
      <c r="AI69" s="379" t="s">
        <v>5917</v>
      </c>
      <c r="AJ69" s="379" t="s">
        <v>5918</v>
      </c>
      <c r="AK69" s="379" t="s">
        <v>5919</v>
      </c>
      <c r="AL69" s="379" t="s">
        <v>5920</v>
      </c>
      <c r="AM69" s="379" t="s">
        <v>5921</v>
      </c>
      <c r="AN69" s="380" t="s">
        <v>296</v>
      </c>
      <c r="AO69" s="380" t="s">
        <v>5922</v>
      </c>
      <c r="AP69" s="380" t="s">
        <v>5923</v>
      </c>
      <c r="AQ69" s="380" t="s">
        <v>5924</v>
      </c>
      <c r="AR69" s="380" t="s">
        <v>5925</v>
      </c>
      <c r="AS69" s="380" t="s">
        <v>5926</v>
      </c>
      <c r="AT69" s="380" t="s">
        <v>5927</v>
      </c>
      <c r="AU69" s="380" t="s">
        <v>5928</v>
      </c>
      <c r="AV69" s="380" t="s">
        <v>5929</v>
      </c>
      <c r="AW69" s="380" t="s">
        <v>5930</v>
      </c>
      <c r="AX69" s="380" t="s">
        <v>5931</v>
      </c>
      <c r="AY69" s="380"/>
      <c r="AZ69" s="380"/>
      <c r="BA69" s="380"/>
      <c r="BB69" s="380"/>
      <c r="BC69" s="380"/>
      <c r="BD69" s="380"/>
      <c r="BE69" s="380"/>
      <c r="BF69" s="380"/>
      <c r="BG69" s="380"/>
      <c r="BH69" s="380"/>
      <c r="BI69" s="297" t="s">
        <v>5717</v>
      </c>
      <c r="BJ69" s="381" t="s">
        <v>1460</v>
      </c>
      <c r="BK69" s="381" t="s">
        <v>1490</v>
      </c>
      <c r="BL69" s="381" t="s">
        <v>1520</v>
      </c>
      <c r="BM69" s="381" t="s">
        <v>1551</v>
      </c>
      <c r="BN69" s="381" t="s">
        <v>1578</v>
      </c>
      <c r="BO69" s="381" t="s">
        <v>1605</v>
      </c>
      <c r="BP69" s="381"/>
      <c r="BQ69" s="381"/>
      <c r="BR69" s="381"/>
      <c r="BS69" s="381"/>
      <c r="BT69" s="381"/>
      <c r="BU69" s="381"/>
      <c r="BV69" s="382" t="s">
        <v>5932</v>
      </c>
      <c r="BW69" s="382" t="s">
        <v>5933</v>
      </c>
      <c r="BX69" s="382" t="s">
        <v>5934</v>
      </c>
      <c r="BY69" s="382" t="s">
        <v>5935</v>
      </c>
      <c r="BZ69" s="382" t="s">
        <v>5936</v>
      </c>
      <c r="CA69" s="382" t="s">
        <v>5937</v>
      </c>
      <c r="CB69" s="382" t="s">
        <v>5938</v>
      </c>
      <c r="CC69" s="382" t="s">
        <v>5939</v>
      </c>
      <c r="CD69" s="382" t="s">
        <v>5940</v>
      </c>
      <c r="CE69" s="382"/>
      <c r="CF69" s="420"/>
    </row>
    <row r="70" spans="6:84" ht="14.4" customHeight="1" x14ac:dyDescent="0.25">
      <c r="F70" s="393"/>
      <c r="H70" s="352"/>
      <c r="K70" s="246" t="s">
        <v>1632</v>
      </c>
      <c r="L70" s="180">
        <v>9</v>
      </c>
      <c r="M70" s="119" t="s">
        <v>5941</v>
      </c>
      <c r="N70" s="119" t="s">
        <v>5942</v>
      </c>
      <c r="O70" s="119" t="s">
        <v>5943</v>
      </c>
      <c r="P70" s="119" t="s">
        <v>5944</v>
      </c>
      <c r="Q70" s="119" t="s">
        <v>5945</v>
      </c>
      <c r="R70" s="119" t="s">
        <v>5946</v>
      </c>
      <c r="S70" s="283" t="s">
        <v>5947</v>
      </c>
      <c r="T70" s="285" t="s">
        <v>5948</v>
      </c>
      <c r="U70" s="285" t="s">
        <v>5949</v>
      </c>
      <c r="V70" s="285" t="s">
        <v>5950</v>
      </c>
      <c r="W70" s="285" t="s">
        <v>5951</v>
      </c>
      <c r="X70" s="285" t="s">
        <v>5952</v>
      </c>
      <c r="Y70" s="285" t="s">
        <v>5953</v>
      </c>
      <c r="Z70" s="287" t="s">
        <v>5954</v>
      </c>
      <c r="AA70" s="378" t="s">
        <v>5955</v>
      </c>
      <c r="AB70" s="378" t="s">
        <v>5956</v>
      </c>
      <c r="AC70" s="378" t="s">
        <v>5957</v>
      </c>
      <c r="AD70" s="378" t="s">
        <v>5958</v>
      </c>
      <c r="AE70" s="378" t="s">
        <v>5959</v>
      </c>
      <c r="AF70" s="378" t="s">
        <v>5960</v>
      </c>
      <c r="AG70" s="290" t="s">
        <v>5961</v>
      </c>
      <c r="AH70" s="379" t="s">
        <v>5962</v>
      </c>
      <c r="AI70" s="379" t="s">
        <v>5963</v>
      </c>
      <c r="AJ70" s="379" t="s">
        <v>5964</v>
      </c>
      <c r="AK70" s="379" t="s">
        <v>5965</v>
      </c>
      <c r="AL70" s="379" t="s">
        <v>5966</v>
      </c>
      <c r="AM70" s="379" t="s">
        <v>5967</v>
      </c>
      <c r="AN70" s="380" t="s">
        <v>5968</v>
      </c>
      <c r="AO70" s="380" t="s">
        <v>5969</v>
      </c>
      <c r="AP70" s="380" t="s">
        <v>5970</v>
      </c>
      <c r="AQ70" s="380" t="s">
        <v>5971</v>
      </c>
      <c r="AR70" s="380" t="s">
        <v>5972</v>
      </c>
      <c r="AS70" s="380" t="s">
        <v>5973</v>
      </c>
      <c r="AT70" s="380" t="s">
        <v>5974</v>
      </c>
      <c r="AU70" s="380" t="s">
        <v>5975</v>
      </c>
      <c r="AV70" s="380" t="s">
        <v>5976</v>
      </c>
      <c r="AW70" s="380" t="s">
        <v>5977</v>
      </c>
      <c r="AX70" s="380" t="s">
        <v>5978</v>
      </c>
      <c r="AY70" s="380"/>
      <c r="AZ70" s="380"/>
      <c r="BA70" s="380"/>
      <c r="BB70" s="380"/>
      <c r="BC70" s="380"/>
      <c r="BD70" s="380"/>
      <c r="BE70" s="380"/>
      <c r="BF70" s="380"/>
      <c r="BG70" s="380"/>
      <c r="BH70" s="380"/>
      <c r="BI70" s="381" t="s">
        <v>5979</v>
      </c>
      <c r="BJ70" s="381" t="s">
        <v>5980</v>
      </c>
      <c r="BK70" s="381" t="s">
        <v>5981</v>
      </c>
      <c r="BL70" s="381" t="s">
        <v>5982</v>
      </c>
      <c r="BM70" s="381" t="s">
        <v>5983</v>
      </c>
      <c r="BN70" s="381" t="s">
        <v>5984</v>
      </c>
      <c r="BO70" s="381" t="s">
        <v>5985</v>
      </c>
      <c r="BP70" s="381" t="s">
        <v>5986</v>
      </c>
      <c r="BQ70" s="381" t="s">
        <v>5987</v>
      </c>
      <c r="BR70" s="381"/>
      <c r="BS70" s="381"/>
      <c r="BT70" s="381"/>
      <c r="BU70" s="381"/>
      <c r="BV70" s="382"/>
      <c r="BW70" s="382"/>
      <c r="BX70" s="382"/>
      <c r="BY70" s="382"/>
      <c r="BZ70" s="382"/>
      <c r="CA70" s="382"/>
      <c r="CB70" s="382"/>
      <c r="CC70" s="382"/>
      <c r="CD70" s="382"/>
      <c r="CE70" s="382"/>
      <c r="CF70" s="420"/>
    </row>
    <row r="71" spans="6:84" ht="14.4" customHeight="1" x14ac:dyDescent="0.25">
      <c r="F71" s="1052" t="s">
        <v>9</v>
      </c>
      <c r="G71" s="180" t="str">
        <f>IFERROR(INDEX($AM$2:$AR$60,$H$1,1),"")</f>
        <v/>
      </c>
      <c r="H71" s="352" t="e">
        <f t="array" ref="H71">INDEX(G:G,SMALL(IF($G$71:$G$88&lt;&gt;"",ROW($71:$88),89),ROW(H1)))&amp;""</f>
        <v>#N/A</v>
      </c>
      <c r="K71" s="246" t="s">
        <v>1642</v>
      </c>
      <c r="L71" s="180">
        <v>10</v>
      </c>
      <c r="M71" s="119" t="s">
        <v>5988</v>
      </c>
      <c r="N71" s="119" t="s">
        <v>5989</v>
      </c>
      <c r="O71" s="119" t="s">
        <v>5990</v>
      </c>
      <c r="P71" s="119" t="s">
        <v>5991</v>
      </c>
      <c r="Q71" s="119" t="s">
        <v>5992</v>
      </c>
      <c r="R71" s="119" t="s">
        <v>5993</v>
      </c>
      <c r="S71" s="283" t="s">
        <v>5994</v>
      </c>
      <c r="T71" s="285" t="s">
        <v>5995</v>
      </c>
      <c r="U71" s="285" t="s">
        <v>5996</v>
      </c>
      <c r="V71" s="285" t="s">
        <v>5997</v>
      </c>
      <c r="W71" s="285" t="s">
        <v>5998</v>
      </c>
      <c r="X71" s="285" t="s">
        <v>5999</v>
      </c>
      <c r="Y71" s="285" t="s">
        <v>6000</v>
      </c>
      <c r="Z71" s="287" t="s">
        <v>6001</v>
      </c>
      <c r="AA71" s="378" t="s">
        <v>6002</v>
      </c>
      <c r="AB71" s="378" t="s">
        <v>1493</v>
      </c>
      <c r="AC71" s="378" t="s">
        <v>1523</v>
      </c>
      <c r="AD71" s="378" t="s">
        <v>1554</v>
      </c>
      <c r="AE71" s="378" t="s">
        <v>1580</v>
      </c>
      <c r="AF71" s="378" t="s">
        <v>1606</v>
      </c>
      <c r="AG71" s="290" t="s">
        <v>5576</v>
      </c>
      <c r="AH71" s="379" t="s">
        <v>6003</v>
      </c>
      <c r="AI71" s="379" t="s">
        <v>6004</v>
      </c>
      <c r="AJ71" s="379" t="s">
        <v>6005</v>
      </c>
      <c r="AK71" s="379" t="s">
        <v>6006</v>
      </c>
      <c r="AL71" s="379" t="s">
        <v>6007</v>
      </c>
      <c r="AM71" s="379" t="s">
        <v>6008</v>
      </c>
      <c r="AN71" s="293" t="s">
        <v>6009</v>
      </c>
      <c r="AO71" s="380" t="s">
        <v>6010</v>
      </c>
      <c r="AP71" s="380" t="s">
        <v>6011</v>
      </c>
      <c r="AQ71" s="380" t="s">
        <v>6012</v>
      </c>
      <c r="AR71" s="380" t="s">
        <v>6013</v>
      </c>
      <c r="AS71" s="380" t="s">
        <v>6014</v>
      </c>
      <c r="AT71" s="380" t="s">
        <v>6015</v>
      </c>
      <c r="AU71" s="380"/>
      <c r="AV71" s="380"/>
      <c r="AW71" s="380"/>
      <c r="AX71" s="380"/>
      <c r="AY71" s="380"/>
      <c r="AZ71" s="380"/>
      <c r="BA71" s="380"/>
      <c r="BB71" s="380"/>
      <c r="BC71" s="380"/>
      <c r="BD71" s="380"/>
      <c r="BE71" s="380"/>
      <c r="BF71" s="380"/>
      <c r="BG71" s="380"/>
      <c r="BH71" s="380"/>
      <c r="BI71" s="297" t="s">
        <v>6016</v>
      </c>
      <c r="BJ71" s="381" t="s">
        <v>6017</v>
      </c>
      <c r="BK71" s="381" t="s">
        <v>6018</v>
      </c>
      <c r="BL71" s="381" t="s">
        <v>6019</v>
      </c>
      <c r="BM71" s="381" t="s">
        <v>6020</v>
      </c>
      <c r="BN71" s="381" t="s">
        <v>6021</v>
      </c>
      <c r="BO71" s="381" t="s">
        <v>6022</v>
      </c>
      <c r="BP71" s="381" t="s">
        <v>6023</v>
      </c>
      <c r="BQ71" s="381" t="s">
        <v>6024</v>
      </c>
      <c r="BR71" s="381" t="s">
        <v>6025</v>
      </c>
      <c r="BS71" s="381" t="s">
        <v>6026</v>
      </c>
      <c r="BT71" s="381"/>
      <c r="BU71" s="381"/>
      <c r="BV71" s="382" t="s">
        <v>6027</v>
      </c>
      <c r="BW71" s="382" t="s">
        <v>6028</v>
      </c>
      <c r="BX71" s="382" t="s">
        <v>6029</v>
      </c>
      <c r="BY71" s="382" t="s">
        <v>6030</v>
      </c>
      <c r="BZ71" s="382" t="s">
        <v>6031</v>
      </c>
      <c r="CA71" s="382" t="s">
        <v>6032</v>
      </c>
      <c r="CB71" s="382" t="s">
        <v>6033</v>
      </c>
      <c r="CC71" s="382" t="s">
        <v>6034</v>
      </c>
      <c r="CD71" s="382" t="s">
        <v>6035</v>
      </c>
      <c r="CE71" s="382" t="s">
        <v>6036</v>
      </c>
      <c r="CF71" s="420" t="s">
        <v>6037</v>
      </c>
    </row>
    <row r="72" spans="6:84" ht="14.4" customHeight="1" x14ac:dyDescent="0.25">
      <c r="F72" s="1052"/>
      <c r="G72" s="180" t="str">
        <f>IFERROR(INDEX($AM$2:$AR$60,$H$1,2),"")</f>
        <v/>
      </c>
      <c r="H72" s="352" t="e">
        <f t="array" ref="H72">INDEX(G:G,SMALL(IF($G$71:$G$88&lt;&gt;"",ROW($71:$88),89),ROW(H2)))&amp;""</f>
        <v>#N/A</v>
      </c>
      <c r="K72" s="246" t="s">
        <v>1650</v>
      </c>
      <c r="L72" s="180">
        <v>11</v>
      </c>
      <c r="M72" s="119" t="s">
        <v>6038</v>
      </c>
      <c r="N72" s="119" t="s">
        <v>6039</v>
      </c>
      <c r="O72" s="119" t="s">
        <v>6040</v>
      </c>
      <c r="P72" s="119" t="s">
        <v>6041</v>
      </c>
      <c r="Q72" s="119" t="s">
        <v>6042</v>
      </c>
      <c r="R72" s="119" t="s">
        <v>6043</v>
      </c>
      <c r="S72" s="283" t="s">
        <v>6044</v>
      </c>
      <c r="T72" s="285" t="s">
        <v>6045</v>
      </c>
      <c r="U72" s="285" t="s">
        <v>6046</v>
      </c>
      <c r="V72" s="285" t="s">
        <v>6047</v>
      </c>
      <c r="W72" s="285" t="s">
        <v>6048</v>
      </c>
      <c r="X72" s="285" t="s">
        <v>6049</v>
      </c>
      <c r="Y72" s="285" t="s">
        <v>6050</v>
      </c>
      <c r="Z72" s="287" t="s">
        <v>6051</v>
      </c>
      <c r="AA72" s="378" t="s">
        <v>6052</v>
      </c>
      <c r="AB72" s="378" t="s">
        <v>6053</v>
      </c>
      <c r="AC72" s="378" t="s">
        <v>6054</v>
      </c>
      <c r="AD72" s="378" t="s">
        <v>6055</v>
      </c>
      <c r="AE72" s="378" t="s">
        <v>6056</v>
      </c>
      <c r="AF72" s="378" t="s">
        <v>6057</v>
      </c>
      <c r="AG72" s="290" t="s">
        <v>6058</v>
      </c>
      <c r="AH72" s="379" t="s">
        <v>6059</v>
      </c>
      <c r="AI72" s="379" t="s">
        <v>6060</v>
      </c>
      <c r="AJ72" s="379" t="s">
        <v>6061</v>
      </c>
      <c r="AK72" s="379" t="s">
        <v>6062</v>
      </c>
      <c r="AL72" s="379" t="s">
        <v>6063</v>
      </c>
      <c r="AM72" s="379" t="s">
        <v>6064</v>
      </c>
      <c r="AN72" s="380" t="s">
        <v>6065</v>
      </c>
      <c r="AO72" s="380" t="s">
        <v>6066</v>
      </c>
      <c r="AP72" s="380" t="s">
        <v>6067</v>
      </c>
      <c r="AQ72" s="380" t="s">
        <v>6068</v>
      </c>
      <c r="AR72" s="380" t="s">
        <v>6069</v>
      </c>
      <c r="AS72" s="380" t="s">
        <v>6070</v>
      </c>
      <c r="AT72" s="380" t="s">
        <v>6071</v>
      </c>
      <c r="AU72" s="380" t="s">
        <v>6072</v>
      </c>
      <c r="AV72" s="380" t="s">
        <v>6073</v>
      </c>
      <c r="AW72" s="380" t="s">
        <v>6074</v>
      </c>
      <c r="AX72" s="380" t="s">
        <v>6075</v>
      </c>
      <c r="AY72" s="380"/>
      <c r="AZ72" s="380"/>
      <c r="BA72" s="380"/>
      <c r="BB72" s="380"/>
      <c r="BC72" s="380"/>
      <c r="BD72" s="380"/>
      <c r="BE72" s="380"/>
      <c r="BF72" s="380"/>
      <c r="BG72" s="380"/>
      <c r="BH72" s="380"/>
      <c r="BI72" s="381" t="s">
        <v>6076</v>
      </c>
      <c r="BJ72" s="381" t="s">
        <v>6077</v>
      </c>
      <c r="BK72" s="381" t="s">
        <v>6078</v>
      </c>
      <c r="BL72" s="381" t="s">
        <v>6079</v>
      </c>
      <c r="BM72" s="381" t="s">
        <v>6080</v>
      </c>
      <c r="BN72" s="381" t="s">
        <v>6081</v>
      </c>
      <c r="BO72" s="381" t="s">
        <v>6082</v>
      </c>
      <c r="BP72" s="381"/>
      <c r="BQ72" s="381"/>
      <c r="BR72" s="381"/>
      <c r="BS72" s="381"/>
      <c r="BT72" s="381"/>
      <c r="BU72" s="381"/>
      <c r="BV72" s="382"/>
      <c r="BW72" s="382"/>
      <c r="BX72" s="382"/>
      <c r="BY72" s="382"/>
      <c r="BZ72" s="382"/>
      <c r="CA72" s="382"/>
      <c r="CB72" s="382"/>
      <c r="CC72" s="382"/>
      <c r="CD72" s="382"/>
      <c r="CE72" s="382"/>
      <c r="CF72" s="420"/>
    </row>
    <row r="73" spans="6:84" ht="14.4" customHeight="1" x14ac:dyDescent="0.25">
      <c r="F73" s="1052"/>
      <c r="G73" s="180" t="str">
        <f>IFERROR(INDEX($AM$2:$AR$60,$H$1,3),"")</f>
        <v/>
      </c>
      <c r="H73" s="352" t="e">
        <f t="array" ref="H73">INDEX(G:G,SMALL(IF($G$71:$G$88&lt;&gt;"",ROW($71:$88),89),ROW(H3)))&amp;""</f>
        <v>#N/A</v>
      </c>
      <c r="K73" s="246" t="s">
        <v>1655</v>
      </c>
      <c r="L73" s="180">
        <v>12</v>
      </c>
      <c r="M73" s="119" t="s">
        <v>6083</v>
      </c>
      <c r="N73" s="119" t="s">
        <v>6084</v>
      </c>
      <c r="O73" s="119" t="s">
        <v>6085</v>
      </c>
      <c r="P73" s="119" t="s">
        <v>6086</v>
      </c>
      <c r="Q73" s="119" t="s">
        <v>6087</v>
      </c>
      <c r="R73" s="119" t="s">
        <v>6088</v>
      </c>
      <c r="S73" s="283" t="s">
        <v>272</v>
      </c>
      <c r="T73" s="285" t="s">
        <v>6089</v>
      </c>
      <c r="U73" s="285" t="s">
        <v>6090</v>
      </c>
      <c r="V73" s="285" t="s">
        <v>6091</v>
      </c>
      <c r="W73" s="285" t="s">
        <v>6092</v>
      </c>
      <c r="X73" s="285" t="s">
        <v>6093</v>
      </c>
      <c r="Y73" s="285" t="s">
        <v>6094</v>
      </c>
      <c r="Z73" s="287" t="s">
        <v>6095</v>
      </c>
      <c r="AA73" s="378" t="s">
        <v>6096</v>
      </c>
      <c r="AB73" s="378" t="s">
        <v>6097</v>
      </c>
      <c r="AC73" s="378" t="s">
        <v>6098</v>
      </c>
      <c r="AD73" s="378" t="s">
        <v>6099</v>
      </c>
      <c r="AE73" s="378" t="s">
        <v>6100</v>
      </c>
      <c r="AF73" s="378" t="s">
        <v>6101</v>
      </c>
      <c r="AG73" s="290" t="s">
        <v>6065</v>
      </c>
      <c r="AH73" s="379" t="s">
        <v>6102</v>
      </c>
      <c r="AI73" s="379" t="s">
        <v>6103</v>
      </c>
      <c r="AJ73" s="379" t="s">
        <v>6104</v>
      </c>
      <c r="AK73" s="379" t="s">
        <v>6105</v>
      </c>
      <c r="AL73" s="379" t="s">
        <v>6106</v>
      </c>
      <c r="AM73" s="379" t="s">
        <v>6107</v>
      </c>
      <c r="AN73" s="380" t="s">
        <v>6108</v>
      </c>
      <c r="AO73" s="380" t="s">
        <v>6109</v>
      </c>
      <c r="AP73" s="380" t="s">
        <v>6110</v>
      </c>
      <c r="AQ73" s="380" t="s">
        <v>6111</v>
      </c>
      <c r="AR73" s="380" t="s">
        <v>6112</v>
      </c>
      <c r="AS73" s="380" t="s">
        <v>6113</v>
      </c>
      <c r="AT73" s="380" t="s">
        <v>6114</v>
      </c>
      <c r="AU73" s="380"/>
      <c r="AV73" s="380"/>
      <c r="AW73" s="380"/>
      <c r="AX73" s="380"/>
      <c r="AY73" s="380"/>
      <c r="AZ73" s="380"/>
      <c r="BA73" s="380"/>
      <c r="BB73" s="380"/>
      <c r="BC73" s="380"/>
      <c r="BD73" s="380"/>
      <c r="BE73" s="380"/>
      <c r="BF73" s="380"/>
      <c r="BG73" s="380"/>
      <c r="BH73" s="380"/>
      <c r="BI73" s="381" t="s">
        <v>5731</v>
      </c>
      <c r="BJ73" s="381" t="s">
        <v>6115</v>
      </c>
      <c r="BK73" s="381" t="s">
        <v>6116</v>
      </c>
      <c r="BL73" s="381" t="s">
        <v>6117</v>
      </c>
      <c r="BM73" s="381" t="s">
        <v>6118</v>
      </c>
      <c r="BN73" s="381" t="s">
        <v>6119</v>
      </c>
      <c r="BO73" s="381" t="s">
        <v>6120</v>
      </c>
      <c r="BP73" s="381" t="s">
        <v>6121</v>
      </c>
      <c r="BQ73" s="381" t="s">
        <v>6122</v>
      </c>
      <c r="BR73" s="381"/>
      <c r="BS73" s="381"/>
      <c r="BT73" s="381"/>
      <c r="BU73" s="381"/>
      <c r="BV73" s="382"/>
      <c r="BW73" s="382"/>
      <c r="BX73" s="382"/>
      <c r="BY73" s="382"/>
      <c r="BZ73" s="382"/>
      <c r="CA73" s="382"/>
      <c r="CB73" s="382"/>
      <c r="CC73" s="382"/>
      <c r="CD73" s="382"/>
      <c r="CE73" s="382"/>
      <c r="CF73" s="420"/>
    </row>
    <row r="74" spans="6:84" ht="14.4" customHeight="1" x14ac:dyDescent="0.25">
      <c r="F74" s="1052"/>
      <c r="G74" s="180" t="str">
        <f>IFERROR(INDEX($AM$2:$AR$60,$H$1,4),"")</f>
        <v/>
      </c>
      <c r="H74" s="352" t="e">
        <f t="array" ref="H74">INDEX(G:G,SMALL(IF($G$71:$G$88&lt;&gt;"",ROW($71:$88),89),ROW(H4)))&amp;""</f>
        <v>#N/A</v>
      </c>
      <c r="K74" s="265" t="s">
        <v>1668</v>
      </c>
      <c r="L74" s="235">
        <v>13</v>
      </c>
      <c r="M74" s="235"/>
      <c r="N74" s="235"/>
      <c r="O74" s="235"/>
      <c r="P74" s="235"/>
      <c r="Q74" s="235"/>
      <c r="R74" s="235"/>
      <c r="S74" s="417"/>
      <c r="T74" s="417"/>
      <c r="U74" s="417"/>
      <c r="V74" s="417"/>
      <c r="W74" s="417"/>
      <c r="X74" s="417"/>
      <c r="Y74" s="417"/>
      <c r="Z74" s="411"/>
      <c r="AA74" s="411"/>
      <c r="AB74" s="411"/>
      <c r="AC74" s="411"/>
      <c r="AD74" s="411"/>
      <c r="AE74" s="411"/>
      <c r="AF74" s="411"/>
      <c r="AG74" s="413"/>
      <c r="AH74" s="413"/>
      <c r="AI74" s="413"/>
      <c r="AJ74" s="413"/>
      <c r="AK74" s="413"/>
      <c r="AL74" s="413"/>
      <c r="AM74" s="413"/>
      <c r="AN74" s="414"/>
      <c r="AO74" s="414"/>
      <c r="AP74" s="414"/>
      <c r="AQ74" s="414"/>
      <c r="AR74" s="414"/>
      <c r="AS74" s="414"/>
      <c r="AT74" s="414"/>
      <c r="AU74" s="414"/>
      <c r="AV74" s="414"/>
      <c r="AW74" s="414"/>
      <c r="AX74" s="414"/>
      <c r="AY74" s="414"/>
      <c r="AZ74" s="414"/>
      <c r="BA74" s="414"/>
      <c r="BB74" s="414"/>
      <c r="BC74" s="414"/>
      <c r="BD74" s="414"/>
      <c r="BE74" s="414"/>
      <c r="BF74" s="414"/>
      <c r="BG74" s="414"/>
      <c r="BH74" s="414"/>
      <c r="BI74" s="415"/>
      <c r="BJ74" s="415"/>
      <c r="BK74" s="415"/>
      <c r="BL74" s="415"/>
      <c r="BM74" s="415"/>
      <c r="BN74" s="415"/>
      <c r="BO74" s="415"/>
      <c r="BP74" s="415"/>
      <c r="BQ74" s="415"/>
      <c r="BR74" s="415"/>
      <c r="BS74" s="415"/>
      <c r="BT74" s="415"/>
      <c r="BU74" s="415"/>
      <c r="BV74" s="416"/>
      <c r="BW74" s="416"/>
      <c r="BX74" s="416"/>
      <c r="BY74" s="416"/>
      <c r="BZ74" s="416"/>
      <c r="CA74" s="416"/>
      <c r="CB74" s="416"/>
      <c r="CC74" s="416"/>
      <c r="CD74" s="416"/>
      <c r="CE74" s="416"/>
      <c r="CF74" s="421"/>
    </row>
    <row r="75" spans="6:84" ht="14.4" customHeight="1" x14ac:dyDescent="0.25">
      <c r="F75" s="1052"/>
      <c r="G75" s="180" t="str">
        <f>IFERROR(INDEX($AM$2:$AR$60,$H$1,5),"")</f>
        <v/>
      </c>
      <c r="H75" s="352" t="e">
        <f t="array" ref="H75">INDEX(G:G,SMALL(IF($G$71:$G$88&lt;&gt;"",ROW($71:$88),89),ROW(H5)))&amp;""</f>
        <v>#N/A</v>
      </c>
    </row>
    <row r="76" spans="6:84" ht="14.4" customHeight="1" x14ac:dyDescent="0.25">
      <c r="F76" s="1052"/>
      <c r="G76" s="180" t="str">
        <f>IFERROR(INDEX($AM$2:$AR$60,$H$1,6),"")</f>
        <v/>
      </c>
      <c r="H76" s="352" t="e">
        <f t="array" ref="H76">INDEX(G:G,SMALL(IF($G$71:$G$88&lt;&gt;"",ROW($71:$88),89),ROW(H6)))&amp;""</f>
        <v>#N/A</v>
      </c>
    </row>
    <row r="77" spans="6:84" ht="14.4" customHeight="1" x14ac:dyDescent="0.25">
      <c r="F77" s="1052"/>
      <c r="G77" s="402" t="e">
        <f>IF(AND(综合数据!B15=TRUE,H1&gt;0),"我觉得自己是扫把星，接近我的人都没有好下场。","")</f>
        <v>#N/A</v>
      </c>
      <c r="H77" s="352" t="e">
        <f t="array" ref="H77">INDEX(G:G,SMALL(IF($G$71:$G$88&lt;&gt;"",ROW($71:$88),89),ROW(H7)))&amp;""</f>
        <v>#N/A</v>
      </c>
    </row>
    <row r="78" spans="6:84" ht="14.4" customHeight="1" x14ac:dyDescent="0.25">
      <c r="F78" s="1052"/>
      <c r="G78" s="402" t="e">
        <f>IF(AND(综合数据!B15=TRUE,H1&gt;0),"我总觉得有什么东西尾随着我，它会出现在镜中、梦中、以及其他常人不可能在的地方。","")</f>
        <v>#N/A</v>
      </c>
      <c r="H78" s="352" t="e">
        <f t="array" ref="H78">INDEX(G:G,SMALL(IF($G$71:$G$88&lt;&gt;"",ROW($71:$88),89),ROW(H8)))&amp;""</f>
        <v>#N/A</v>
      </c>
    </row>
    <row r="79" spans="6:84" ht="14.4" customHeight="1" x14ac:dyDescent="0.25">
      <c r="F79" s="1052"/>
      <c r="G79" s="402" t="e">
        <f>IF(AND(综合数据!B15=TRUE,H1&gt;0),"我特别迷信，所以一辈子都在努力规避厄运、恶灵或是迷雾。","")</f>
        <v>#N/A</v>
      </c>
      <c r="H79" s="352" t="e">
        <f t="array" ref="H79">INDEX(G:G,SMALL(IF($G$71:$G$88&lt;&gt;"",ROW($71:$88),89),ROW(H9)))&amp;""</f>
        <v>#N/A</v>
      </c>
    </row>
    <row r="80" spans="6:84" ht="14.4" customHeight="1" x14ac:dyDescent="0.25">
      <c r="F80" s="1052"/>
      <c r="G80" s="402" t="e">
        <f>IF(AND(综合数据!B15=TRUE,H1&gt;0),"我会不择手段的阻止他人发现我过去犯下的不可告人的恶行。","")</f>
        <v>#N/A</v>
      </c>
      <c r="H80" s="352" t="e">
        <f t="array" ref="H80">INDEX(G:G,SMALL(IF($G$71:$G$88&lt;&gt;"",ROW($71:$88),89),ROW(H10)))&amp;""</f>
        <v>#N/A</v>
      </c>
    </row>
    <row r="81" spans="6:8" ht="14.4" customHeight="1" x14ac:dyDescent="0.25">
      <c r="F81" s="1052"/>
      <c r="G81" s="402" t="e">
        <f>IF(AND(综合数据!B15=TRUE,H1&gt;0),"我非常好骗，一听说什么故事或是传说马上就信。","")</f>
        <v>#N/A</v>
      </c>
      <c r="H81" s="352" t="e">
        <f t="array" ref="H81">INDEX(G:G,SMALL(IF($G$71:$G$88&lt;&gt;"",ROW($71:$88),89),ROW(H11)))&amp;""</f>
        <v>#N/A</v>
      </c>
    </row>
    <row r="82" spans="6:8" ht="14.4" customHeight="1" x14ac:dyDescent="0.25">
      <c r="F82" s="1052"/>
      <c r="G82" s="402" t="e">
        <f>IF(AND(综合数据!B15=TRUE,H1&gt;0),"我是一名怀疑论者，所以我不相信任何怪力乱神。","")</f>
        <v>#N/A</v>
      </c>
      <c r="H82" s="352" t="e">
        <f t="array" ref="H82">INDEX(G:G,SMALL(IF($G$71:$G$88&lt;&gt;"",ROW($71:$88),89),ROW(H12)))&amp;""</f>
        <v>#N/A</v>
      </c>
    </row>
    <row r="83" spans="6:8" ht="14.4" customHeight="1" x14ac:dyDescent="0.25">
      <c r="F83" s="1052"/>
      <c r="G83" s="402" t="e">
        <f>IF(AND(综合数据!B15=TRUE,H1&gt;0),"我知道未来已是注定的，无论做什么都只是实现命定的结局罢了。","")</f>
        <v>#N/A</v>
      </c>
      <c r="H83" s="352" t="e">
        <f t="array" ref="H83">INDEX(G:G,SMALL(IF($G$71:$G$88&lt;&gt;"",ROW($71:$88),89),ROW(H13)))&amp;""</f>
        <v>#N/A</v>
      </c>
    </row>
    <row r="84" spans="6:8" ht="14.4" customHeight="1" x14ac:dyDescent="0.25">
      <c r="F84" s="1052"/>
      <c r="G84" s="402" t="e">
        <f>IF(AND(综合数据!B15=TRUE,H1&gt;0),"我愿意从任何人或任何事中发掘闪光点，为此甚至会对明显的恶意视而不见。","")</f>
        <v>#N/A</v>
      </c>
      <c r="H84" s="352" t="e">
        <f t="array" ref="H84">INDEX(G:G,SMALL(IF($G$71:$G$88&lt;&gt;"",ROW($71:$88),89),ROW(H14)))&amp;""</f>
        <v>#N/A</v>
      </c>
    </row>
    <row r="85" spans="6:8" ht="14.4" customHeight="1" x14ac:dyDescent="0.25">
      <c r="F85" s="1052"/>
      <c r="G85" s="402" t="e">
        <f>IF(AND(综合数据!B15=TRUE,H1&gt;0),"我在某类地点——譬如森林、城市、或是墓地见到过邪恶，因此拒绝去那些地方。","")</f>
        <v>#N/A</v>
      </c>
      <c r="H85" s="352" t="e">
        <f t="array" ref="H85">INDEX(G:G,SMALL(IF($G$71:$G$88&lt;&gt;"",ROW($71:$88),89),ROW(H15)))&amp;""</f>
        <v>#N/A</v>
      </c>
    </row>
    <row r="86" spans="6:8" ht="14.4" customHeight="1" x14ac:dyDescent="0.25">
      <c r="F86" s="1052"/>
      <c r="G86" s="402" t="e">
        <f>IF(AND(综合数据!B15=TRUE,H1&gt;0),"我格外地谨慎，会脑补无数突发情况并挨个去设计应对计划。","")</f>
        <v>#N/A</v>
      </c>
      <c r="H86" s="352" t="e">
        <f t="array" ref="H86">INDEX(G:G,SMALL(IF($G$71:$G$88&lt;&gt;"",ROW($71:$88),89),ROW(H16)))&amp;""</f>
        <v>#N/A</v>
      </c>
    </row>
    <row r="87" spans="6:8" ht="14.4" customHeight="1" x14ac:dyDescent="0.25">
      <c r="F87" s="1052"/>
      <c r="G87" s="402" t="e">
        <f>IF(AND(综合数据!B15=TRUE,H1&gt;0),"我因击败邪恶而闻名，但那其实是我编的，而且邪恶势力也知道。","")</f>
        <v>#N/A</v>
      </c>
      <c r="H87" s="352" t="e">
        <f t="array" ref="H87">INDEX(G:G,SMALL(IF($G$71:$G$88&lt;&gt;"",ROW($71:$88),89),ROW(H17)))&amp;""</f>
        <v>#N/A</v>
      </c>
    </row>
    <row r="88" spans="6:8" ht="14.4" customHeight="1" x14ac:dyDescent="0.25">
      <c r="F88" s="1052"/>
      <c r="G88" s="402" t="e">
        <f>IF(AND(综合数据!B15=TRUE,H1&gt;0),"我相信为了成功可以不择手段，因此会为了实现自己的目前轻易地做出牺牲。","")</f>
        <v>#N/A</v>
      </c>
      <c r="H88" s="352" t="e">
        <f t="array" ref="H88">INDEX(G:G,SMALL(IF($G$71:$G$88&lt;&gt;"",ROW($71:$88),89),ROW(H18)))&amp;""</f>
        <v>#N/A</v>
      </c>
    </row>
    <row r="89" spans="6:8" ht="14.4" customHeight="1" x14ac:dyDescent="0.25">
      <c r="F89" s="393"/>
      <c r="H89" s="352"/>
    </row>
    <row r="90" spans="6:8" ht="14.4" customHeight="1" x14ac:dyDescent="0.25">
      <c r="F90" s="1052" t="s">
        <v>4113</v>
      </c>
      <c r="G90" s="180" t="str">
        <f>IFERROR(INDEX($AS$2:$AX$60,$H$1,1),"")</f>
        <v/>
      </c>
      <c r="H90" s="198"/>
    </row>
    <row r="91" spans="6:8" ht="14.4" customHeight="1" x14ac:dyDescent="0.25">
      <c r="F91" s="1055"/>
      <c r="G91" s="180" t="str">
        <f>IFERROR(INDEX($AS$2:$AX$60,$H$1,2),"")</f>
        <v/>
      </c>
      <c r="H91" s="198"/>
    </row>
    <row r="92" spans="6:8" ht="14.4" customHeight="1" x14ac:dyDescent="0.25">
      <c r="F92" s="1055"/>
      <c r="G92" s="180" t="str">
        <f>IFERROR(INDEX($AS$2:$AX$60,$H$1,3),"")</f>
        <v/>
      </c>
      <c r="H92" s="352"/>
    </row>
    <row r="93" spans="6:8" ht="14.4" customHeight="1" x14ac:dyDescent="0.25">
      <c r="F93" s="1055"/>
      <c r="G93" s="180" t="str">
        <f>IFERROR(INDEX($AS$2:$AX$60,$H$1,4),"")</f>
        <v/>
      </c>
      <c r="H93" s="352"/>
    </row>
    <row r="94" spans="6:8" ht="14.4" customHeight="1" x14ac:dyDescent="0.25">
      <c r="F94" s="1055"/>
      <c r="G94" s="180" t="str">
        <f>IFERROR(INDEX($AS$2:$AX$60,$H$1,5),"")</f>
        <v/>
      </c>
      <c r="H94" s="352"/>
    </row>
    <row r="95" spans="6:8" ht="14.4" customHeight="1" x14ac:dyDescent="0.25">
      <c r="F95" s="1055"/>
      <c r="G95" s="180" t="str">
        <f>IFERROR(INDEX($AS$2:$AX$60,$H$1,6),"")</f>
        <v/>
      </c>
      <c r="H95" s="352"/>
    </row>
    <row r="96" spans="6:8" ht="14.4" customHeight="1" x14ac:dyDescent="0.25">
      <c r="F96" s="1055">
        <f>IFERROR(INDEX(AY2:AY60,H1,1),0)</f>
        <v>0</v>
      </c>
      <c r="G96" s="180" t="str">
        <f>IFERROR(INDEX($AZ$2:$BS$60,$H$1,1),"")</f>
        <v/>
      </c>
      <c r="H96" s="352"/>
    </row>
    <row r="97" spans="6:8" ht="14.4" customHeight="1" x14ac:dyDescent="0.25">
      <c r="F97" s="1055"/>
      <c r="G97" s="180" t="str">
        <f>IFERROR(INDEX($AZ$2:$BS$60,$H$1,2),"")</f>
        <v/>
      </c>
      <c r="H97" s="352"/>
    </row>
    <row r="98" spans="6:8" ht="14.4" customHeight="1" x14ac:dyDescent="0.25">
      <c r="F98" s="1055"/>
      <c r="G98" s="180" t="str">
        <f>IFERROR(INDEX($AZ$2:$BS$60,$H$1,3),"")</f>
        <v/>
      </c>
      <c r="H98" s="352"/>
    </row>
    <row r="99" spans="6:8" ht="14.4" customHeight="1" x14ac:dyDescent="0.25">
      <c r="F99" s="1055"/>
      <c r="G99" s="180" t="str">
        <f>IFERROR(INDEX($AZ$2:$BS$60,$H$1,4),"")</f>
        <v/>
      </c>
      <c r="H99" s="352"/>
    </row>
    <row r="100" spans="6:8" ht="14.4" customHeight="1" x14ac:dyDescent="0.25">
      <c r="F100" s="1055"/>
      <c r="G100" s="180" t="str">
        <f>IFERROR(INDEX($AZ$2:$BS$60,$H$1,5),"")</f>
        <v/>
      </c>
      <c r="H100" s="352"/>
    </row>
    <row r="101" spans="6:8" ht="14.4" customHeight="1" x14ac:dyDescent="0.25">
      <c r="F101" s="1055"/>
      <c r="G101" s="180" t="str">
        <f>IFERROR(INDEX($AZ$2:$BS$60,$H$1,6),"")</f>
        <v/>
      </c>
      <c r="H101" s="352"/>
    </row>
    <row r="102" spans="6:8" ht="14.4" customHeight="1" x14ac:dyDescent="0.25">
      <c r="F102" s="1055"/>
      <c r="G102" s="180" t="str">
        <f>IFERROR(INDEX($AZ$2:$BS$60,$H$1,7),"")</f>
        <v/>
      </c>
      <c r="H102" s="352"/>
    </row>
    <row r="103" spans="6:8" ht="14.4" customHeight="1" x14ac:dyDescent="0.25">
      <c r="F103" s="1055"/>
      <c r="G103" s="180" t="str">
        <f>IFERROR(INDEX($AZ$2:$BS$60,$H$1,8),"")</f>
        <v/>
      </c>
      <c r="H103" s="352"/>
    </row>
    <row r="104" spans="6:8" ht="14.4" customHeight="1" x14ac:dyDescent="0.25">
      <c r="F104" s="1055"/>
      <c r="G104" s="180" t="str">
        <f>IFERROR(INDEX($AZ$2:$BS$60,$H$1,9),"")</f>
        <v/>
      </c>
      <c r="H104" s="352"/>
    </row>
    <row r="105" spans="6:8" ht="14.4" customHeight="1" x14ac:dyDescent="0.25">
      <c r="F105" s="1055"/>
      <c r="G105" s="180" t="str">
        <f>IFERROR(INDEX($AZ$2:$BS$60,$H$1,10),"")</f>
        <v/>
      </c>
      <c r="H105" s="352"/>
    </row>
    <row r="106" spans="6:8" ht="14.4" customHeight="1" x14ac:dyDescent="0.25">
      <c r="F106" s="1055"/>
      <c r="G106" s="180" t="str">
        <f>IFERROR(INDEX($AZ$2:$BS$60,$H$1,11),"")</f>
        <v/>
      </c>
      <c r="H106" s="352"/>
    </row>
    <row r="107" spans="6:8" ht="14.4" customHeight="1" x14ac:dyDescent="0.25">
      <c r="F107" s="1055"/>
      <c r="G107" s="180" t="str">
        <f>IFERROR(INDEX($AZ$2:$BS$60,$H$1,12),"")</f>
        <v/>
      </c>
      <c r="H107" s="352"/>
    </row>
    <row r="108" spans="6:8" ht="14.4" customHeight="1" x14ac:dyDescent="0.25">
      <c r="F108" s="1055"/>
      <c r="G108" s="180" t="str">
        <f>IFERROR(INDEX($AZ$2:$BS$60,$H$1,13),"")</f>
        <v/>
      </c>
      <c r="H108" s="352"/>
    </row>
    <row r="109" spans="6:8" ht="14.4" customHeight="1" x14ac:dyDescent="0.25">
      <c r="F109" s="1055"/>
      <c r="G109" s="180" t="str">
        <f>IFERROR(INDEX($AZ$2:$BS$60,$H$1,14),"")</f>
        <v/>
      </c>
      <c r="H109" s="352"/>
    </row>
    <row r="110" spans="6:8" ht="14.4" customHeight="1" x14ac:dyDescent="0.25">
      <c r="F110" s="1055"/>
      <c r="G110" s="180" t="str">
        <f>IFERROR(INDEX($AZ$2:$BS$60,$H$1,15),"")</f>
        <v/>
      </c>
      <c r="H110" s="352"/>
    </row>
    <row r="111" spans="6:8" ht="14.4" customHeight="1" x14ac:dyDescent="0.25">
      <c r="F111" s="1055"/>
      <c r="G111" s="180" t="str">
        <f>IFERROR(INDEX($AZ$2:$BS$60,$H$1,16),"")</f>
        <v/>
      </c>
      <c r="H111" s="352"/>
    </row>
    <row r="112" spans="6:8" ht="14.4" customHeight="1" x14ac:dyDescent="0.25">
      <c r="F112" s="1055"/>
      <c r="G112" s="180" t="str">
        <f>IFERROR(INDEX($AZ$2:$BS$60,$H$1,17),"")</f>
        <v/>
      </c>
      <c r="H112" s="352"/>
    </row>
    <row r="113" spans="6:8" ht="14.4" customHeight="1" x14ac:dyDescent="0.25">
      <c r="F113" s="1055"/>
      <c r="G113" s="180" t="str">
        <f>IFERROR(INDEX($AZ$2:$BS$60,$H$1,18),"")</f>
        <v/>
      </c>
      <c r="H113" s="352"/>
    </row>
    <row r="114" spans="6:8" ht="14.4" customHeight="1" x14ac:dyDescent="0.25">
      <c r="F114" s="1055"/>
      <c r="G114" s="180" t="str">
        <f>IFERROR(INDEX($AZ$2:$BS$60,$H$1,19),"")</f>
        <v/>
      </c>
      <c r="H114" s="352"/>
    </row>
    <row r="115" spans="6:8" ht="14.4" customHeight="1" x14ac:dyDescent="0.25">
      <c r="F115" s="1062"/>
      <c r="G115" s="235" t="str">
        <f>IFERROR(INDEX($AZ$2:$BS$60,$H$1,20),"")</f>
        <v/>
      </c>
      <c r="H115" s="398"/>
    </row>
  </sheetData>
  <sheetProtection sheet="1" objects="1" scenarios="1"/>
  <mergeCells count="29">
    <mergeCell ref="F1:G1"/>
    <mergeCell ref="S61:Y61"/>
    <mergeCell ref="AG1:AL1"/>
    <mergeCell ref="AG61:AM61"/>
    <mergeCell ref="F12:F31"/>
    <mergeCell ref="I8:I13"/>
    <mergeCell ref="I26:I45"/>
    <mergeCell ref="I14:I19"/>
    <mergeCell ref="I20:I25"/>
    <mergeCell ref="A24:C24"/>
    <mergeCell ref="F71:F88"/>
    <mergeCell ref="A12:B12"/>
    <mergeCell ref="F96:F115"/>
    <mergeCell ref="F90:F95"/>
    <mergeCell ref="F33:F50"/>
    <mergeCell ref="F52:F69"/>
    <mergeCell ref="BV61:CF61"/>
    <mergeCell ref="AA1:AF1"/>
    <mergeCell ref="I46:I57"/>
    <mergeCell ref="AS1:AX1"/>
    <mergeCell ref="M61:R61"/>
    <mergeCell ref="AZ1:BS1"/>
    <mergeCell ref="Z61:AF61"/>
    <mergeCell ref="AM1:AR1"/>
    <mergeCell ref="BI61:BU61"/>
    <mergeCell ref="AN61:BH61"/>
    <mergeCell ref="I2:I7"/>
    <mergeCell ref="I58:I67"/>
    <mergeCell ref="S1:Z1"/>
  </mergeCells>
  <phoneticPr fontId="8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11"/>
  <sheetViews>
    <sheetView topLeftCell="A49" workbookViewId="0">
      <selection activeCell="F2" sqref="F2"/>
    </sheetView>
  </sheetViews>
  <sheetFormatPr defaultColWidth="9" defaultRowHeight="14.4" customHeight="1" x14ac:dyDescent="0.25"/>
  <cols>
    <col min="2" max="3" width="8.90625" style="349" customWidth="1"/>
    <col min="4" max="4" width="8.90625" style="349"/>
  </cols>
  <sheetData>
    <row r="1" spans="1:14" ht="14.4" customHeight="1" x14ac:dyDescent="0.25">
      <c r="A1" s="422" t="s">
        <v>240</v>
      </c>
      <c r="B1" s="423" t="s">
        <v>3648</v>
      </c>
      <c r="C1" s="1047" t="s">
        <v>6123</v>
      </c>
      <c r="D1" s="1048"/>
      <c r="E1" s="1026" t="s">
        <v>6124</v>
      </c>
      <c r="F1" s="1027"/>
      <c r="G1" s="1028"/>
      <c r="H1" s="251" t="s">
        <v>247</v>
      </c>
      <c r="I1" s="153" t="s">
        <v>248</v>
      </c>
      <c r="J1" s="154" t="s">
        <v>250</v>
      </c>
      <c r="K1" s="253" t="s">
        <v>254</v>
      </c>
      <c r="L1" s="424" t="s">
        <v>256</v>
      </c>
      <c r="M1" s="252" t="s">
        <v>257</v>
      </c>
      <c r="N1" s="168" t="s">
        <v>379</v>
      </c>
    </row>
    <row r="2" spans="1:14" ht="14.4" customHeight="1" x14ac:dyDescent="0.25">
      <c r="A2" s="356" t="s">
        <v>238</v>
      </c>
      <c r="B2" s="388" t="s">
        <v>6125</v>
      </c>
      <c r="C2" s="399" t="str">
        <f>IF($G$12&lt;=0,"",A2)</f>
        <v/>
      </c>
      <c r="D2" s="352" t="str">
        <f t="array" ref="D2">INDEX(C:C,SMALL(IF($C$2:$C$111&lt;&gt;"",ROW($2:$111),112),ROW(C1)))&amp;""</f>
        <v/>
      </c>
      <c r="E2" s="359" t="str">
        <f>IF(主要!Z109="",0,主要!Z109)</f>
        <v>变形天赋</v>
      </c>
      <c r="F2" t="str">
        <f t="shared" ref="F2:F9" si="0">IFERROR(VLOOKUP(E2,A:B,2,0),"")</f>
        <v/>
      </c>
      <c r="G2" s="366">
        <f>IF(E2=0,"",COUNTIF($E$2:$E$9,E2))</f>
        <v>1</v>
      </c>
    </row>
    <row r="3" spans="1:14" ht="14.4" customHeight="1" x14ac:dyDescent="0.25">
      <c r="A3" s="356" t="s">
        <v>6126</v>
      </c>
      <c r="B3" s="388" t="s">
        <v>6127</v>
      </c>
      <c r="C3" s="399" t="str">
        <f t="shared" ref="C3:C34" si="1">IFERROR(IF(OR($G$12&lt;=0,COUNTIF($E$2:$E$9,A3)),"",A3),"")</f>
        <v/>
      </c>
      <c r="D3" s="352" t="str">
        <f t="array" ref="D3">INDEX(C:C,SMALL(IF($C$2:$C$111&lt;&gt;"",ROW($2:$111),112),ROW(C2)))&amp;""</f>
        <v/>
      </c>
      <c r="E3" s="359" t="str">
        <f>IF(主要!Z110="",0,主要!Z110)</f>
        <v>安定施法</v>
      </c>
      <c r="F3" t="str">
        <f t="shared" si="0"/>
        <v/>
      </c>
      <c r="G3" s="366">
        <f t="shared" ref="G3:G9" si="2">IF(E3=0,"",COUNTIF($E$2:$E$9,E3))</f>
        <v>1</v>
      </c>
    </row>
    <row r="4" spans="1:14" ht="14.4" customHeight="1" x14ac:dyDescent="0.25">
      <c r="A4" s="356" t="s">
        <v>6128</v>
      </c>
      <c r="B4" s="388" t="s">
        <v>6129</v>
      </c>
      <c r="C4" s="399" t="str">
        <f t="shared" si="1"/>
        <v/>
      </c>
      <c r="D4" s="352" t="str">
        <f t="array" ref="D4">INDEX(C:C,SMALL(IF($C$2:$C$111&lt;&gt;"",ROW($2:$111),112),ROW(C3)))&amp;""</f>
        <v/>
      </c>
      <c r="E4" s="359">
        <f>IF(主要!Z111="",0,主要!Z111)</f>
        <v>0</v>
      </c>
      <c r="F4" t="str">
        <f t="shared" si="0"/>
        <v/>
      </c>
      <c r="G4" s="366" t="str">
        <f t="shared" si="2"/>
        <v/>
      </c>
    </row>
    <row r="5" spans="1:14" ht="14.4" customHeight="1" x14ac:dyDescent="0.25">
      <c r="A5" s="356" t="s">
        <v>4293</v>
      </c>
      <c r="B5" s="388" t="s">
        <v>6130</v>
      </c>
      <c r="C5" s="399" t="str">
        <f t="shared" si="1"/>
        <v/>
      </c>
      <c r="D5" s="352" t="str">
        <f t="array" ref="D5">INDEX(C:C,SMALL(IF($C$2:$C$111&lt;&gt;"",ROW($2:$111),112),ROW(C4)))&amp;""</f>
        <v/>
      </c>
      <c r="E5" s="359">
        <f>IF(主要!Z112="",0,主要!Z112)</f>
        <v>0</v>
      </c>
      <c r="F5" t="str">
        <f t="shared" si="0"/>
        <v/>
      </c>
      <c r="G5" s="366" t="str">
        <f t="shared" si="2"/>
        <v/>
      </c>
    </row>
    <row r="6" spans="1:14" ht="14.4" customHeight="1" x14ac:dyDescent="0.25">
      <c r="A6" s="356" t="s">
        <v>6131</v>
      </c>
      <c r="B6" s="388" t="s">
        <v>6132</v>
      </c>
      <c r="C6" s="399" t="str">
        <f t="shared" si="1"/>
        <v/>
      </c>
      <c r="D6" s="352" t="str">
        <f t="array" ref="D6">INDEX(C:C,SMALL(IF($C$2:$C$111&lt;&gt;"",ROW($2:$111),112),ROW(C5)))&amp;""</f>
        <v/>
      </c>
      <c r="E6" s="359">
        <f>IF(主要!Z113="",0,主要!Z113)</f>
        <v>0</v>
      </c>
      <c r="F6" t="str">
        <f t="shared" si="0"/>
        <v/>
      </c>
      <c r="G6" s="366" t="str">
        <f t="shared" si="2"/>
        <v/>
      </c>
    </row>
    <row r="7" spans="1:14" ht="14.4" customHeight="1" x14ac:dyDescent="0.25">
      <c r="A7" s="356" t="s">
        <v>6133</v>
      </c>
      <c r="B7" s="388" t="s">
        <v>6134</v>
      </c>
      <c r="C7" s="399" t="str">
        <f t="shared" si="1"/>
        <v/>
      </c>
      <c r="D7" s="352" t="str">
        <f t="array" ref="D7">INDEX(C:C,SMALL(IF($C$2:$C$111&lt;&gt;"",ROW($2:$111),112),ROW(C6)))&amp;""</f>
        <v/>
      </c>
      <c r="E7" s="359">
        <f>IF(主要!Z114="",0,主要!Z114)</f>
        <v>0</v>
      </c>
      <c r="F7" t="str">
        <f t="shared" si="0"/>
        <v/>
      </c>
      <c r="G7" s="366" t="str">
        <f t="shared" si="2"/>
        <v/>
      </c>
    </row>
    <row r="8" spans="1:14" ht="14.4" customHeight="1" x14ac:dyDescent="0.25">
      <c r="A8" s="356" t="s">
        <v>6135</v>
      </c>
      <c r="B8" s="388" t="s">
        <v>6136</v>
      </c>
      <c r="C8" s="399" t="str">
        <f t="shared" si="1"/>
        <v/>
      </c>
      <c r="D8" s="352" t="str">
        <f t="array" ref="D8">INDEX(C:C,SMALL(IF($C$2:$C$111&lt;&gt;"",ROW($2:$111),112),ROW(C7)))&amp;""</f>
        <v/>
      </c>
      <c r="E8" s="359">
        <f>IF(主要!Z115="",0,主要!Z115)</f>
        <v>0</v>
      </c>
      <c r="F8" t="str">
        <f t="shared" si="0"/>
        <v/>
      </c>
      <c r="G8" s="366" t="str">
        <f t="shared" si="2"/>
        <v/>
      </c>
    </row>
    <row r="9" spans="1:14" ht="14.4" customHeight="1" x14ac:dyDescent="0.25">
      <c r="A9" s="356" t="s">
        <v>6137</v>
      </c>
      <c r="B9" s="388" t="s">
        <v>6138</v>
      </c>
      <c r="C9" s="399" t="str">
        <f t="shared" si="1"/>
        <v/>
      </c>
      <c r="D9" s="352" t="str">
        <f t="array" ref="D9">INDEX(C:C,SMALL(IF($C$2:$C$111&lt;&gt;"",ROW($2:$111),112),ROW(C8)))&amp;""</f>
        <v/>
      </c>
      <c r="E9" s="359">
        <f>IF(主要!Z116="",0,主要!Z116)</f>
        <v>0</v>
      </c>
      <c r="F9" t="str">
        <f t="shared" si="0"/>
        <v/>
      </c>
      <c r="G9" s="366" t="str">
        <f t="shared" si="2"/>
        <v/>
      </c>
    </row>
    <row r="10" spans="1:14" ht="14.4" customHeight="1" x14ac:dyDescent="0.25">
      <c r="A10" s="356" t="s">
        <v>6139</v>
      </c>
      <c r="B10" s="388" t="s">
        <v>6140</v>
      </c>
      <c r="C10" s="399" t="str">
        <f t="shared" si="1"/>
        <v/>
      </c>
      <c r="D10" s="352" t="str">
        <f t="array" ref="D10">INDEX(C:C,SMALL(IF($C$2:$C$111&lt;&gt;"",ROW($2:$111),112),ROW(C9)))&amp;""</f>
        <v/>
      </c>
      <c r="E10" s="356" t="s">
        <v>6141</v>
      </c>
      <c r="F10">
        <f>COUNTIF(背景数据!K54:K58,背景数据!A1)</f>
        <v>0</v>
      </c>
      <c r="G10" s="366"/>
    </row>
    <row r="11" spans="1:14" ht="14.4" customHeight="1" x14ac:dyDescent="0.25">
      <c r="A11" s="356" t="s">
        <v>6142</v>
      </c>
      <c r="B11" s="388" t="s">
        <v>6143</v>
      </c>
      <c r="C11" s="399" t="str">
        <f t="shared" si="1"/>
        <v/>
      </c>
      <c r="D11" s="352" t="str">
        <f t="array" ref="D11">INDEX(C:C,SMALL(IF($C$2:$C$111&lt;&gt;"",ROW($2:$111),112),ROW(C10)))&amp;""</f>
        <v/>
      </c>
      <c r="E11" s="356" t="s">
        <v>6144</v>
      </c>
      <c r="F11">
        <f>COUNTIF(G2:G9,"&gt;1")-COUNTIF($E$2:$E$9,A2)</f>
        <v>0</v>
      </c>
      <c r="G11" s="366"/>
    </row>
    <row r="12" spans="1:14" ht="14.4" customHeight="1" x14ac:dyDescent="0.25">
      <c r="A12" s="356" t="s">
        <v>4693</v>
      </c>
      <c r="B12" s="388" t="s">
        <v>6145</v>
      </c>
      <c r="C12" s="399" t="str">
        <f t="shared" si="1"/>
        <v/>
      </c>
      <c r="D12" s="352" t="str">
        <f t="array" ref="D12">INDEX(C:C,SMALL(IF($C$2:$C$111&lt;&gt;"",ROW($2:$111),112),ROW(C11)))&amp;""</f>
        <v/>
      </c>
      <c r="E12" s="360" t="s">
        <v>6146</v>
      </c>
      <c r="F12" s="355">
        <f>IF(AND(种族数据!V3=种族数据!A5,种族数据!V4=种族数据!B5),1,0)+COUNTIF(职业数据!AG2:AG14,"&gt;=4")+COUNTIF(职业数据!AG2:AG14,"&gt;=8")+COUNTIF(职业数据!AG2:AG14,"&gt;=12")+COUNTIF(职业数据!AG2:AG14,"&gt;=16")+COUNTIF(职业数据!AG2:AG14,"&gt;=19")+IF(职业数据!AG6&gt;=6,1,0)+IF(职业数据!AG6&gt;=14,1,0)+IF(职业数据!AG10&gt;=10,1,0)</f>
        <v>0</v>
      </c>
      <c r="G12" s="425">
        <f>F12-COUNTIF(专长数据!E2:E9,"&lt;&gt;0")+IF(AND(F10=1,COUNTIF(E2:E9,A89)=1),1,0)</f>
        <v>-2</v>
      </c>
    </row>
    <row r="13" spans="1:14" ht="14.4" customHeight="1" x14ac:dyDescent="0.25">
      <c r="A13" s="356" t="s">
        <v>6147</v>
      </c>
      <c r="B13" s="388" t="s">
        <v>6148</v>
      </c>
      <c r="C13" s="399" t="str">
        <f t="shared" si="1"/>
        <v/>
      </c>
      <c r="D13" s="352" t="str">
        <f t="array" ref="D13">INDEX(C:C,SMALL(IF($C$2:$C$111&lt;&gt;"",ROW($2:$111),112),ROW(C12)))&amp;""</f>
        <v/>
      </c>
    </row>
    <row r="14" spans="1:14" ht="14.4" customHeight="1" x14ac:dyDescent="0.25">
      <c r="A14" s="356" t="s">
        <v>6149</v>
      </c>
      <c r="B14" s="388" t="s">
        <v>6150</v>
      </c>
      <c r="C14" s="399" t="str">
        <f t="shared" si="1"/>
        <v/>
      </c>
      <c r="D14" s="352" t="str">
        <f t="array" ref="D14">INDEX(C:C,SMALL(IF($C$2:$C$111&lt;&gt;"",ROW($2:$111),112),ROW(C13)))&amp;""</f>
        <v/>
      </c>
    </row>
    <row r="15" spans="1:14" ht="14.4" customHeight="1" x14ac:dyDescent="0.25">
      <c r="A15" s="356" t="s">
        <v>6151</v>
      </c>
      <c r="B15" s="388" t="s">
        <v>6152</v>
      </c>
      <c r="C15" s="399" t="str">
        <f t="shared" si="1"/>
        <v/>
      </c>
      <c r="D15" s="352" t="str">
        <f t="array" ref="D15">INDEX(C:C,SMALL(IF($C$2:$C$111&lt;&gt;"",ROW($2:$111),112),ROW(C14)))&amp;""</f>
        <v/>
      </c>
    </row>
    <row r="16" spans="1:14" ht="14.4" customHeight="1" x14ac:dyDescent="0.25">
      <c r="A16" s="356" t="s">
        <v>896</v>
      </c>
      <c r="B16" s="388" t="s">
        <v>6153</v>
      </c>
      <c r="C16" s="399" t="str">
        <f t="shared" si="1"/>
        <v/>
      </c>
      <c r="D16" s="352" t="str">
        <f t="array" ref="D16">INDEX(C:C,SMALL(IF($C$2:$C$111&lt;&gt;"",ROW($2:$111),112),ROW(C15)))&amp;""</f>
        <v/>
      </c>
    </row>
    <row r="17" spans="1:4" ht="14.4" customHeight="1" x14ac:dyDescent="0.25">
      <c r="A17" s="356" t="s">
        <v>6154</v>
      </c>
      <c r="B17" s="388" t="s">
        <v>6155</v>
      </c>
      <c r="C17" s="399" t="str">
        <f t="shared" si="1"/>
        <v/>
      </c>
      <c r="D17" s="352" t="str">
        <f t="array" ref="D17">INDEX(C:C,SMALL(IF($C$2:$C$111&lt;&gt;"",ROW($2:$111),112),ROW(C16)))&amp;""</f>
        <v/>
      </c>
    </row>
    <row r="18" spans="1:4" ht="14.4" customHeight="1" x14ac:dyDescent="0.25">
      <c r="A18" s="356" t="s">
        <v>6156</v>
      </c>
      <c r="B18" s="388" t="s">
        <v>6157</v>
      </c>
      <c r="C18" s="399" t="str">
        <f t="shared" si="1"/>
        <v/>
      </c>
      <c r="D18" s="352" t="str">
        <f t="array" ref="D18">INDEX(C:C,SMALL(IF($C$2:$C$111&lt;&gt;"",ROW($2:$111),112),ROW(C17)))&amp;""</f>
        <v/>
      </c>
    </row>
    <row r="19" spans="1:4" ht="14.4" customHeight="1" x14ac:dyDescent="0.25">
      <c r="A19" s="356" t="s">
        <v>6158</v>
      </c>
      <c r="B19" s="388" t="s">
        <v>6159</v>
      </c>
      <c r="C19" s="399" t="str">
        <f t="shared" si="1"/>
        <v/>
      </c>
      <c r="D19" s="352" t="str">
        <f t="array" ref="D19">INDEX(C:C,SMALL(IF($C$2:$C$111&lt;&gt;"",ROW($2:$111),112),ROW(C18)))&amp;""</f>
        <v/>
      </c>
    </row>
    <row r="20" spans="1:4" ht="14.4" customHeight="1" x14ac:dyDescent="0.25">
      <c r="A20" s="356" t="s">
        <v>6160</v>
      </c>
      <c r="B20" s="388" t="s">
        <v>6161</v>
      </c>
      <c r="C20" s="399" t="str">
        <f t="shared" si="1"/>
        <v/>
      </c>
      <c r="D20" s="352" t="str">
        <f t="array" ref="D20">INDEX(C:C,SMALL(IF($C$2:$C$111&lt;&gt;"",ROW($2:$111),112),ROW(C19)))&amp;""</f>
        <v/>
      </c>
    </row>
    <row r="21" spans="1:4" ht="14.4" customHeight="1" x14ac:dyDescent="0.25">
      <c r="A21" s="356" t="s">
        <v>6162</v>
      </c>
      <c r="B21" s="388" t="s">
        <v>6163</v>
      </c>
      <c r="C21" s="399" t="str">
        <f t="shared" si="1"/>
        <v/>
      </c>
      <c r="D21" s="352" t="str">
        <f t="array" ref="D21">INDEX(C:C,SMALL(IF($C$2:$C$111&lt;&gt;"",ROW($2:$111),112),ROW(C20)))&amp;""</f>
        <v/>
      </c>
    </row>
    <row r="22" spans="1:4" ht="14.4" customHeight="1" x14ac:dyDescent="0.25">
      <c r="A22" s="356" t="s">
        <v>6164</v>
      </c>
      <c r="B22" s="388" t="s">
        <v>6165</v>
      </c>
      <c r="C22" s="399" t="str">
        <f t="shared" si="1"/>
        <v/>
      </c>
      <c r="D22" s="352" t="str">
        <f t="array" ref="D22">INDEX(C:C,SMALL(IF($C$2:$C$111&lt;&gt;"",ROW($2:$111),112),ROW(C21)))&amp;""</f>
        <v/>
      </c>
    </row>
    <row r="23" spans="1:4" ht="14.4" customHeight="1" x14ac:dyDescent="0.25">
      <c r="A23" s="356" t="s">
        <v>6166</v>
      </c>
      <c r="B23" s="388" t="s">
        <v>6167</v>
      </c>
      <c r="C23" s="399" t="str">
        <f t="shared" si="1"/>
        <v/>
      </c>
      <c r="D23" s="352" t="str">
        <f t="array" ref="D23">INDEX(C:C,SMALL(IF($C$2:$C$111&lt;&gt;"",ROW($2:$111),112),ROW(C22)))&amp;""</f>
        <v/>
      </c>
    </row>
    <row r="24" spans="1:4" ht="14.4" customHeight="1" x14ac:dyDescent="0.25">
      <c r="A24" s="356" t="str">
        <f>IF(主要!A14=FALSE,"强健身心-力量","")</f>
        <v>强健身心-力量</v>
      </c>
      <c r="B24" s="388" t="s">
        <v>6168</v>
      </c>
      <c r="C24" s="399" t="str">
        <f t="shared" si="1"/>
        <v/>
      </c>
      <c r="D24" s="352" t="str">
        <f t="array" ref="D24">INDEX(C:C,SMALL(IF($C$2:$C$111&lt;&gt;"",ROW($2:$111),112),ROW(C23)))&amp;""</f>
        <v/>
      </c>
    </row>
    <row r="25" spans="1:4" ht="14.4" customHeight="1" x14ac:dyDescent="0.25">
      <c r="A25" s="356" t="str">
        <f>IF(主要!A15=FALSE,"强健身心-敏捷","")</f>
        <v>强健身心-敏捷</v>
      </c>
      <c r="B25" s="388" t="s">
        <v>6169</v>
      </c>
      <c r="C25" s="399" t="str">
        <f t="shared" si="1"/>
        <v/>
      </c>
      <c r="D25" s="352" t="str">
        <f t="array" ref="D25">INDEX(C:C,SMALL(IF($C$2:$C$111&lt;&gt;"",ROW($2:$111),112),ROW(C24)))&amp;""</f>
        <v/>
      </c>
    </row>
    <row r="26" spans="1:4" ht="14.4" customHeight="1" x14ac:dyDescent="0.25">
      <c r="A26" s="356" t="str">
        <f>IF(主要!A16=FALSE,"强健身心-体质","")</f>
        <v>强健身心-体质</v>
      </c>
      <c r="B26" s="388" t="s">
        <v>6170</v>
      </c>
      <c r="C26" s="399" t="str">
        <f t="shared" si="1"/>
        <v/>
      </c>
      <c r="D26" s="352" t="str">
        <f t="array" ref="D26">INDEX(C:C,SMALL(IF($C$2:$C$111&lt;&gt;"",ROW($2:$111),112),ROW(C25)))&amp;""</f>
        <v/>
      </c>
    </row>
    <row r="27" spans="1:4" ht="14.4" customHeight="1" x14ac:dyDescent="0.25">
      <c r="A27" s="356" t="str">
        <f>IF(主要!A17=FALSE,"强健身心-智力","")</f>
        <v>强健身心-智力</v>
      </c>
      <c r="B27" s="388" t="s">
        <v>6171</v>
      </c>
      <c r="C27" s="399" t="str">
        <f t="shared" si="1"/>
        <v/>
      </c>
      <c r="D27" s="352" t="str">
        <f t="array" ref="D27">INDEX(C:C,SMALL(IF($C$2:$C$111&lt;&gt;"",ROW($2:$111),112),ROW(C26)))&amp;""</f>
        <v/>
      </c>
    </row>
    <row r="28" spans="1:4" ht="14.4" customHeight="1" x14ac:dyDescent="0.25">
      <c r="A28" s="356" t="str">
        <f>IF(主要!A18=FALSE,"强健身心-感知","")</f>
        <v>强健身心-感知</v>
      </c>
      <c r="B28" s="388" t="s">
        <v>6172</v>
      </c>
      <c r="C28" s="399" t="str">
        <f t="shared" si="1"/>
        <v/>
      </c>
      <c r="D28" s="352" t="str">
        <f t="array" ref="D28">INDEX(C:C,SMALL(IF($C$2:$C$111&lt;&gt;"",ROW($2:$111),112),ROW(C27)))&amp;""</f>
        <v/>
      </c>
    </row>
    <row r="29" spans="1:4" ht="14.4" customHeight="1" x14ac:dyDescent="0.25">
      <c r="A29" s="356" t="str">
        <f>IF(主要!A19=FALSE,"强健身心-魅力","")</f>
        <v>强健身心-魅力</v>
      </c>
      <c r="B29" s="388" t="s">
        <v>6173</v>
      </c>
      <c r="C29" s="399" t="str">
        <f t="shared" si="1"/>
        <v/>
      </c>
      <c r="D29" s="352" t="str">
        <f t="array" ref="D29">INDEX(C:C,SMALL(IF($C$2:$C$111&lt;&gt;"",ROW($2:$111),112),ROW(C28)))&amp;""</f>
        <v/>
      </c>
    </row>
    <row r="30" spans="1:4" ht="14.4" customHeight="1" x14ac:dyDescent="0.25">
      <c r="A30" s="356" t="s">
        <v>6174</v>
      </c>
      <c r="B30" s="388" t="s">
        <v>6175</v>
      </c>
      <c r="C30" s="399" t="str">
        <f t="shared" si="1"/>
        <v/>
      </c>
      <c r="D30" s="352" t="str">
        <f t="array" ref="D30">INDEX(C:C,SMALL(IF($C$2:$C$111&lt;&gt;"",ROW($2:$111),112),ROW(C29)))&amp;""</f>
        <v/>
      </c>
    </row>
    <row r="31" spans="1:4" ht="14.4" customHeight="1" x14ac:dyDescent="0.25">
      <c r="A31" s="356" t="s">
        <v>6176</v>
      </c>
      <c r="B31" s="388" t="s">
        <v>6177</v>
      </c>
      <c r="C31" s="399" t="str">
        <f t="shared" si="1"/>
        <v/>
      </c>
      <c r="D31" s="352" t="str">
        <f t="array" ref="D31">INDEX(C:C,SMALL(IF($C$2:$C$111&lt;&gt;"",ROW($2:$111),112),ROW(C30)))&amp;""</f>
        <v/>
      </c>
    </row>
    <row r="32" spans="1:4" ht="14.4" customHeight="1" x14ac:dyDescent="0.25">
      <c r="A32" s="356" t="s">
        <v>6178</v>
      </c>
      <c r="B32" s="388" t="s">
        <v>6179</v>
      </c>
      <c r="C32" s="399" t="str">
        <f t="shared" si="1"/>
        <v/>
      </c>
      <c r="D32" s="352" t="str">
        <f t="array" ref="D32">INDEX(C:C,SMALL(IF($C$2:$C$111&lt;&gt;"",ROW($2:$111),112),ROW(C31)))&amp;""</f>
        <v/>
      </c>
    </row>
    <row r="33" spans="1:5" ht="14.4" customHeight="1" x14ac:dyDescent="0.25">
      <c r="A33" s="356" t="s">
        <v>6180</v>
      </c>
      <c r="B33" s="388" t="s">
        <v>6181</v>
      </c>
      <c r="C33" s="399" t="str">
        <f t="shared" si="1"/>
        <v/>
      </c>
      <c r="D33" s="352" t="str">
        <f t="array" ref="D33">INDEX(C:C,SMALL(IF($C$2:$C$111&lt;&gt;"",ROW($2:$111),112),ROW(C32)))&amp;""</f>
        <v/>
      </c>
    </row>
    <row r="34" spans="1:5" ht="14.4" customHeight="1" x14ac:dyDescent="0.25">
      <c r="A34" s="356" t="s">
        <v>6182</v>
      </c>
      <c r="B34" s="388" t="s">
        <v>6183</v>
      </c>
      <c r="C34" s="399" t="str">
        <f t="shared" si="1"/>
        <v/>
      </c>
      <c r="D34" s="352" t="str">
        <f t="array" ref="D34">INDEX(C:C,SMALL(IF($C$2:$C$111&lt;&gt;"",ROW($2:$111),112),ROW(C33)))&amp;""</f>
        <v/>
      </c>
    </row>
    <row r="35" spans="1:5" ht="14.4" customHeight="1" x14ac:dyDescent="0.25">
      <c r="A35" s="356" t="s">
        <v>6184</v>
      </c>
      <c r="B35" s="388" t="s">
        <v>6185</v>
      </c>
      <c r="C35" s="399" t="str">
        <f t="shared" ref="C35:C66" si="3">IFERROR(IF(OR($G$12&lt;=0,COUNTIF($E$2:$E$9,A35)),"",A35),"")</f>
        <v/>
      </c>
      <c r="D35" s="352" t="str">
        <f t="array" ref="D35">INDEX(C:C,SMALL(IF($C$2:$C$111&lt;&gt;"",ROW($2:$111),112),ROW(C34)))&amp;""</f>
        <v/>
      </c>
    </row>
    <row r="36" spans="1:5" ht="14.4" customHeight="1" x14ac:dyDescent="0.25">
      <c r="A36" s="356" t="s">
        <v>6186</v>
      </c>
      <c r="B36" s="388" t="s">
        <v>6187</v>
      </c>
      <c r="C36" s="399" t="str">
        <f t="shared" si="3"/>
        <v/>
      </c>
      <c r="D36" s="352" t="str">
        <f t="array" ref="D36">INDEX(C:C,SMALL(IF($C$2:$C$111&lt;&gt;"",ROW($2:$111),112),ROW(C35)))&amp;""</f>
        <v/>
      </c>
    </row>
    <row r="37" spans="1:5" ht="14.4" customHeight="1" x14ac:dyDescent="0.25">
      <c r="A37" s="356" t="s">
        <v>6188</v>
      </c>
      <c r="B37" s="388" t="s">
        <v>6189</v>
      </c>
      <c r="C37" s="399" t="str">
        <f t="shared" si="3"/>
        <v/>
      </c>
      <c r="D37" s="352" t="str">
        <f t="array" ref="D37">INDEX(C:C,SMALL(IF($C$2:$C$111&lt;&gt;"",ROW($2:$111),112),ROW(C36)))&amp;""</f>
        <v/>
      </c>
    </row>
    <row r="38" spans="1:5" ht="14.4" customHeight="1" x14ac:dyDescent="0.25">
      <c r="A38" s="356" t="str">
        <f>IF(主要!F15&gt;=13,"防御式决斗","")</f>
        <v>防御式决斗</v>
      </c>
      <c r="B38" s="388" t="s">
        <v>6190</v>
      </c>
      <c r="C38" s="399" t="str">
        <f t="shared" si="3"/>
        <v/>
      </c>
      <c r="D38" s="352" t="str">
        <f t="array" ref="D38">INDEX(C:C,SMALL(IF($C$2:$C$111&lt;&gt;"",ROW($2:$111),112),ROW(C37)))&amp;""</f>
        <v/>
      </c>
      <c r="E38" s="164"/>
    </row>
    <row r="39" spans="1:5" ht="14.4" customHeight="1" x14ac:dyDescent="0.25">
      <c r="A39" s="356" t="str">
        <f>IF(主要!F14&gt;=13,"擒抱者","")</f>
        <v/>
      </c>
      <c r="B39" s="388" t="s">
        <v>6191</v>
      </c>
      <c r="C39" s="399" t="str">
        <f t="shared" si="3"/>
        <v/>
      </c>
      <c r="D39" s="352" t="str">
        <f t="array" ref="D39">INDEX(C:C,SMALL(IF($C$2:$C$111&lt;&gt;"",ROW($2:$111),112),ROW(C38)))&amp;""</f>
        <v/>
      </c>
      <c r="E39" s="164"/>
    </row>
    <row r="40" spans="1:5" ht="14.4" customHeight="1" x14ac:dyDescent="0.25">
      <c r="A40" s="356" t="str">
        <f>IF(主要!F19&gt;=13,"领袖之证","")</f>
        <v/>
      </c>
      <c r="B40" s="388" t="s">
        <v>6192</v>
      </c>
      <c r="C40" s="399" t="str">
        <f t="shared" si="3"/>
        <v/>
      </c>
      <c r="D40" s="352" t="str">
        <f t="array" ref="D40">INDEX(C:C,SMALL(IF($C$2:$C$111&lt;&gt;"",ROW($2:$111),112),ROW(C39)))&amp;""</f>
        <v/>
      </c>
      <c r="E40" s="164"/>
    </row>
    <row r="41" spans="1:5" ht="14.4" customHeight="1" x14ac:dyDescent="0.25">
      <c r="A41" s="356" t="str">
        <f>IF(OR(主要!F17&gt;=13,主要!F18&gt;=13),"仪式施法者","")</f>
        <v>仪式施法者</v>
      </c>
      <c r="B41" s="388" t="s">
        <v>6193</v>
      </c>
      <c r="C41" s="399" t="str">
        <f t="shared" si="3"/>
        <v/>
      </c>
      <c r="D41" s="352" t="str">
        <f t="array" ref="D41">INDEX(C:C,SMALL(IF($C$2:$C$111&lt;&gt;"",ROW($2:$111),112),ROW(C40)))&amp;""</f>
        <v/>
      </c>
      <c r="E41" s="164"/>
    </row>
    <row r="42" spans="1:5" ht="14.4" customHeight="1" x14ac:dyDescent="0.25">
      <c r="A42" s="356" t="str">
        <f>IF(主要!F15&gt;=13,"隐伏者","")</f>
        <v>隐伏者</v>
      </c>
      <c r="B42" s="388" t="s">
        <v>6194</v>
      </c>
      <c r="C42" s="399" t="str">
        <f t="shared" si="3"/>
        <v/>
      </c>
      <c r="D42" s="352" t="str">
        <f t="array" ref="D42">INDEX(C:C,SMALL(IF($C$2:$C$111&lt;&gt;"",ROW($2:$111),112),ROW(C41)))&amp;""</f>
        <v/>
      </c>
      <c r="E42" s="164"/>
    </row>
    <row r="43" spans="1:5" ht="14.4" customHeight="1" x14ac:dyDescent="0.25">
      <c r="A43" s="356" t="str">
        <f>IF(COUNTIF(法术数据!AK2:AK301,"")=300,"","元素导师-强酸")</f>
        <v/>
      </c>
      <c r="B43" s="388" t="s">
        <v>6195</v>
      </c>
      <c r="C43" s="399" t="str">
        <f t="shared" si="3"/>
        <v/>
      </c>
      <c r="D43" s="352" t="str">
        <f t="array" ref="D43">INDEX(C:C,SMALL(IF($C$2:$C$111&lt;&gt;"",ROW($2:$111),112),ROW(C42)))&amp;""</f>
        <v/>
      </c>
    </row>
    <row r="44" spans="1:5" ht="14.4" customHeight="1" x14ac:dyDescent="0.25">
      <c r="A44" s="356" t="str">
        <f>IF(COUNTIF(法术数据!AK2:AK301,"")=300,"","元素导师-冷冻")</f>
        <v/>
      </c>
      <c r="B44" s="388" t="s">
        <v>6196</v>
      </c>
      <c r="C44" s="399" t="str">
        <f t="shared" si="3"/>
        <v/>
      </c>
      <c r="D44" s="352" t="str">
        <f t="array" ref="D44">INDEX(C:C,SMALL(IF($C$2:$C$111&lt;&gt;"",ROW($2:$111),112),ROW(C43)))&amp;""</f>
        <v/>
      </c>
    </row>
    <row r="45" spans="1:5" ht="14.4" customHeight="1" x14ac:dyDescent="0.25">
      <c r="A45" s="356" t="str">
        <f>IF(COUNTIF(法术数据!AK2:AK301,"")=300,"","元素导师-火焰")</f>
        <v/>
      </c>
      <c r="B45" s="388" t="s">
        <v>6197</v>
      </c>
      <c r="C45" s="399" t="str">
        <f t="shared" si="3"/>
        <v/>
      </c>
      <c r="D45" s="352" t="str">
        <f t="array" ref="D45">INDEX(C:C,SMALL(IF($C$2:$C$111&lt;&gt;"",ROW($2:$111),112),ROW(C44)))&amp;""</f>
        <v/>
      </c>
    </row>
    <row r="46" spans="1:5" ht="14.4" customHeight="1" x14ac:dyDescent="0.25">
      <c r="A46" s="356" t="str">
        <f>IF(COUNTIF(法术数据!AK2:AK301,"")=300,"","元素导师-闪电")</f>
        <v/>
      </c>
      <c r="B46" s="388" t="s">
        <v>6198</v>
      </c>
      <c r="C46" s="399" t="str">
        <f t="shared" si="3"/>
        <v/>
      </c>
      <c r="D46" s="352" t="str">
        <f t="array" ref="D46">INDEX(C:C,SMALL(IF($C$2:$C$111&lt;&gt;"",ROW($2:$111),112),ROW(C45)))&amp;""</f>
        <v/>
      </c>
    </row>
    <row r="47" spans="1:5" ht="14.4" customHeight="1" x14ac:dyDescent="0.25">
      <c r="A47" s="356" t="str">
        <f>IF(COUNTIF(法术数据!AK2:AK301,"")=300,"","元素导师-雷鸣")</f>
        <v/>
      </c>
      <c r="B47" s="388" t="s">
        <v>6199</v>
      </c>
      <c r="C47" s="399" t="str">
        <f t="shared" si="3"/>
        <v/>
      </c>
      <c r="D47" s="352" t="str">
        <f t="array" ref="D47">INDEX(C:C,SMALL(IF($C$2:$C$111&lt;&gt;"",ROW($2:$111),112),ROW(C46)))&amp;""</f>
        <v/>
      </c>
    </row>
    <row r="48" spans="1:5" ht="14.4" customHeight="1" x14ac:dyDescent="0.25">
      <c r="A48" s="356" t="str">
        <f>IF(COUNTIF(法术数据!AK2:AK301,"")=300,"","法术射手")</f>
        <v/>
      </c>
      <c r="B48" s="388" t="s">
        <v>6200</v>
      </c>
      <c r="C48" s="399" t="str">
        <f t="shared" si="3"/>
        <v/>
      </c>
      <c r="D48" s="352" t="str">
        <f t="array" ref="D48">INDEX(C:C,SMALL(IF($C$2:$C$111&lt;&gt;"",ROW($2:$111),112),ROW(C47)))&amp;""</f>
        <v/>
      </c>
    </row>
    <row r="49" spans="1:5" ht="14.4" customHeight="1" x14ac:dyDescent="0.25">
      <c r="A49" s="356" t="str">
        <f>IF(COUNTIF(法术数据!AK2:AK301,"")=300,"","战地施法者")</f>
        <v/>
      </c>
      <c r="B49" s="388" t="s">
        <v>6201</v>
      </c>
      <c r="C49" s="399" t="str">
        <f t="shared" si="3"/>
        <v/>
      </c>
      <c r="D49" s="352" t="str">
        <f t="array" ref="D49">INDEX(C:C,SMALL(IF($C$2:$C$111&lt;&gt;"",ROW($2:$111),112),ROW(C48)))&amp;""</f>
        <v/>
      </c>
    </row>
    <row r="50" spans="1:5" ht="14.4" customHeight="1" x14ac:dyDescent="0.25">
      <c r="A50" s="356" t="str">
        <f>IF(装备数据!AU2=1,"中甲运用","")</f>
        <v/>
      </c>
      <c r="B50" s="388" t="s">
        <v>6202</v>
      </c>
      <c r="C50" s="399" t="str">
        <f t="shared" si="3"/>
        <v/>
      </c>
      <c r="D50" s="352" t="str">
        <f t="array" ref="D50">INDEX(C:C,SMALL(IF($C$2:$C$111&lt;&gt;"",ROW($2:$111),112),ROW(C49)))&amp;""</f>
        <v/>
      </c>
    </row>
    <row r="51" spans="1:5" ht="14.4" customHeight="1" x14ac:dyDescent="0.25">
      <c r="A51" s="356" t="str">
        <f>IF(装备数据!AU3=1,"中甲大师","")</f>
        <v/>
      </c>
      <c r="B51" s="388" t="s">
        <v>6203</v>
      </c>
      <c r="C51" s="399" t="str">
        <f t="shared" si="3"/>
        <v/>
      </c>
      <c r="D51" s="352" t="str">
        <f t="array" ref="D51">INDEX(C:C,SMALL(IF($C$2:$C$111&lt;&gt;"",ROW($2:$111),112),ROW(C50)))&amp;""</f>
        <v/>
      </c>
    </row>
    <row r="52" spans="1:5" ht="14.4" customHeight="1" x14ac:dyDescent="0.25">
      <c r="A52" s="356" t="str">
        <f>IF(装备数据!AU3=1,"重甲运用","")</f>
        <v/>
      </c>
      <c r="B52" s="388" t="s">
        <v>6204</v>
      </c>
      <c r="C52" s="399" t="str">
        <f t="shared" si="3"/>
        <v/>
      </c>
      <c r="D52" s="352" t="str">
        <f t="array" ref="D52">INDEX(C:C,SMALL(IF($C$2:$C$111&lt;&gt;"",ROW($2:$111),112),ROW(C51)))&amp;""</f>
        <v/>
      </c>
      <c r="E52" s="164"/>
    </row>
    <row r="53" spans="1:5" ht="14.4" customHeight="1" x14ac:dyDescent="0.25">
      <c r="A53" s="356" t="str">
        <f>IF(装备数据!AU4=1,"重甲大师","")</f>
        <v/>
      </c>
      <c r="B53" s="388" t="s">
        <v>6205</v>
      </c>
      <c r="C53" s="399" t="str">
        <f t="shared" si="3"/>
        <v/>
      </c>
      <c r="D53" s="352" t="str">
        <f t="array" ref="D53">INDEX(C:C,SMALL(IF($C$2:$C$111&lt;&gt;"",ROW($2:$111),112),ROW(C52)))&amp;""</f>
        <v/>
      </c>
      <c r="E53" s="164"/>
    </row>
    <row r="54" spans="1:5" ht="14.4" customHeight="1" x14ac:dyDescent="0.25">
      <c r="A54" s="329" t="str">
        <f>IF(AND(综合数据!B7=TRUE,种族数据!V3=种族数据!A4),"慷慨吉运","")</f>
        <v/>
      </c>
      <c r="B54" s="388" t="s">
        <v>6206</v>
      </c>
      <c r="C54" s="399" t="str">
        <f t="shared" si="3"/>
        <v/>
      </c>
      <c r="D54" s="352" t="str">
        <f t="array" ref="D54">INDEX(C:C,SMALL(IF($C$2:$C$111&lt;&gt;"",ROW($2:$111),112),ROW(C53)))&amp;""</f>
        <v/>
      </c>
      <c r="E54" s="164"/>
    </row>
    <row r="55" spans="1:5" ht="14.4" customHeight="1" x14ac:dyDescent="0.25">
      <c r="A55" s="329" t="str">
        <f>IF(AND(综合数据!B7=TRUE,种族数据!V3=种族数据!A6),"龙族之恐怖","")</f>
        <v/>
      </c>
      <c r="B55" s="388" t="s">
        <v>6207</v>
      </c>
      <c r="C55" s="399" t="str">
        <f t="shared" si="3"/>
        <v/>
      </c>
      <c r="D55" s="352" t="str">
        <f t="array" ref="D55">INDEX(C:C,SMALL(IF($C$2:$C$111&lt;&gt;"",ROW($2:$111),112),ROW(C54)))&amp;""</f>
        <v/>
      </c>
      <c r="E55" s="164"/>
    </row>
    <row r="56" spans="1:5" ht="14.4" customHeight="1" x14ac:dyDescent="0.25">
      <c r="A56" s="329" t="str">
        <f>IF(AND(综合数据!B7=TRUE,种族数据!V3=种族数据!A6),"龙族皮肤","")</f>
        <v/>
      </c>
      <c r="B56" s="426" t="s">
        <v>6208</v>
      </c>
      <c r="C56" s="399" t="str">
        <f t="shared" si="3"/>
        <v/>
      </c>
      <c r="D56" s="352" t="str">
        <f t="array" ref="D56">INDEX(C:C,SMALL(IF($C$2:$C$111&lt;&gt;"",ROW($2:$111),112),ROW(C55)))&amp;""</f>
        <v/>
      </c>
      <c r="E56" s="164"/>
    </row>
    <row r="57" spans="1:5" ht="14.4" customHeight="1" x14ac:dyDescent="0.25">
      <c r="A57" s="329" t="str">
        <f>IF(AND(综合数据!B7=TRUE,种族数据!V4=种族数据!D3),"高等卓尔魔法","")</f>
        <v/>
      </c>
      <c r="B57" s="388" t="s">
        <v>6209</v>
      </c>
      <c r="C57" s="399" t="str">
        <f t="shared" si="3"/>
        <v/>
      </c>
      <c r="D57" s="352" t="str">
        <f t="array" ref="D57">INDEX(C:C,SMALL(IF($C$2:$C$111&lt;&gt;"",ROW($2:$111),112),ROW(C56)))&amp;""</f>
        <v/>
      </c>
      <c r="E57" s="164"/>
    </row>
    <row r="58" spans="1:5" ht="14.4" customHeight="1" x14ac:dyDescent="0.25">
      <c r="A58" s="329" t="str">
        <f>IF(AND(综合数据!B7=TRUE,种族数据!V3=种族数据!A2),"矮人之坚毅","")</f>
        <v/>
      </c>
      <c r="B58" s="388" t="s">
        <v>6210</v>
      </c>
      <c r="C58" s="399" t="str">
        <f t="shared" si="3"/>
        <v/>
      </c>
      <c r="D58" s="352" t="str">
        <f t="array" ref="D58">INDEX(C:C,SMALL(IF($C$2:$C$111&lt;&gt;"",ROW($2:$111),112),ROW(C57)))&amp;""</f>
        <v/>
      </c>
      <c r="E58" s="164"/>
    </row>
    <row r="59" spans="1:5" ht="14.4" customHeight="1" x14ac:dyDescent="0.25">
      <c r="A59" s="329" t="str">
        <f>IF(AND(综合数据!B7=TRUE,OR(种族数据!V3=种族数据!A3,种族数据!V3=种族数据!A8)),"精灵之准","")</f>
        <v/>
      </c>
      <c r="B59" s="388" t="s">
        <v>6211</v>
      </c>
      <c r="C59" s="399" t="str">
        <f t="shared" si="3"/>
        <v/>
      </c>
      <c r="D59" s="352" t="str">
        <f t="array" ref="D59">INDEX(C:C,SMALL(IF($C$2:$C$111&lt;&gt;"",ROW($2:$111),112),ROW(C58)))&amp;""</f>
        <v/>
      </c>
      <c r="E59" s="164"/>
    </row>
    <row r="60" spans="1:5" ht="14.4" customHeight="1" x14ac:dyDescent="0.25">
      <c r="A60" s="329" t="str">
        <f>IF(AND(综合数据!B7=TRUE,种族数据!V3=种族数据!A7),"逐渐消失","")</f>
        <v/>
      </c>
      <c r="B60" s="388" t="s">
        <v>6212</v>
      </c>
      <c r="C60" s="399" t="str">
        <f t="shared" si="3"/>
        <v/>
      </c>
      <c r="D60" s="352" t="str">
        <f t="array" ref="D60">INDEX(C:C,SMALL(IF($C$2:$C$111&lt;&gt;"",ROW($2:$111),112),ROW(C59)))&amp;""</f>
        <v/>
      </c>
      <c r="E60" s="164"/>
    </row>
    <row r="61" spans="1:5" ht="14.4" customHeight="1" x14ac:dyDescent="0.25">
      <c r="A61" s="329" t="str">
        <f>IF(AND(综合数据!B7=TRUE,种族数据!V4=种族数据!B3),"精类位移","")</f>
        <v/>
      </c>
      <c r="B61" s="388" t="s">
        <v>6213</v>
      </c>
      <c r="C61" s="399" t="str">
        <f t="shared" si="3"/>
        <v/>
      </c>
      <c r="D61" s="352" t="str">
        <f t="array" ref="D61">INDEX(C:C,SMALL(IF($C$2:$C$111&lt;&gt;"",ROW($2:$111),112),ROW(C60)))&amp;""</f>
        <v/>
      </c>
      <c r="E61" s="164"/>
    </row>
    <row r="62" spans="1:5" ht="14.4" customHeight="1" x14ac:dyDescent="0.25">
      <c r="A62" s="329" t="str">
        <f>IF(AND(综合数据!B7=TRUE,种族数据!V3=种族数据!A10),"弗莱格索斯之焰","")</f>
        <v/>
      </c>
      <c r="B62" s="388" t="s">
        <v>6214</v>
      </c>
      <c r="C62" s="399" t="str">
        <f t="shared" si="3"/>
        <v/>
      </c>
      <c r="D62" s="352" t="str">
        <f t="array" ref="D62">INDEX(C:C,SMALL(IF($C$2:$C$111&lt;&gt;"",ROW($2:$111),112),ROW(C61)))&amp;""</f>
        <v/>
      </c>
      <c r="E62" s="164"/>
    </row>
    <row r="63" spans="1:5" ht="14.4" customHeight="1" x14ac:dyDescent="0.25">
      <c r="A63" s="329" t="str">
        <f>IF(AND(综合数据!B7=TRUE,种族数据!V3=种族数据!A10),"恶魔体质","")</f>
        <v/>
      </c>
      <c r="B63" s="388" t="s">
        <v>6215</v>
      </c>
      <c r="C63" s="399" t="str">
        <f t="shared" si="3"/>
        <v/>
      </c>
      <c r="D63" s="352" t="str">
        <f t="array" ref="D63">INDEX(C:C,SMALL(IF($C$2:$C$111&lt;&gt;"",ROW($2:$111),112),ROW(C62)))&amp;""</f>
        <v/>
      </c>
      <c r="E63" s="164"/>
    </row>
    <row r="64" spans="1:5" ht="14.4" customHeight="1" x14ac:dyDescent="0.25">
      <c r="A64" s="329" t="str">
        <f>IF(AND(综合数据!B7=TRUE,种族数据!V3=种族数据!A9),"兽人式狂怒","")</f>
        <v/>
      </c>
      <c r="B64" s="388" t="s">
        <v>6216</v>
      </c>
      <c r="C64" s="399" t="str">
        <f t="shared" si="3"/>
        <v/>
      </c>
      <c r="D64" s="352" t="str">
        <f t="array" ref="D64">INDEX(C:C,SMALL(IF($C$2:$C$111&lt;&gt;"",ROW($2:$111),112),ROW(C63)))&amp;""</f>
        <v/>
      </c>
      <c r="E64" s="164"/>
    </row>
    <row r="65" spans="1:6" ht="14.4" customHeight="1" x14ac:dyDescent="0.25">
      <c r="A65" s="329" t="str">
        <f>IF(AND(综合数据!B7=TRUE,OR(种族数据!V3=种族数据!A5,种族数据!V3=种族数据!A8,种族数据!V3=种族数据!A9)),"奇才","")</f>
        <v/>
      </c>
      <c r="B65" s="388" t="s">
        <v>6217</v>
      </c>
      <c r="C65" s="399" t="str">
        <f t="shared" si="3"/>
        <v/>
      </c>
      <c r="D65" s="352" t="str">
        <f t="array" ref="D65">INDEX(C:C,SMALL(IF($C$2:$C$111&lt;&gt;"",ROW($2:$111),112),ROW(C64)))&amp;""</f>
        <v/>
      </c>
      <c r="E65" s="164"/>
    </row>
    <row r="66" spans="1:6" ht="14.4" customHeight="1" x14ac:dyDescent="0.25">
      <c r="A66" s="329" t="str">
        <f>IF(AND(综合数据!B7=TRUE,种族数据!V3=种族数据!A4),"花开二度","")</f>
        <v/>
      </c>
      <c r="B66" s="388" t="s">
        <v>6218</v>
      </c>
      <c r="C66" s="399" t="str">
        <f t="shared" si="3"/>
        <v/>
      </c>
      <c r="D66" s="352" t="str">
        <f t="array" ref="D66">INDEX(C:C,SMALL(IF($C$2:$C$111&lt;&gt;"",ROW($2:$111),112),ROW(C65)))&amp;""</f>
        <v/>
      </c>
      <c r="E66" s="164"/>
    </row>
    <row r="67" spans="1:6" ht="14.4" customHeight="1" x14ac:dyDescent="0.25">
      <c r="A67" s="329" t="str">
        <f>IF(AND(综合数据!B7=TRUE,OR(种族数据!V3=种族数据!A2,种族数据!V3=种族数据!A4,种族数据!V3=种族数据!A7,AND(种族数据!V3=种族数据!A18,OR(种族数据!V4=0,种族数据!V4=种族数据!D18,种族数据!V4=种族数据!E18)),AND(种族数据!V3=种族数据!A35,种族数据!V2&lt;=4))),"低身之机敏","")</f>
        <v/>
      </c>
      <c r="B67" s="388" t="s">
        <v>6219</v>
      </c>
      <c r="C67" s="399" t="str">
        <f t="shared" ref="C67:C88" si="4">IFERROR(IF(OR($G$12&lt;=0,COUNTIF($E$2:$E$9,A67)),"",A67),"")</f>
        <v/>
      </c>
      <c r="D67" s="352" t="str">
        <f t="array" ref="D67">INDEX(C:C,SMALL(IF($C$2:$C$111&lt;&gt;"",ROW($2:$111),112),ROW(C66)))&amp;""</f>
        <v/>
      </c>
      <c r="E67" s="164"/>
    </row>
    <row r="68" spans="1:6" ht="14.4" customHeight="1" x14ac:dyDescent="0.25">
      <c r="A68" s="329" t="str">
        <f>IF(AND(综合数据!B7=TRUE,种族数据!V4=种族数据!C3),"木精灵魔法","")</f>
        <v/>
      </c>
      <c r="B68" s="388" t="s">
        <v>6220</v>
      </c>
      <c r="C68" s="399" t="str">
        <f t="shared" si="4"/>
        <v/>
      </c>
      <c r="D68" s="352" t="str">
        <f t="array" ref="D68">INDEX(C:C,SMALL(IF($C$2:$C$111&lt;&gt;"",ROW($2:$111),112),ROW(C67)))&amp;""</f>
        <v/>
      </c>
      <c r="E68" s="164"/>
    </row>
    <row r="69" spans="1:6" ht="14.4" customHeight="1" x14ac:dyDescent="0.25">
      <c r="A69" s="167" t="str">
        <f>IF(AND(综合数据!B8=TRUE,种族数据!V4=种族数据!D7),"斯涅布力魔法","")</f>
        <v/>
      </c>
      <c r="B69" s="388" t="s">
        <v>6221</v>
      </c>
      <c r="C69" s="399" t="str">
        <f t="shared" si="4"/>
        <v/>
      </c>
      <c r="D69" s="352" t="str">
        <f t="array" ref="D69">INDEX(C:C,SMALL(IF($C$2:$C$111&lt;&gt;"",ROW($2:$111),112),ROW(C68)))&amp;""</f>
        <v/>
      </c>
      <c r="E69" s="164"/>
    </row>
    <row r="70" spans="1:6" ht="14.4" customHeight="1" x14ac:dyDescent="0.25">
      <c r="A70" s="427" t="str">
        <f>IF(OR(综合数据!B10=FALSE,COUNTIF(种族数据!V4,"*龙纹")),"","异种龙纹")</f>
        <v>异种龙纹</v>
      </c>
      <c r="B70" s="388" t="s">
        <v>6222</v>
      </c>
      <c r="C70" s="399" t="str">
        <f t="shared" si="4"/>
        <v/>
      </c>
      <c r="D70" s="352" t="str">
        <f t="array" ref="D70">INDEX(C:C,SMALL(IF($C$2:$C$111&lt;&gt;"",ROW($2:$111),112),ROW(C69)))&amp;""</f>
        <v/>
      </c>
      <c r="E70" s="164"/>
    </row>
    <row r="71" spans="1:6" ht="14.4" customHeight="1" x14ac:dyDescent="0.25">
      <c r="A71" s="334" t="str">
        <f>IF(综合数据!B14=TRUE,"奇械学徒","")</f>
        <v>奇械学徒</v>
      </c>
      <c r="B71" s="388" t="s">
        <v>6223</v>
      </c>
      <c r="C71" s="399" t="str">
        <f t="shared" si="4"/>
        <v/>
      </c>
      <c r="D71" s="352" t="str">
        <f t="array" ref="D71">INDEX(C:C,SMALL(IF($C$2:$C$111&lt;&gt;"",ROW($2:$111),112),ROW(C70)))&amp;""</f>
        <v/>
      </c>
      <c r="E71" s="164"/>
    </row>
    <row r="72" spans="1:6" ht="14.4" customHeight="1" x14ac:dyDescent="0.25">
      <c r="A72" s="334" t="str">
        <f>IF(综合数据!B14=TRUE,"大厨","")</f>
        <v>大厨</v>
      </c>
      <c r="B72" s="388" t="s">
        <v>6224</v>
      </c>
      <c r="C72" s="399" t="str">
        <f t="shared" si="4"/>
        <v/>
      </c>
      <c r="D72" s="352" t="str">
        <f t="array" ref="D72">INDEX(C:C,SMALL(IF($C$2:$C$111&lt;&gt;"",ROW($2:$111),112),ROW(C71)))&amp;""</f>
        <v/>
      </c>
      <c r="E72" s="164"/>
    </row>
    <row r="73" spans="1:6" ht="14.4" customHeight="1" x14ac:dyDescent="0.25">
      <c r="A73" s="334" t="str">
        <f>IF(综合数据!B14=TRUE,"粉碎者","")</f>
        <v>粉碎者</v>
      </c>
      <c r="B73" s="388" t="s">
        <v>6225</v>
      </c>
      <c r="C73" s="399" t="str">
        <f t="shared" si="4"/>
        <v/>
      </c>
      <c r="D73" s="352" t="str">
        <f t="array" ref="D73">INDEX(C:C,SMALL(IF($C$2:$C$111&lt;&gt;"",ROW($2:$111),112),ROW(C72)))&amp;""</f>
        <v/>
      </c>
      <c r="E73" s="164"/>
    </row>
    <row r="74" spans="1:6" ht="14.4" customHeight="1" x14ac:dyDescent="0.25">
      <c r="A74" s="334" t="str">
        <f>IF(AND(综合数据!B14=TRUE,职业数据!AE22+职业数据!AG12&gt;=1),"魔能导师","")</f>
        <v/>
      </c>
      <c r="B74" s="388" t="s">
        <v>6226</v>
      </c>
      <c r="C74" s="399" t="str">
        <f t="shared" si="4"/>
        <v/>
      </c>
      <c r="D74" s="352" t="str">
        <f t="array" ref="D74">INDEX(C:C,SMALL(IF($C$2:$C$111&lt;&gt;"",ROW($2:$111),112),ROW(C73)))&amp;""</f>
        <v/>
      </c>
      <c r="E74" s="388"/>
    </row>
    <row r="75" spans="1:6" ht="14.4" customHeight="1" x14ac:dyDescent="0.25">
      <c r="A75" s="334" t="str">
        <f>IF(综合数据!B14=TRUE,"精类触碰","")</f>
        <v>精类触碰</v>
      </c>
      <c r="B75" s="388" t="s">
        <v>6227</v>
      </c>
      <c r="C75" s="399" t="str">
        <f t="shared" si="4"/>
        <v/>
      </c>
      <c r="D75" s="352" t="str">
        <f t="array" ref="D75">INDEX(C:C,SMALL(IF($C$2:$C$111&lt;&gt;"",ROW($2:$111),112),ROW(C74)))&amp;""</f>
        <v/>
      </c>
      <c r="E75" s="164"/>
    </row>
    <row r="76" spans="1:6" ht="14.4" customHeight="1" x14ac:dyDescent="0.25">
      <c r="A76" s="334" t="str">
        <f>IF(AND(综合数据!B14=TRUE,装备数据!AU5=1),"战斗学徒","")</f>
        <v/>
      </c>
      <c r="B76" s="388" t="s">
        <v>6228</v>
      </c>
      <c r="C76" s="399" t="str">
        <f t="shared" si="4"/>
        <v/>
      </c>
      <c r="D76" s="352" t="str">
        <f t="array" ref="D76">INDEX(C:C,SMALL(IF($C$2:$C$111&lt;&gt;"",ROW($2:$111),112),ROW(C75)))&amp;""</f>
        <v/>
      </c>
      <c r="E76" s="164"/>
    </row>
    <row r="77" spans="1:6" ht="14.4" customHeight="1" x14ac:dyDescent="0.25">
      <c r="A77" s="334" t="str">
        <f>IF(综合数据!B14=TRUE,"枪手","")</f>
        <v>枪手</v>
      </c>
      <c r="B77" s="388" t="s">
        <v>6229</v>
      </c>
      <c r="C77" s="399" t="str">
        <f t="shared" si="4"/>
        <v/>
      </c>
      <c r="D77" s="352" t="str">
        <f t="array" ref="D77">INDEX(C:C,SMALL(IF($C$2:$C$111&lt;&gt;"",ROW($2:$111),112),ROW(C76)))&amp;""</f>
        <v/>
      </c>
      <c r="E77" s="164"/>
    </row>
    <row r="78" spans="1:6" ht="14.4" customHeight="1" x14ac:dyDescent="0.25">
      <c r="A78" s="334" t="str">
        <f>IF(AND(综合数据!B14=TRUE,职业数据!AE22+职业数据!AG12&gt;=1),"超魔法导师","")</f>
        <v/>
      </c>
      <c r="B78" s="388" t="s">
        <v>6230</v>
      </c>
      <c r="C78" s="399" t="str">
        <f t="shared" si="4"/>
        <v/>
      </c>
      <c r="D78" s="352" t="str">
        <f t="array" ref="D78">INDEX(C:C,SMALL(IF($C$2:$C$111&lt;&gt;"",ROW($2:$111),112),ROW(C77)))&amp;""</f>
        <v/>
      </c>
      <c r="E78" s="388"/>
      <c r="F78" s="388"/>
    </row>
    <row r="79" spans="1:6" ht="14.4" customHeight="1" x14ac:dyDescent="0.25">
      <c r="A79" s="334" t="str">
        <f>IF(综合数据!B14=TRUE,"穿刺者","")</f>
        <v>穿刺者</v>
      </c>
      <c r="B79" s="388" t="s">
        <v>6231</v>
      </c>
      <c r="C79" s="399" t="str">
        <f t="shared" si="4"/>
        <v/>
      </c>
      <c r="D79" s="352" t="str">
        <f t="array" ref="D79">INDEX(C:C,SMALL(IF($C$2:$C$111&lt;&gt;"",ROW($2:$111),112),ROW(C78)))&amp;""</f>
        <v/>
      </c>
      <c r="E79" s="164"/>
    </row>
    <row r="80" spans="1:6" ht="14.4" customHeight="1" x14ac:dyDescent="0.25">
      <c r="A80" s="334" t="str">
        <f>IF(综合数据!B14=TRUE,"毒师","")</f>
        <v>毒师</v>
      </c>
      <c r="B80" s="388" t="s">
        <v>6232</v>
      </c>
      <c r="C80" s="399" t="str">
        <f t="shared" si="4"/>
        <v/>
      </c>
      <c r="D80" s="352" t="str">
        <f t="array" ref="D80">INDEX(C:C,SMALL(IF($C$2:$C$111&lt;&gt;"",ROW($2:$111),112),ROW(C79)))&amp;""</f>
        <v/>
      </c>
      <c r="E80" s="164"/>
    </row>
    <row r="81" spans="1:5" ht="14.4" customHeight="1" x14ac:dyDescent="0.25">
      <c r="A81" s="334" t="str">
        <f>IF(综合数据!B14=TRUE,"影界触碰","")</f>
        <v>影界触碰</v>
      </c>
      <c r="B81" s="388" t="s">
        <v>6233</v>
      </c>
      <c r="C81" s="399" t="str">
        <f t="shared" si="4"/>
        <v/>
      </c>
      <c r="D81" s="352" t="str">
        <f t="array" ref="D81">INDEX(C:C,SMALL(IF($C$2:$C$111&lt;&gt;"",ROW($2:$111),112),ROW(C80)))&amp;""</f>
        <v/>
      </c>
      <c r="E81" s="164"/>
    </row>
    <row r="82" spans="1:5" ht="14.4" customHeight="1" x14ac:dyDescent="0.25">
      <c r="A82" s="334" t="str">
        <f>IF(综合数据!B14=TRUE,"技艺专家","")</f>
        <v>技艺专家</v>
      </c>
      <c r="B82" s="388" t="s">
        <v>6234</v>
      </c>
      <c r="C82" s="399" t="str">
        <f t="shared" si="4"/>
        <v/>
      </c>
      <c r="D82" s="352" t="str">
        <f t="array" ref="D82">INDEX(C:C,SMALL(IF($C$2:$C$111&lt;&gt;"",ROW($2:$111),112),ROW(C81)))&amp;""</f>
        <v/>
      </c>
      <c r="E82" s="164"/>
    </row>
    <row r="83" spans="1:5" ht="14.4" customHeight="1" x14ac:dyDescent="0.25">
      <c r="A83" s="334" t="str">
        <f>IF(综合数据!B14=TRUE,"劈砍者","")</f>
        <v>劈砍者</v>
      </c>
      <c r="B83" s="388" t="s">
        <v>6235</v>
      </c>
      <c r="C83" s="399" t="str">
        <f t="shared" si="4"/>
        <v/>
      </c>
      <c r="D83" s="352" t="str">
        <f t="array" ref="D83">INDEX(C:C,SMALL(IF($C$2:$C$111&lt;&gt;"",ROW($2:$111),112),ROW(C82)))&amp;""</f>
        <v/>
      </c>
      <c r="E83" s="164"/>
    </row>
    <row r="84" spans="1:5" ht="14.4" customHeight="1" x14ac:dyDescent="0.25">
      <c r="A84" s="334" t="str">
        <f>IF(综合数据!B14=TRUE,"念动力","")</f>
        <v>念动力</v>
      </c>
      <c r="B84" s="388" t="s">
        <v>6236</v>
      </c>
      <c r="C84" s="399" t="str">
        <f t="shared" si="4"/>
        <v/>
      </c>
      <c r="D84" s="352" t="str">
        <f t="array" ref="D84">INDEX(C:C,SMALL(IF($C$2:$C$111&lt;&gt;"",ROW($2:$111),112),ROW(C83)))&amp;""</f>
        <v/>
      </c>
      <c r="E84" s="164"/>
    </row>
    <row r="85" spans="1:5" ht="14.4" customHeight="1" x14ac:dyDescent="0.25">
      <c r="A85" s="334" t="str">
        <f>IF(综合数据!B14=TRUE,"心电感应","")</f>
        <v>心电感应</v>
      </c>
      <c r="B85" s="388" t="s">
        <v>6237</v>
      </c>
      <c r="C85" s="399" t="str">
        <f t="shared" si="4"/>
        <v/>
      </c>
      <c r="D85" s="352" t="str">
        <f t="array" ref="D85">INDEX(C:C,SMALL(IF($C$2:$C$111&lt;&gt;"",ROW($2:$111),112),ROW(C84)))&amp;""</f>
        <v/>
      </c>
      <c r="E85" s="164"/>
    </row>
    <row r="86" spans="1:5" ht="14.4" customHeight="1" x14ac:dyDescent="0.25">
      <c r="A86" s="428" t="str">
        <f>IF(综合数据!B16=TRUE,"色彩龙赋礼","")</f>
        <v>色彩龙赋礼</v>
      </c>
      <c r="B86" s="388" t="s">
        <v>6238</v>
      </c>
      <c r="C86" s="399" t="str">
        <f t="shared" si="4"/>
        <v/>
      </c>
      <c r="D86" s="352" t="str">
        <f t="array" ref="D86">INDEX(C:C,SMALL(IF($C$2:$C$111&lt;&gt;"",ROW($2:$111),112),ROW(C85)))&amp;""</f>
        <v/>
      </c>
      <c r="E86" s="164"/>
    </row>
    <row r="87" spans="1:5" ht="14.4" customHeight="1" x14ac:dyDescent="0.25">
      <c r="A87" s="428" t="str">
        <f>IF(综合数据!B16=TRUE,"宝石龙赋礼","")</f>
        <v>宝石龙赋礼</v>
      </c>
      <c r="B87" s="388" t="s">
        <v>6239</v>
      </c>
      <c r="C87" s="399" t="str">
        <f t="shared" si="4"/>
        <v/>
      </c>
      <c r="D87" s="352" t="str">
        <f t="array" ref="D87">INDEX(C:C,SMALL(IF($C$2:$C$111&lt;&gt;"",ROW($2:$111),112),ROW(C86)))&amp;""</f>
        <v/>
      </c>
      <c r="E87" s="164"/>
    </row>
    <row r="88" spans="1:5" ht="14.4" customHeight="1" x14ac:dyDescent="0.25">
      <c r="A88" s="428" t="str">
        <f>IF(综合数据!B16=TRUE,"金属龙赋礼","")</f>
        <v>金属龙赋礼</v>
      </c>
      <c r="B88" s="388" t="s">
        <v>6240</v>
      </c>
      <c r="C88" s="399" t="str">
        <f t="shared" si="4"/>
        <v/>
      </c>
      <c r="D88" s="352" t="str">
        <f t="array" ref="D88">INDEX(C:C,SMALL(IF($C$2:$C$111&lt;&gt;"",ROW($2:$111),112),ROW(C87)))&amp;""</f>
        <v/>
      </c>
    </row>
    <row r="89" spans="1:5" ht="14.4" customHeight="1" x14ac:dyDescent="0.25">
      <c r="A89" s="429" t="str">
        <f>IF(综合数据!B17=TRUE,"斯翠海文学徒","")</f>
        <v>斯翠海文学徒</v>
      </c>
      <c r="B89" s="388" t="s">
        <v>6241</v>
      </c>
      <c r="C89" s="393" t="str">
        <f>IFERROR(IF(AND(F10=1,COUNTIF(E2:E9,A89)=0),A89,IF(OR($G$12&lt;=0,COUNTIF($E$2:$E$9,A89)),"",A89)),"")</f>
        <v/>
      </c>
      <c r="D89" s="352" t="str">
        <f t="array" ref="D89">INDEX(C:C,SMALL(IF($C$2:$C$111&lt;&gt;"",ROW($2:$111),112),ROW(C88)))&amp;""</f>
        <v/>
      </c>
    </row>
    <row r="90" spans="1:5" ht="14.4" customHeight="1" x14ac:dyDescent="0.25">
      <c r="A90" s="429" t="str">
        <f>IF(AND(综合数据!B17=TRUE,COUNTIF(E2:E9,A89)=1,主要!Y3&gt;=4),"斯翠海文苑像","")</f>
        <v/>
      </c>
      <c r="B90" s="388" t="s">
        <v>6242</v>
      </c>
      <c r="C90" s="393" t="str">
        <f t="shared" ref="C90:C111" si="5">IFERROR(IF(OR($G$12&lt;=0,COUNTIF($E$2:$E$9,A90)),"",A90),"")</f>
        <v/>
      </c>
      <c r="D90" s="352" t="str">
        <f t="array" ref="D90">INDEX(C:C,SMALL(IF($C$2:$C$111&lt;&gt;"",ROW($2:$111),112),ROW(C89)))&amp;""</f>
        <v/>
      </c>
    </row>
    <row r="91" spans="1:5" ht="14.4" customHeight="1" x14ac:dyDescent="0.25">
      <c r="A91" s="184" t="str">
        <f>IF(AND(种族数据!V3=种族数据!A44,种族数据!V4=种族数据!B44),"吸血欢悦","")</f>
        <v/>
      </c>
      <c r="B91" s="388" t="s">
        <v>6243</v>
      </c>
      <c r="C91" s="399" t="str">
        <f t="shared" si="5"/>
        <v/>
      </c>
      <c r="D91" s="352" t="str">
        <f t="array" ref="D91">INDEX(C:C,SMALL(IF($C$2:$C$111&lt;&gt;"",ROW($2:$111),112),ROW(C90)))&amp;""</f>
        <v/>
      </c>
    </row>
    <row r="92" spans="1:5" ht="14.4" customHeight="1" x14ac:dyDescent="0.25">
      <c r="A92" s="184" t="str">
        <f>IF(种族数据!V3=种族数据!A3,"英魂之刃","")</f>
        <v/>
      </c>
      <c r="B92" s="388" t="s">
        <v>6244</v>
      </c>
      <c r="C92" s="399" t="str">
        <f t="shared" si="5"/>
        <v/>
      </c>
      <c r="D92" s="352" t="str">
        <f t="array" ref="D92">INDEX(C:C,SMALL(IF($C$2:$C$111&lt;&gt;"",ROW($2:$111),112),ROW(C91)))&amp;""</f>
        <v/>
      </c>
    </row>
    <row r="93" spans="1:5" ht="14.4" customHeight="1" x14ac:dyDescent="0.25">
      <c r="A93" s="184" t="str">
        <f>IF(种族数据!V3=种族数据!A11,"天使庇护","")</f>
        <v/>
      </c>
      <c r="B93" s="388" t="s">
        <v>6245</v>
      </c>
      <c r="C93" s="399" t="str">
        <f t="shared" si="5"/>
        <v/>
      </c>
      <c r="D93" s="352" t="str">
        <f t="array" ref="D93">INDEX(C:C,SMALL(IF($C$2:$C$111&lt;&gt;"",ROW($2:$111),112),ROW(C92)))&amp;""</f>
        <v/>
      </c>
    </row>
    <row r="94" spans="1:5" ht="14.4" customHeight="1" x14ac:dyDescent="0.25">
      <c r="A94" s="184" t="str">
        <f>IF(种族数据!V4=种族数据!C33,"土巨灵之遗","")</f>
        <v/>
      </c>
      <c r="B94" s="388" t="s">
        <v>6246</v>
      </c>
      <c r="C94" s="399" t="str">
        <f t="shared" si="5"/>
        <v/>
      </c>
      <c r="D94" s="352" t="str">
        <f t="array" ref="D94">INDEX(C:C,SMALL(IF($C$2:$C$111&lt;&gt;"",ROW($2:$111),112),ROW(C93)))&amp;""</f>
        <v/>
      </c>
    </row>
    <row r="95" spans="1:5" ht="14.4" customHeight="1" x14ac:dyDescent="0.25">
      <c r="A95" s="184" t="str">
        <f>IF(种族数据!V4=种族数据!B33,"风巨灵之遗","")</f>
        <v/>
      </c>
      <c r="B95" s="388" t="s">
        <v>6247</v>
      </c>
      <c r="C95" s="399" t="str">
        <f t="shared" si="5"/>
        <v/>
      </c>
      <c r="D95" s="352" t="str">
        <f t="array" ref="D95">INDEX(C:C,SMALL(IF($C$2:$C$111&lt;&gt;"",ROW($2:$111),112),ROW(C94)))&amp;""</f>
        <v/>
      </c>
    </row>
    <row r="96" spans="1:5" ht="14.4" customHeight="1" x14ac:dyDescent="0.25">
      <c r="A96" s="184" t="str">
        <f>IF(种族数据!V4=种族数据!D33,"火巨灵之遗","")</f>
        <v/>
      </c>
      <c r="B96" s="388" t="s">
        <v>6248</v>
      </c>
      <c r="C96" s="399" t="str">
        <f t="shared" si="5"/>
        <v/>
      </c>
      <c r="D96" s="352" t="str">
        <f t="array" ref="D96">INDEX(C:C,SMALL(IF($C$2:$C$111&lt;&gt;"",ROW($2:$111),112),ROW(C95)))&amp;""</f>
        <v/>
      </c>
    </row>
    <row r="97" spans="1:4" ht="14.4" customHeight="1" x14ac:dyDescent="0.25">
      <c r="A97" s="184" t="str">
        <f>IF(种族数据!V4=种族数据!E33,"水巨灵之遗","")</f>
        <v/>
      </c>
      <c r="B97" s="388" t="s">
        <v>6249</v>
      </c>
      <c r="C97" s="399" t="str">
        <f t="shared" si="5"/>
        <v/>
      </c>
      <c r="D97" s="352" t="str">
        <f t="array" ref="D97">INDEX(C:C,SMALL(IF($C$2:$C$111&lt;&gt;"",ROW($2:$111),112),ROW(C96)))&amp;""</f>
        <v/>
      </c>
    </row>
    <row r="98" spans="1:4" ht="14.4" customHeight="1" x14ac:dyDescent="0.25">
      <c r="A98" s="184" t="str">
        <f>IF(种族数据!V3=种族数据!A16,"猫之优雅","")</f>
        <v/>
      </c>
      <c r="B98" s="388" t="s">
        <v>6250</v>
      </c>
      <c r="C98" s="399" t="str">
        <f t="shared" si="5"/>
        <v/>
      </c>
      <c r="D98" s="352" t="str">
        <f t="array" ref="D98">INDEX(C:C,SMALL(IF($C$2:$C$111&lt;&gt;"",ROW($2:$111),112),ROW(C97)))&amp;""</f>
        <v/>
      </c>
    </row>
    <row r="99" spans="1:4" ht="14.4" customHeight="1" x14ac:dyDescent="0.25">
      <c r="A99" s="184" t="str">
        <f>IF(种族数据!V3=种族数据!A12,"费尔伯格野兽魔法","")</f>
        <v/>
      </c>
      <c r="B99" s="388" t="s">
        <v>6251</v>
      </c>
      <c r="C99" s="399" t="str">
        <f t="shared" si="5"/>
        <v/>
      </c>
      <c r="D99" s="352" t="str">
        <f t="array" ref="D99">INDEX(C:C,SMALL(IF($C$2:$C$111&lt;&gt;"",ROW($2:$111),112),ROW(C98)))&amp;""</f>
        <v/>
      </c>
    </row>
    <row r="100" spans="1:4" ht="14.4" customHeight="1" x14ac:dyDescent="0.25">
      <c r="A100" s="184" t="str">
        <f>IF(AND(种族数据!V3=种族数据!A18,种族数据!V4=0),"像个老大！","")</f>
        <v/>
      </c>
      <c r="B100" s="388" t="s">
        <v>6252</v>
      </c>
      <c r="C100" s="399" t="str">
        <f t="shared" si="5"/>
        <v/>
      </c>
      <c r="D100" s="352" t="str">
        <f t="array" ref="D100">INDEX(C:C,SMALL(IF($C$2:$C$111&lt;&gt;"",ROW($2:$111),112),ROW(C99)))&amp;""</f>
        <v/>
      </c>
    </row>
    <row r="101" spans="1:4" ht="14.4" customHeight="1" x14ac:dyDescent="0.25">
      <c r="A101" s="184" t="str">
        <f>IF(种族数据!V3=种族数据!A14,"模仿大师","")</f>
        <v/>
      </c>
      <c r="B101" s="388" t="s">
        <v>6253</v>
      </c>
      <c r="C101" s="399" t="str">
        <f t="shared" si="5"/>
        <v/>
      </c>
      <c r="D101" s="352" t="str">
        <f t="array" ref="D101">INDEX(C:C,SMALL(IF($C$2:$C$111&lt;&gt;"",ROW($2:$111),112),ROW(C100)))&amp;""</f>
        <v/>
      </c>
    </row>
    <row r="102" spans="1:4" ht="14.4" customHeight="1" x14ac:dyDescent="0.25">
      <c r="A102" s="184" t="str">
        <f>IF(种族数据!V3=种族数据!A13,"山川坚韧","")</f>
        <v/>
      </c>
      <c r="B102" s="388" t="s">
        <v>6254</v>
      </c>
      <c r="C102" s="399" t="str">
        <f t="shared" si="5"/>
        <v/>
      </c>
      <c r="D102" s="352" t="str">
        <f t="array" ref="D102">INDEX(C:C,SMALL(IF($C$2:$C$111&lt;&gt;"",ROW($2:$111),112),ROW(C101)))&amp;""</f>
        <v/>
      </c>
    </row>
    <row r="103" spans="1:4" ht="14.4" customHeight="1" x14ac:dyDescent="0.25">
      <c r="A103" s="184" t="str">
        <f>IF(种族数据!V3=种族数据!A21,"蛇形","")</f>
        <v/>
      </c>
      <c r="B103" s="388" t="s">
        <v>6255</v>
      </c>
      <c r="C103" s="399" t="str">
        <f t="shared" si="5"/>
        <v/>
      </c>
      <c r="D103" s="352" t="str">
        <f t="array" ref="D103">INDEX(C:C,SMALL(IF($C$2:$C$111&lt;&gt;"",ROW($2:$111),112),ROW(C102)))&amp;""</f>
        <v/>
      </c>
    </row>
    <row r="104" spans="1:4" ht="14.4" customHeight="1" x14ac:dyDescent="0.25">
      <c r="A104" s="184" t="str">
        <f>IF(种族数据!V3=种族数据!A32,"天空守望者","")</f>
        <v/>
      </c>
      <c r="B104" s="388" t="s">
        <v>6256</v>
      </c>
      <c r="C104" s="399" t="str">
        <f t="shared" si="5"/>
        <v/>
      </c>
      <c r="D104" s="352" t="str">
        <f t="array" ref="D104">INDEX(C:C,SMALL(IF($C$2:$C$111&lt;&gt;"",ROW($2:$111),112),ROW(C103)))&amp;""</f>
        <v/>
      </c>
    </row>
    <row r="105" spans="1:4" ht="14.4" customHeight="1" x14ac:dyDescent="0.25">
      <c r="A105" s="184" t="str">
        <f>IF(种族数据!V3=种族数据!A20,"塔那罗克之血","")</f>
        <v/>
      </c>
      <c r="B105" s="426" t="s">
        <v>6257</v>
      </c>
      <c r="C105" s="399" t="str">
        <f t="shared" si="5"/>
        <v/>
      </c>
      <c r="D105" s="352" t="str">
        <f t="array" ref="D105">INDEX(C:C,SMALL(IF($C$2:$C$111&lt;&gt;"",ROW($2:$111),112),ROW(C104)))&amp;""</f>
        <v/>
      </c>
    </row>
    <row r="106" spans="1:4" ht="14.4" customHeight="1" x14ac:dyDescent="0.25">
      <c r="A106" s="184" t="str">
        <f>IF(种族数据!V3=种族数据!A34,"龟人防卫者","")</f>
        <v/>
      </c>
      <c r="B106" s="388" t="s">
        <v>6258</v>
      </c>
      <c r="C106" s="399" t="str">
        <f t="shared" si="5"/>
        <v/>
      </c>
      <c r="D106" s="352" t="str">
        <f t="array" ref="D106">INDEX(C:C,SMALL(IF($C$2:$C$111&lt;&gt;"",ROW($2:$111),112),ROW(C105)))&amp;""</f>
        <v/>
      </c>
    </row>
    <row r="107" spans="1:4" ht="14.4" customHeight="1" x14ac:dyDescent="0.25">
      <c r="A107" s="184" t="str">
        <f>IF(种族数据!V3=种族数据!A15,"塞斯伊奈克之触","")</f>
        <v/>
      </c>
      <c r="B107" s="388" t="s">
        <v>6259</v>
      </c>
      <c r="C107" s="399" t="str">
        <f t="shared" si="5"/>
        <v/>
      </c>
      <c r="D107" s="352" t="str">
        <f t="array" ref="D107">INDEX(C:C,SMALL(IF($C$2:$C$111&lt;&gt;"",ROW($2:$111),112),ROW(C106)))&amp;""</f>
        <v/>
      </c>
    </row>
    <row r="108" spans="1:4" ht="14.4" customHeight="1" x14ac:dyDescent="0.25">
      <c r="A108" s="184" t="str">
        <f>IF(种族数据!V3=种族数据!A17,"梭螺鱼人深海魔法","")</f>
        <v/>
      </c>
      <c r="B108" s="388" t="s">
        <v>6260</v>
      </c>
      <c r="C108" s="399" t="str">
        <f t="shared" si="5"/>
        <v/>
      </c>
      <c r="D108" s="352" t="str">
        <f t="array" ref="D108">INDEX(C:C,SMALL(IF($C$2:$C$111&lt;&gt;"",ROW($2:$111),112),ROW(C107)))&amp;""</f>
        <v/>
      </c>
    </row>
    <row r="109" spans="1:4" ht="14.4" customHeight="1" x14ac:dyDescent="0.25">
      <c r="A109" s="184" t="str">
        <f>IF(种族数据!V4=种族数据!C18,"军团拥护","")</f>
        <v/>
      </c>
      <c r="B109" s="388" t="s">
        <v>6261</v>
      </c>
      <c r="C109" s="399" t="str">
        <f t="shared" si="5"/>
        <v/>
      </c>
      <c r="D109" s="352" t="str">
        <f t="array" ref="D109">INDEX(C:C,SMALL(IF($C$2:$C$111&lt;&gt;"",ROW($2:$111),112),ROW(C108)))&amp;""</f>
        <v/>
      </c>
    </row>
    <row r="110" spans="1:4" ht="14.4" customHeight="1" x14ac:dyDescent="0.25">
      <c r="A110" s="184" t="str">
        <f>IF(种族数据!V3=种族数据!A19,"鹗德之翼","")</f>
        <v/>
      </c>
      <c r="B110" s="388" t="s">
        <v>6262</v>
      </c>
      <c r="C110" s="399" t="str">
        <f t="shared" si="5"/>
        <v/>
      </c>
      <c r="D110" s="352" t="str">
        <f t="array" ref="D110">INDEX(C:C,SMALL(IF($C$2:$C$111&lt;&gt;"",ROW($2:$111),112),ROW(C109)))&amp;""</f>
        <v/>
      </c>
    </row>
    <row r="111" spans="1:4" ht="14.4" customHeight="1" x14ac:dyDescent="0.25">
      <c r="A111" s="191" t="str">
        <f>IF(种族数据!V4=种族数据!B18,"良好休息","")</f>
        <v/>
      </c>
      <c r="B111" s="430" t="s">
        <v>6263</v>
      </c>
      <c r="C111" s="431" t="str">
        <f t="shared" si="5"/>
        <v/>
      </c>
      <c r="D111" s="398" t="str">
        <f t="array" ref="D111">INDEX(C:C,SMALL(IF($C$2:$C$111&lt;&gt;"",ROW($2:$111),112),ROW(C110)))&amp;""</f>
        <v/>
      </c>
    </row>
  </sheetData>
  <sheetProtection sheet="1" objects="1" scenarios="1"/>
  <mergeCells count="2">
    <mergeCell ref="C1:D1"/>
    <mergeCell ref="E1:G1"/>
  </mergeCells>
  <phoneticPr fontId="8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V517"/>
  <sheetViews>
    <sheetView topLeftCell="M1" zoomScale="75" workbookViewId="0">
      <pane ySplit="1" topLeftCell="A481" activePane="bottomLeft" state="frozen"/>
      <selection pane="bottomLeft" activeCell="AD516" sqref="AD516"/>
    </sheetView>
  </sheetViews>
  <sheetFormatPr defaultColWidth="8.90625" defaultRowHeight="14.4" customHeight="1" x14ac:dyDescent="0.25"/>
  <cols>
    <col min="1" max="1" width="9" style="180" customWidth="1"/>
    <col min="2" max="2" width="8.90625" style="180"/>
    <col min="3" max="27" width="8.90625" style="180" customWidth="1"/>
    <col min="28" max="28" width="14.90625" style="180" customWidth="1"/>
    <col min="29" max="31" width="8.90625" style="180" customWidth="1"/>
    <col min="32" max="34" width="9" style="180" customWidth="1"/>
    <col min="35" max="35" width="8.90625" style="180" customWidth="1"/>
    <col min="36" max="36" width="9" style="180" customWidth="1"/>
    <col min="37" max="40" width="8.90625" style="180" customWidth="1"/>
    <col min="41" max="41" width="9" style="180" customWidth="1"/>
    <col min="42" max="42" width="8.90625" style="180" customWidth="1"/>
    <col min="43" max="44" width="11.7265625" style="180" customWidth="1"/>
    <col min="45" max="46" width="8.90625" style="180" customWidth="1"/>
    <col min="47" max="47" width="9" style="180" customWidth="1"/>
    <col min="48" max="48" width="10.7265625" style="180" customWidth="1"/>
    <col min="49" max="16384" width="8.90625" style="180"/>
  </cols>
  <sheetData>
    <row r="1" spans="1:48" ht="14.4" customHeight="1" x14ac:dyDescent="0.25">
      <c r="A1" s="244" t="s">
        <v>596</v>
      </c>
      <c r="B1" s="277" t="s">
        <v>6264</v>
      </c>
      <c r="C1" s="277" t="s">
        <v>6265</v>
      </c>
      <c r="D1" s="277" t="s">
        <v>5691</v>
      </c>
      <c r="E1" s="277" t="s">
        <v>6266</v>
      </c>
      <c r="F1" s="277" t="s">
        <v>222</v>
      </c>
      <c r="G1" s="277" t="s">
        <v>220</v>
      </c>
      <c r="H1" s="1049" t="s">
        <v>224</v>
      </c>
      <c r="I1" s="1049"/>
      <c r="J1" s="1049"/>
      <c r="K1" s="277" t="s">
        <v>6267</v>
      </c>
      <c r="L1" s="277" t="s">
        <v>6268</v>
      </c>
      <c r="M1" s="277" t="s">
        <v>213</v>
      </c>
      <c r="N1" s="277" t="s">
        <v>223</v>
      </c>
      <c r="O1" s="277" t="s">
        <v>6269</v>
      </c>
      <c r="P1" s="277" t="s">
        <v>6270</v>
      </c>
      <c r="Q1" s="277" t="s">
        <v>6271</v>
      </c>
      <c r="R1" s="277" t="s">
        <v>165</v>
      </c>
      <c r="S1" s="338"/>
      <c r="T1" s="338"/>
      <c r="U1" s="338"/>
      <c r="V1" s="338"/>
      <c r="W1" s="338"/>
      <c r="X1" s="338"/>
      <c r="Y1" s="338"/>
      <c r="Z1" s="338"/>
      <c r="AA1" s="374"/>
      <c r="AB1" s="244" t="s">
        <v>278</v>
      </c>
      <c r="AC1" s="373" t="s">
        <v>6272</v>
      </c>
      <c r="AD1" s="1049" t="s">
        <v>6273</v>
      </c>
      <c r="AE1" s="1048"/>
      <c r="AF1" s="1049" t="s">
        <v>6274</v>
      </c>
      <c r="AG1" s="1049"/>
      <c r="AH1" s="1052" t="s">
        <v>6270</v>
      </c>
      <c r="AI1" s="1064"/>
      <c r="AJ1" s="244" t="s">
        <v>272</v>
      </c>
      <c r="AK1" s="277" t="s">
        <v>109</v>
      </c>
      <c r="AL1" s="277" t="s">
        <v>3643</v>
      </c>
      <c r="AM1" s="245" t="s">
        <v>1414</v>
      </c>
      <c r="AN1" s="244" t="s">
        <v>6275</v>
      </c>
      <c r="AO1" s="338"/>
      <c r="AP1" s="277" t="s">
        <v>218</v>
      </c>
      <c r="AQ1" s="277" t="s">
        <v>213</v>
      </c>
      <c r="AR1" s="277" t="s">
        <v>5691</v>
      </c>
      <c r="AS1" s="277" t="s">
        <v>3643</v>
      </c>
      <c r="AT1" s="245" t="s">
        <v>1414</v>
      </c>
      <c r="AU1" s="1047" t="s">
        <v>164</v>
      </c>
      <c r="AV1" s="1048"/>
    </row>
    <row r="2" spans="1:48" ht="14.4" customHeight="1" x14ac:dyDescent="0.25">
      <c r="A2" s="250"/>
      <c r="B2" s="119"/>
      <c r="C2" s="119"/>
      <c r="D2" s="119"/>
      <c r="E2" s="119"/>
      <c r="F2" s="119"/>
      <c r="G2" s="119"/>
      <c r="H2" s="119" t="s">
        <v>6276</v>
      </c>
      <c r="I2" s="119" t="s">
        <v>6277</v>
      </c>
      <c r="J2" s="119" t="s">
        <v>6278</v>
      </c>
      <c r="K2" s="119"/>
      <c r="L2" s="119"/>
      <c r="M2" s="119"/>
      <c r="N2" s="119"/>
      <c r="O2" s="119"/>
      <c r="P2" s="119"/>
      <c r="Q2" s="119"/>
      <c r="R2" s="119" t="s">
        <v>1471</v>
      </c>
      <c r="S2" s="119" t="s">
        <v>1501</v>
      </c>
      <c r="T2" s="119" t="s">
        <v>1531</v>
      </c>
      <c r="U2" s="119" t="s">
        <v>1614</v>
      </c>
      <c r="V2" s="119" t="s">
        <v>1623</v>
      </c>
      <c r="W2" s="119" t="s">
        <v>1642</v>
      </c>
      <c r="X2" s="119" t="s">
        <v>1655</v>
      </c>
      <c r="Y2" s="119" t="s">
        <v>1650</v>
      </c>
      <c r="Z2" s="119" t="s">
        <v>1668</v>
      </c>
      <c r="AA2" s="120" t="s">
        <v>6279</v>
      </c>
      <c r="AB2" s="250" t="str">
        <f t="array" ref="AB2">INDEX(B:B,SMALL(IF($Q$3:$Q$517&lt;&gt;"",ROW($3:$517),518),ROW(B1)))&amp;""</f>
        <v>酸液飞溅</v>
      </c>
      <c r="AC2" s="394" t="str">
        <f>IFERROR(IF(AND($Q3&lt;&gt;"",IF(法术查询!$J$4="",1,INDEX($R3:$Z3,1,VLOOKUP(法术查询!$J$4,$AF$2:$AG$10,2,0)))&lt;&gt;"",IF(法术查询!$J$5="",1,$P3=VLOOKUP(法术查询!$J$5,$AH$2:$AI$11,2,0)),IF(法术查询!$J$6="",1,IF(法术查询!$J$6=$E3,1,0)),IF(法术查询!$J$7="",1,SEARCH(法术查询!$J$7,$F3)),IF(法术查询!$J$8="",1,SEARCH(法术查询!$J$8,G3)),IF(法术查询!$J$9="",1,SEARCH(法术查询!$J$9,N3)),IF(法术查询!$J$10="",1,IF(法术查询!$J$10=$AF$11,IF($M3=1,1,0),IF($M3="",1,0))),IF(法术查询!$J$11="",1,IF(法术查询!$J$11=$AF$11,IF($D3=1,1,0),IF($D3="",1,0))),IF(法术查询!$J$12="",1,SEARCH(法术查询!$J$12,$B3&amp;$C3&amp;$O3)),IF(法术查询!$J$13="",1,SEARCH(法术查询!$J$13,$B3&amp;$C3&amp;$O3)),IF(法术查询!$J$14="",1,SEARCH(法术查询!$J$14,$B3&amp;$C3&amp;$O3)),IF(法术查询!$J$16="",1,IF(法术查询!$J$16=$AF$11,IF($H3=1,1,0),IF($H3="",1,0))),IF(法术查询!$J$17="",1,IF(法术查询!$J$17=$AF$11,IF($I3=1,1,0),IF($I3="",1,0))),IF(法术查询!$J$18="",1,IF(法术查询!$J$18=$AF$11,IF($J3&lt;&gt;"",1,0),IF($J3="",1,0))),IF(法术查询!$J$19="",1,IF(法术查询!$J$19=$AF$11,IF($L3&lt;&gt;"",1,0),IF($L3="",1,0)))),$B3,""),"")</f>
        <v/>
      </c>
      <c r="AD2" s="180" t="str">
        <f t="array" ref="AD2">INDEX(AC:AC,SMALL(IF($AC$2:$AC$516&lt;&gt;"",ROW($2:$516),517),ROW(AC1)))&amp;""</f>
        <v>防活物护罩</v>
      </c>
      <c r="AE2" s="198" t="str">
        <f>IF(AD2="","",VLOOKUP(AD2,B:C,2,0))</f>
        <v>Antilife Shell</v>
      </c>
      <c r="AF2" s="119" t="s">
        <v>1471</v>
      </c>
      <c r="AG2" s="180">
        <v>1</v>
      </c>
      <c r="AH2" s="118" t="s">
        <v>855</v>
      </c>
      <c r="AI2" s="198">
        <v>0</v>
      </c>
      <c r="AJ2" s="250">
        <v>1</v>
      </c>
      <c r="AK2" s="180" t="str">
        <f>IF(法术书!V8="","",法术书!V8)</f>
        <v/>
      </c>
      <c r="AL2" s="119" t="str">
        <f t="array" ref="AL2">IFERROR(INDEX(AK$1:AK$301,SMALL(IF(MATCH(AK2,AK$1:AK$301,0)=ROW(AK2),ROW(AK$1:AK$301),999),ROW(AK2))),"")</f>
        <v/>
      </c>
      <c r="AM2" s="120" t="str">
        <f t="array" ref="AM2">INDEX(AL:AL,SMALL(IF($AL$2:$AL$301&lt;&gt;"",ROW($2:$301),302),ROW(AL1)))&amp;""</f>
        <v/>
      </c>
      <c r="AN2" s="250" t="str">
        <f>IF(主要!C66="","",主要!C66)</f>
        <v/>
      </c>
      <c r="AO2" s="180" t="str">
        <f>IF($AN2="","",COUNTIF($AN$2:$AN$46,$AN2))</f>
        <v/>
      </c>
      <c r="AP2" s="180" t="str">
        <f t="shared" ref="AP2:AP46" si="0">IFERROR(VLOOKUP(AN2,B:P,15,0),"")</f>
        <v/>
      </c>
      <c r="AQ2" s="180" t="e">
        <f t="shared" ref="AQ2:AQ46" si="1">VLOOKUP(AN2,B:M,12,0)</f>
        <v>#N/A</v>
      </c>
      <c r="AR2" s="180" t="e">
        <f t="shared" ref="AR2:AR46" si="2">VLOOKUP(AN2,B:D,3,0)</f>
        <v>#N/A</v>
      </c>
      <c r="AS2" s="180" t="str">
        <f t="array" ref="AS2">IFERROR(INDEX(AN$1:AN$46,SMALL(IF(MATCH(AN2,AN$1:AN$46,0)=ROW(AN2),ROW(AN$1:AN$46),999),ROW(AN2))),"")</f>
        <v/>
      </c>
      <c r="AT2" s="198" t="str">
        <f t="array" ref="AT2">INDEX(AS:AS,SMALL(IF($AS$2:$AS$46&lt;&gt;"",ROW($2:$46),47),ROW(AS1)))&amp;""</f>
        <v/>
      </c>
      <c r="AU2" s="118" t="s">
        <v>1501</v>
      </c>
      <c r="AV2" s="198">
        <f>MAX(主要!R18+职业数据!AG4,1)</f>
        <v>3</v>
      </c>
    </row>
    <row r="3" spans="1:48" ht="14.4" customHeight="1" x14ac:dyDescent="0.25">
      <c r="A3" s="250">
        <v>1</v>
      </c>
      <c r="B3" s="119" t="s">
        <v>221</v>
      </c>
      <c r="C3" s="119" t="s">
        <v>6280</v>
      </c>
      <c r="D3" s="119"/>
      <c r="E3" s="287" t="s">
        <v>6281</v>
      </c>
      <c r="F3" s="119" t="s">
        <v>6282</v>
      </c>
      <c r="G3" s="119" t="s">
        <v>6283</v>
      </c>
      <c r="H3" s="180">
        <v>1</v>
      </c>
      <c r="I3" s="180">
        <v>1</v>
      </c>
      <c r="L3" s="119"/>
      <c r="N3" s="119" t="s">
        <v>6284</v>
      </c>
      <c r="O3" s="119" t="s">
        <v>6285</v>
      </c>
      <c r="P3" s="119">
        <v>0</v>
      </c>
      <c r="Q3" s="119" t="s">
        <v>242</v>
      </c>
      <c r="W3" s="180">
        <v>1</v>
      </c>
      <c r="X3" s="180">
        <v>1</v>
      </c>
      <c r="Z3" s="180">
        <v>9</v>
      </c>
      <c r="AA3" s="120" t="s">
        <v>6286</v>
      </c>
      <c r="AB3" s="250" t="str">
        <f t="array" ref="AB3">INDEX(B:B,SMALL(IF($Q$3:$Q$517&lt;&gt;"",ROW($3:$517),518),ROW(B2)))&amp;""</f>
        <v>剑刃防护</v>
      </c>
      <c r="AC3" s="394" t="str">
        <f>IFERROR(IF(AND($Q4&lt;&gt;"",IF(法术查询!$J$4="",1,INDEX($R4:$Z4,1,VLOOKUP(法术查询!$J$4,$AF$2:$AG$10,2,0)))&lt;&gt;"",IF(法术查询!$J$5="",1,$P4=VLOOKUP(法术查询!$J$5,$AH$2:$AI$11,2,0)),IF(法术查询!$J$6="",1,IF(法术查询!$J$6=$E4,1,0)),IF(法术查询!$J$7="",1,SEARCH(法术查询!$J$7,$F4)),IF(法术查询!$J$8="",1,SEARCH(法术查询!$J$8,G4)),IF(法术查询!$J$9="",1,SEARCH(法术查询!$J$9,N4)),IF(法术查询!$J$10="",1,IF(法术查询!$J$10=$AF$11,IF($M4=1,1,0),IF($M4="",1,0))),IF(法术查询!$J$11="",1,IF(法术查询!$J$11=$AF$11,IF($D4=1,1,0),IF($D4="",1,0))),IF(法术查询!$J$12="",1,SEARCH(法术查询!$J$12,$B4&amp;$C4&amp;$O4)),IF(法术查询!$J$13="",1,SEARCH(法术查询!$J$13,$B4&amp;$C4&amp;$O4)),IF(法术查询!$J$14="",1,SEARCH(法术查询!$J$14,$B4&amp;$C4&amp;$O4)),IF(法术查询!$J$16="",1,IF(法术查询!$J$16=$AF$11,IF($H4=1,1,0),IF($H4="",1,0))),IF(法术查询!$J$17="",1,IF(法术查询!$J$17=$AF$11,IF($I4=1,1,0),IF($I4="",1,0))),IF(法术查询!$J$18="",1,IF(法术查询!$J$18=$AF$11,IF($J4&lt;&gt;"",1,0),IF($J4="",1,0))),IF(法术查询!$J$19="",1,IF(法术查询!$J$19=$AF$11,IF($L4&lt;&gt;"",1,0),IF($L4="",1,0)))),$B4,""),"")</f>
        <v/>
      </c>
      <c r="AD3" s="180" t="str">
        <f t="array" ref="AD3">INDEX(AC:AC,SMALL(IF($AC$2:$AC$516&lt;&gt;"",ROW($2:$516),517),ROW(AC2)))&amp;""</f>
        <v>启蒙术</v>
      </c>
      <c r="AE3" s="198" t="str">
        <f t="shared" ref="AE3:AE66" si="3">IF(AD3="","",VLOOKUP(AD3,B:C,2,0))</f>
        <v>Awaken</v>
      </c>
      <c r="AF3" s="119" t="s">
        <v>1501</v>
      </c>
      <c r="AG3" s="180">
        <v>2</v>
      </c>
      <c r="AH3" s="118" t="s">
        <v>6287</v>
      </c>
      <c r="AI3" s="198">
        <v>1</v>
      </c>
      <c r="AJ3" s="250">
        <v>2</v>
      </c>
      <c r="AK3" s="180" t="str">
        <f>IF(法术书!V9="","",法术书!V9)</f>
        <v/>
      </c>
      <c r="AL3" s="119" t="str">
        <f t="array" ref="AL3">IFERROR(INDEX(AK$1:AK$301,SMALL(IF(MATCH(AK3,AK$1:AK$301,0)=ROW(AK3),ROW(AK$1:AK$301),999),ROW(AK3))),"")</f>
        <v/>
      </c>
      <c r="AM3" s="120" t="str">
        <f t="array" ref="AM3">INDEX(AL:AL,SMALL(IF($AL$2:$AL$301&lt;&gt;"",ROW($2:$301),302),ROW(AL2)))&amp;""</f>
        <v/>
      </c>
      <c r="AN3" s="250" t="str">
        <f>IF(主要!C67="","",主要!C67)</f>
        <v/>
      </c>
      <c r="AO3" s="180" t="str">
        <f t="shared" ref="AO3:AO46" si="4">IF($AN3="","",COUNTIF($AN$2:$AN$46,$AN3))</f>
        <v/>
      </c>
      <c r="AP3" s="180" t="str">
        <f t="shared" si="0"/>
        <v/>
      </c>
      <c r="AQ3" s="180" t="e">
        <f t="shared" si="1"/>
        <v>#N/A</v>
      </c>
      <c r="AR3" s="180" t="e">
        <f t="shared" si="2"/>
        <v>#N/A</v>
      </c>
      <c r="AS3" s="180" t="str">
        <f t="array" ref="AS3">IFERROR(INDEX(AN$1:AN$46,SMALL(IF(MATCH(AN3,AN$1:AN$46,0)=ROW(AN3),ROW(AN$1:AN$46),999),ROW(AN3))),"")</f>
        <v/>
      </c>
      <c r="AT3" s="198" t="str">
        <f t="array" ref="AT3">INDEX(AS:AS,SMALL(IF($AS$2:$AS$46&lt;&gt;"",ROW($2:$46),47),ROW(AS2)))&amp;""</f>
        <v/>
      </c>
      <c r="AU3" s="118" t="s">
        <v>1531</v>
      </c>
      <c r="AV3" s="198">
        <f>MAX(主要!R18+职业数据!AG5,1)</f>
        <v>3</v>
      </c>
    </row>
    <row r="4" spans="1:48" ht="14.4" customHeight="1" x14ac:dyDescent="0.25">
      <c r="A4" s="250">
        <v>2</v>
      </c>
      <c r="B4" s="119" t="s">
        <v>6288</v>
      </c>
      <c r="C4" s="119" t="s">
        <v>6289</v>
      </c>
      <c r="D4" s="119"/>
      <c r="E4" s="432" t="s">
        <v>6290</v>
      </c>
      <c r="F4" s="119" t="s">
        <v>6282</v>
      </c>
      <c r="G4" s="119" t="s">
        <v>6291</v>
      </c>
      <c r="H4" s="180">
        <v>1</v>
      </c>
      <c r="I4" s="180">
        <v>1</v>
      </c>
      <c r="N4" s="119" t="s">
        <v>6292</v>
      </c>
      <c r="O4" s="119" t="s">
        <v>6293</v>
      </c>
      <c r="P4" s="119">
        <v>0</v>
      </c>
      <c r="Q4" s="119" t="s">
        <v>242</v>
      </c>
      <c r="R4" s="180">
        <v>1</v>
      </c>
      <c r="W4" s="180">
        <v>1</v>
      </c>
      <c r="X4" s="180">
        <v>1</v>
      </c>
      <c r="Y4" s="180">
        <v>1</v>
      </c>
      <c r="AA4" s="120" t="s">
        <v>796</v>
      </c>
      <c r="AB4" s="250" t="str">
        <f t="array" ref="AB4">INDEX(B:B,SMALL(IF($Q$3:$Q$517&lt;&gt;"",ROW($3:$517),518),ROW(B3)))&amp;""</f>
        <v>冻寒之触</v>
      </c>
      <c r="AC4" s="394" t="str">
        <f>IFERROR(IF(AND($Q5&lt;&gt;"",IF(法术查询!$J$4="",1,INDEX($R5:$Z5,1,VLOOKUP(法术查询!$J$4,$AF$2:$AG$10,2,0)))&lt;&gt;"",IF(法术查询!$J$5="",1,$P5=VLOOKUP(法术查询!$J$5,$AH$2:$AI$11,2,0)),IF(法术查询!$J$6="",1,IF(法术查询!$J$6=$E5,1,0)),IF(法术查询!$J$7="",1,SEARCH(法术查询!$J$7,$F5)),IF(法术查询!$J$8="",1,SEARCH(法术查询!$J$8,G5)),IF(法术查询!$J$9="",1,SEARCH(法术查询!$J$9,N5)),IF(法术查询!$J$10="",1,IF(法术查询!$J$10=$AF$11,IF($M5=1,1,0),IF($M5="",1,0))),IF(法术查询!$J$11="",1,IF(法术查询!$J$11=$AF$11,IF($D5=1,1,0),IF($D5="",1,0))),IF(法术查询!$J$12="",1,SEARCH(法术查询!$J$12,$B5&amp;$C5&amp;$O5)),IF(法术查询!$J$13="",1,SEARCH(法术查询!$J$13,$B5&amp;$C5&amp;$O5)),IF(法术查询!$J$14="",1,SEARCH(法术查询!$J$14,$B5&amp;$C5&amp;$O5)),IF(法术查询!$J$16="",1,IF(法术查询!$J$16=$AF$11,IF($H5=1,1,0),IF($H5="",1,0))),IF(法术查询!$J$17="",1,IF(法术查询!$J$17=$AF$11,IF($I5=1,1,0),IF($I5="",1,0))),IF(法术查询!$J$18="",1,IF(法术查询!$J$18=$AF$11,IF($J5&lt;&gt;"",1,0),IF($J5="",1,0))),IF(法术查询!$J$19="",1,IF(法术查询!$J$19=$AF$11,IF($L5&lt;&gt;"",1,0),IF($L5="",1,0)))),$B5,""),"")</f>
        <v/>
      </c>
      <c r="AD4" s="180" t="str">
        <f t="array" ref="AD4">INDEX(AC:AC,SMALL(IF($AC$2:$AC$516&lt;&gt;"",ROW($2:$516),517),ROW(AC3)))&amp;""</f>
        <v>问道自然</v>
      </c>
      <c r="AE4" s="198" t="str">
        <f t="shared" si="3"/>
        <v>Commune With Nature</v>
      </c>
      <c r="AF4" s="119" t="s">
        <v>1531</v>
      </c>
      <c r="AG4" s="180">
        <v>3</v>
      </c>
      <c r="AH4" s="118" t="s">
        <v>6294</v>
      </c>
      <c r="AI4" s="198">
        <v>2</v>
      </c>
      <c r="AJ4" s="250">
        <v>3</v>
      </c>
      <c r="AK4" s="180" t="str">
        <f>IF(法术书!V10="","",法术书!V10)</f>
        <v/>
      </c>
      <c r="AL4" s="119" t="str">
        <f t="array" ref="AL4">IFERROR(INDEX(AK$1:AK$301,SMALL(IF(MATCH(AK4,AK$1:AK$301,0)=ROW(AK4),ROW(AK$1:AK$301),999),ROW(AK4))),"")</f>
        <v/>
      </c>
      <c r="AM4" s="120" t="str">
        <f t="array" ref="AM4">INDEX(AL:AL,SMALL(IF($AL$2:$AL$301&lt;&gt;"",ROW($2:$301),302),ROW(AL3)))&amp;""</f>
        <v/>
      </c>
      <c r="AN4" s="250" t="str">
        <f>IF(主要!C68="","",主要!C68)</f>
        <v/>
      </c>
      <c r="AO4" s="180" t="str">
        <f t="shared" si="4"/>
        <v/>
      </c>
      <c r="AP4" s="180" t="str">
        <f t="shared" si="0"/>
        <v/>
      </c>
      <c r="AQ4" s="180" t="e">
        <f t="shared" si="1"/>
        <v>#N/A</v>
      </c>
      <c r="AR4" s="180" t="e">
        <f t="shared" si="2"/>
        <v>#N/A</v>
      </c>
      <c r="AS4" s="180" t="str">
        <f t="array" ref="AS4">IFERROR(INDEX(AN$1:AN$46,SMALL(IF(MATCH(AN4,AN$1:AN$46,0)=ROW(AN4),ROW(AN$1:AN$46),999),ROW(AN4))),"")</f>
        <v/>
      </c>
      <c r="AT4" s="198" t="str">
        <f t="array" ref="AT4">INDEX(AS:AS,SMALL(IF($AS$2:$AS$46&lt;&gt;"",ROW($2:$46),47),ROW(AS3)))&amp;""</f>
        <v/>
      </c>
      <c r="AU4" s="118" t="s">
        <v>1614</v>
      </c>
      <c r="AV4" s="198">
        <f>MAX(主要!R19+ROUNDDOWN(职业数据!AG8/2, ),1)</f>
        <v>1</v>
      </c>
    </row>
    <row r="5" spans="1:48" ht="14.4" customHeight="1" x14ac:dyDescent="0.25">
      <c r="A5" s="250">
        <v>3</v>
      </c>
      <c r="B5" s="119" t="s">
        <v>6295</v>
      </c>
      <c r="C5" s="119" t="s">
        <v>6296</v>
      </c>
      <c r="D5" s="119"/>
      <c r="E5" s="433" t="s">
        <v>6297</v>
      </c>
      <c r="F5" s="119" t="s">
        <v>6282</v>
      </c>
      <c r="G5" s="180" t="s">
        <v>6298</v>
      </c>
      <c r="H5" s="180">
        <v>1</v>
      </c>
      <c r="I5" s="180">
        <v>1</v>
      </c>
      <c r="N5" s="180" t="s">
        <v>6292</v>
      </c>
      <c r="O5" s="119" t="s">
        <v>6299</v>
      </c>
      <c r="P5" s="119">
        <v>0</v>
      </c>
      <c r="Q5" s="119" t="s">
        <v>242</v>
      </c>
      <c r="W5" s="180">
        <v>1</v>
      </c>
      <c r="X5" s="180">
        <v>1</v>
      </c>
      <c r="Y5" s="180">
        <v>1</v>
      </c>
      <c r="AA5" s="120" t="s">
        <v>6300</v>
      </c>
      <c r="AB5" s="250" t="str">
        <f t="array" ref="AB5">INDEX(B:B,SMALL(IF($Q$3:$Q$517&lt;&gt;"",ROW($3:$517),518),ROW(B4)))&amp;""</f>
        <v>舞光术</v>
      </c>
      <c r="AC5" s="394" t="str">
        <f>IFERROR(IF(AND($Q6&lt;&gt;"",IF(法术查询!$J$4="",1,INDEX($R6:$Z6,1,VLOOKUP(法术查询!$J$4,$AF$2:$AG$10,2,0)))&lt;&gt;"",IF(法术查询!$J$5="",1,$P6=VLOOKUP(法术查询!$J$5,$AH$2:$AI$11,2,0)),IF(法术查询!$J$6="",1,IF(法术查询!$J$6=$E6,1,0)),IF(法术查询!$J$7="",1,SEARCH(法术查询!$J$7,$F6)),IF(法术查询!$J$8="",1,SEARCH(法术查询!$J$8,G6)),IF(法术查询!$J$9="",1,SEARCH(法术查询!$J$9,N6)),IF(法术查询!$J$10="",1,IF(法术查询!$J$10=$AF$11,IF($M6=1,1,0),IF($M6="",1,0))),IF(法术查询!$J$11="",1,IF(法术查询!$J$11=$AF$11,IF($D6=1,1,0),IF($D6="",1,0))),IF(法术查询!$J$12="",1,SEARCH(法术查询!$J$12,$B6&amp;$C6&amp;$O6)),IF(法术查询!$J$13="",1,SEARCH(法术查询!$J$13,$B6&amp;$C6&amp;$O6)),IF(法术查询!$J$14="",1,SEARCH(法术查询!$J$14,$B6&amp;$C6&amp;$O6)),IF(法术查询!$J$16="",1,IF(法术查询!$J$16=$AF$11,IF($H6=1,1,0),IF($H6="",1,0))),IF(法术查询!$J$17="",1,IF(法术查询!$J$17=$AF$11,IF($I6=1,1,0),IF($I6="",1,0))),IF(法术查询!$J$18="",1,IF(法术查询!$J$18=$AF$11,IF($J6&lt;&gt;"",1,0),IF($J6="",1,0))),IF(法术查询!$J$19="",1,IF(法术查询!$J$19=$AF$11,IF($L6&lt;&gt;"",1,0),IF($L6="",1,0)))),$B6,""),"")</f>
        <v/>
      </c>
      <c r="AD5" s="180" t="str">
        <f t="array" ref="AD5">INDEX(AC:AC,SMALL(IF($AC$2:$AC$516&lt;&gt;"",ROW($2:$516),517),ROW(AC4)))&amp;""</f>
        <v>寒冰锥</v>
      </c>
      <c r="AE5" s="198" t="str">
        <f t="shared" si="3"/>
        <v>Cone Of Cold</v>
      </c>
      <c r="AF5" s="119" t="s">
        <v>1614</v>
      </c>
      <c r="AG5" s="180">
        <v>4</v>
      </c>
      <c r="AH5" s="118" t="s">
        <v>6301</v>
      </c>
      <c r="AI5" s="198">
        <v>3</v>
      </c>
      <c r="AJ5" s="250">
        <v>4</v>
      </c>
      <c r="AK5" s="180" t="str">
        <f>IF(法术书!V11="","",法术书!V11)</f>
        <v/>
      </c>
      <c r="AL5" s="119" t="str">
        <f t="array" ref="AL5">IFERROR(INDEX(AK$1:AK$301,SMALL(IF(MATCH(AK5,AK$1:AK$301,0)=ROW(AK5),ROW(AK$1:AK$301),999),ROW(AK5))),"")</f>
        <v/>
      </c>
      <c r="AM5" s="120" t="str">
        <f t="array" ref="AM5">INDEX(AL:AL,SMALL(IF($AL$2:$AL$301&lt;&gt;"",ROW($2:$301),302),ROW(AL4)))&amp;""</f>
        <v/>
      </c>
      <c r="AN5" s="250" t="str">
        <f>IF(主要!C69="","",主要!C69)</f>
        <v/>
      </c>
      <c r="AO5" s="180" t="str">
        <f t="shared" si="4"/>
        <v/>
      </c>
      <c r="AP5" s="180" t="str">
        <f t="shared" si="0"/>
        <v/>
      </c>
      <c r="AQ5" s="180" t="e">
        <f t="shared" si="1"/>
        <v>#N/A</v>
      </c>
      <c r="AR5" s="180" t="e">
        <f t="shared" si="2"/>
        <v>#N/A</v>
      </c>
      <c r="AS5" s="180" t="str">
        <f t="array" ref="AS5">IFERROR(INDEX(AN$1:AN$46,SMALL(IF(MATCH(AN5,AN$1:AN$46,0)=ROW(AN5),ROW(AN$1:AN$46),999),ROW(AN5))),"")</f>
        <v/>
      </c>
      <c r="AT5" s="198" t="str">
        <f t="array" ref="AT5">INDEX(AS:AS,SMALL(IF($AS$2:$AS$46&lt;&gt;"",ROW($2:$46),47),ROW(AS4)))&amp;""</f>
        <v/>
      </c>
      <c r="AU5" s="118" t="s">
        <v>1655</v>
      </c>
      <c r="AV5" s="198">
        <f>MAX(主要!R17+职业数据!AG13,1)</f>
        <v>4</v>
      </c>
    </row>
    <row r="6" spans="1:48" ht="14.4" customHeight="1" x14ac:dyDescent="0.25">
      <c r="A6" s="250">
        <v>4</v>
      </c>
      <c r="B6" s="119" t="s">
        <v>6302</v>
      </c>
      <c r="C6" s="119" t="s">
        <v>6303</v>
      </c>
      <c r="D6" s="119"/>
      <c r="E6" s="434" t="s">
        <v>6304</v>
      </c>
      <c r="F6" s="180" t="s">
        <v>6282</v>
      </c>
      <c r="G6" s="180" t="s">
        <v>6298</v>
      </c>
      <c r="H6" s="180">
        <v>1</v>
      </c>
      <c r="I6" s="180">
        <v>1</v>
      </c>
      <c r="J6" s="180">
        <v>1</v>
      </c>
      <c r="K6" s="119" t="s">
        <v>6305</v>
      </c>
      <c r="L6" s="119"/>
      <c r="M6" s="180">
        <v>1</v>
      </c>
      <c r="N6" s="180" t="s">
        <v>6306</v>
      </c>
      <c r="O6" s="119" t="s">
        <v>6307</v>
      </c>
      <c r="P6" s="119">
        <v>0</v>
      </c>
      <c r="Q6" s="119" t="s">
        <v>242</v>
      </c>
      <c r="R6" s="180">
        <v>1</v>
      </c>
      <c r="W6" s="180">
        <v>1</v>
      </c>
      <c r="X6" s="180">
        <v>1</v>
      </c>
      <c r="Z6" s="180">
        <v>9</v>
      </c>
      <c r="AA6" s="120" t="s">
        <v>6308</v>
      </c>
      <c r="AB6" s="250" t="str">
        <f t="array" ref="AB6">INDEX(B:B,SMALL(IF($Q$3:$Q$517&lt;&gt;"",ROW($3:$517),518),ROW(B5)))&amp;""</f>
        <v>德鲁伊伎俩</v>
      </c>
      <c r="AC6" s="394" t="str">
        <f>IFERROR(IF(AND($Q7&lt;&gt;"",IF(法术查询!$J$4="",1,INDEX($R7:$Z7,1,VLOOKUP(法术查询!$J$4,$AF$2:$AG$10,2,0)))&lt;&gt;"",IF(法术查询!$J$5="",1,$P7=VLOOKUP(法术查询!$J$5,$AH$2:$AI$11,2,0)),IF(法术查询!$J$6="",1,IF(法术查询!$J$6=$E7,1,0)),IF(法术查询!$J$7="",1,SEARCH(法术查询!$J$7,$F7)),IF(法术查询!$J$8="",1,SEARCH(法术查询!$J$8,G7)),IF(法术查询!$J$9="",1,SEARCH(法术查询!$J$9,N7)),IF(法术查询!$J$10="",1,IF(法术查询!$J$10=$AF$11,IF($M7=1,1,0),IF($M7="",1,0))),IF(法术查询!$J$11="",1,IF(法术查询!$J$11=$AF$11,IF($D7=1,1,0),IF($D7="",1,0))),IF(法术查询!$J$12="",1,SEARCH(法术查询!$J$12,$B7&amp;$C7&amp;$O7)),IF(法术查询!$J$13="",1,SEARCH(法术查询!$J$13,$B7&amp;$C7&amp;$O7)),IF(法术查询!$J$14="",1,SEARCH(法术查询!$J$14,$B7&amp;$C7&amp;$O7)),IF(法术查询!$J$16="",1,IF(法术查询!$J$16=$AF$11,IF($H7=1,1,0),IF($H7="",1,0))),IF(法术查询!$J$17="",1,IF(法术查询!$J$17=$AF$11,IF($I7=1,1,0),IF($I7="",1,0))),IF(法术查询!$J$18="",1,IF(法术查询!$J$18=$AF$11,IF($J7&lt;&gt;"",1,0),IF($J7="",1,0))),IF(法术查询!$J$19="",1,IF(法术查询!$J$19=$AF$11,IF($L7&lt;&gt;"",1,0),IF($L7="",1,0)))),$B7,""),"")</f>
        <v/>
      </c>
      <c r="AD6" s="180" t="str">
        <f t="array" ref="AD6">INDEX(AC:AC,SMALL(IF($AC$2:$AC$516&lt;&gt;"",ROW($2:$516),517),ROW(AC5)))&amp;""</f>
        <v>召唤元素生物</v>
      </c>
      <c r="AE6" s="198" t="str">
        <f t="shared" si="3"/>
        <v>Conjure Elemental</v>
      </c>
      <c r="AF6" s="119" t="s">
        <v>1623</v>
      </c>
      <c r="AG6" s="180">
        <v>5</v>
      </c>
      <c r="AH6" s="118" t="s">
        <v>6309</v>
      </c>
      <c r="AI6" s="198">
        <v>4</v>
      </c>
      <c r="AJ6" s="250">
        <v>5</v>
      </c>
      <c r="AK6" s="180" t="str">
        <f>IF(法术书!V12="","",法术书!V12)</f>
        <v/>
      </c>
      <c r="AL6" s="119" t="str">
        <f t="array" ref="AL6">IFERROR(INDEX(AK$1:AK$301,SMALL(IF(MATCH(AK6,AK$1:AK$301,0)=ROW(AK6),ROW(AK$1:AK$301),999),ROW(AK6))),"")</f>
        <v/>
      </c>
      <c r="AM6" s="120" t="str">
        <f t="array" ref="AM6">INDEX(AL:AL,SMALL(IF($AL$2:$AL$301&lt;&gt;"",ROW($2:$301),302),ROW(AL5)))&amp;""</f>
        <v/>
      </c>
      <c r="AN6" s="250" t="str">
        <f>IF(主要!C70="","",主要!C70)</f>
        <v/>
      </c>
      <c r="AO6" s="180" t="str">
        <f t="shared" si="4"/>
        <v/>
      </c>
      <c r="AP6" s="180" t="str">
        <f t="shared" si="0"/>
        <v/>
      </c>
      <c r="AQ6" s="180" t="e">
        <f t="shared" si="1"/>
        <v>#N/A</v>
      </c>
      <c r="AR6" s="180" t="e">
        <f t="shared" si="2"/>
        <v>#N/A</v>
      </c>
      <c r="AS6" s="180" t="str">
        <f t="array" ref="AS6">IFERROR(INDEX(AN$1:AN$46,SMALL(IF(MATCH(AN6,AN$1:AN$46,0)=ROW(AN6),ROW(AN$1:AN$46),999),ROW(AN6))),"")</f>
        <v/>
      </c>
      <c r="AT6" s="198" t="str">
        <f t="array" ref="AT6">INDEX(AS:AS,SMALL(IF($AS$2:$AS$46&lt;&gt;"",ROW($2:$46),47),ROW(AS5)))&amp;""</f>
        <v/>
      </c>
      <c r="AU6" s="128" t="s">
        <v>1668</v>
      </c>
      <c r="AV6" s="280">
        <f>MAX(主要!R17+ROUNDDOWN(职业数据!AG14/2, ),1)</f>
        <v>4</v>
      </c>
    </row>
    <row r="7" spans="1:48" ht="14.4" customHeight="1" x14ac:dyDescent="0.25">
      <c r="A7" s="250">
        <v>5</v>
      </c>
      <c r="B7" s="119" t="s">
        <v>6310</v>
      </c>
      <c r="C7" s="119" t="s">
        <v>6311</v>
      </c>
      <c r="D7" s="119"/>
      <c r="E7" s="435" t="s">
        <v>6312</v>
      </c>
      <c r="F7" s="180" t="s">
        <v>6282</v>
      </c>
      <c r="G7" s="180" t="s">
        <v>6313</v>
      </c>
      <c r="H7" s="180">
        <v>1</v>
      </c>
      <c r="I7" s="180">
        <v>1</v>
      </c>
      <c r="N7" s="180" t="s">
        <v>6284</v>
      </c>
      <c r="O7" s="119" t="s">
        <v>6314</v>
      </c>
      <c r="P7" s="119">
        <v>0</v>
      </c>
      <c r="Q7" s="119" t="s">
        <v>242</v>
      </c>
      <c r="T7" s="180">
        <v>1</v>
      </c>
      <c r="AA7" s="120" t="s">
        <v>6315</v>
      </c>
      <c r="AB7" s="250" t="str">
        <f t="array" ref="AB7">INDEX(B:B,SMALL(IF($Q$3:$Q$517&lt;&gt;"",ROW($3:$517),518),ROW(B6)))&amp;""</f>
        <v>魔能爆</v>
      </c>
      <c r="AC7" s="394" t="str">
        <f>IFERROR(IF(AND($Q8&lt;&gt;"",IF(法术查询!$J$4="",1,INDEX($R8:$Z8,1,VLOOKUP(法术查询!$J$4,$AF$2:$AG$10,2,0)))&lt;&gt;"",IF(法术查询!$J$5="",1,$P8=VLOOKUP(法术查询!$J$5,$AH$2:$AI$11,2,0)),IF(法术查询!$J$6="",1,IF(法术查询!$J$6=$E8,1,0)),IF(法术查询!$J$7="",1,SEARCH(法术查询!$J$7,$F8)),IF(法术查询!$J$8="",1,SEARCH(法术查询!$J$8,G8)),IF(法术查询!$J$9="",1,SEARCH(法术查询!$J$9,N8)),IF(法术查询!$J$10="",1,IF(法术查询!$J$10=$AF$11,IF($M8=1,1,0),IF($M8="",1,0))),IF(法术查询!$J$11="",1,IF(法术查询!$J$11=$AF$11,IF($D8=1,1,0),IF($D8="",1,0))),IF(法术查询!$J$12="",1,SEARCH(法术查询!$J$12,$B8&amp;$C8&amp;$O8)),IF(法术查询!$J$13="",1,SEARCH(法术查询!$J$13,$B8&amp;$C8&amp;$O8)),IF(法术查询!$J$14="",1,SEARCH(法术查询!$J$14,$B8&amp;$C8&amp;$O8)),IF(法术查询!$J$16="",1,IF(法术查询!$J$16=$AF$11,IF($H8=1,1,0),IF($H8="",1,0))),IF(法术查询!$J$17="",1,IF(法术查询!$J$17=$AF$11,IF($I8=1,1,0),IF($I8="",1,0))),IF(法术查询!$J$18="",1,IF(法术查询!$J$18=$AF$11,IF($J8&lt;&gt;"",1,0),IF($J8="",1,0))),IF(法术查询!$J$19="",1,IF(法术查询!$J$19=$AF$11,IF($L8&lt;&gt;"",1,0),IF($L8="",1,0)))),$B8,""),"")</f>
        <v/>
      </c>
      <c r="AD7" s="180" t="str">
        <f t="array" ref="AD7">INDEX(AC:AC,SMALL(IF($AC$2:$AC$516&lt;&gt;"",ROW($2:$516),517),ROW(AC6)))&amp;""</f>
        <v>疫病术</v>
      </c>
      <c r="AE7" s="198" t="str">
        <f t="shared" si="3"/>
        <v>Contagion</v>
      </c>
      <c r="AF7" s="119" t="s">
        <v>1642</v>
      </c>
      <c r="AG7" s="180">
        <v>6</v>
      </c>
      <c r="AH7" s="118" t="s">
        <v>6316</v>
      </c>
      <c r="AI7" s="198">
        <v>5</v>
      </c>
      <c r="AJ7" s="250">
        <v>6</v>
      </c>
      <c r="AK7" s="180" t="str">
        <f>IF(法术书!V13="","",法术书!V13)</f>
        <v/>
      </c>
      <c r="AL7" s="119" t="str">
        <f t="array" ref="AL7">IFERROR(INDEX(AK$1:AK$301,SMALL(IF(MATCH(AK7,AK$1:AK$301,0)=ROW(AK7),ROW(AK$1:AK$301),999),ROW(AK7))),"")</f>
        <v/>
      </c>
      <c r="AM7" s="120" t="str">
        <f t="array" ref="AM7">INDEX(AL:AL,SMALL(IF($AL$2:$AL$301&lt;&gt;"",ROW($2:$301),302),ROW(AL6)))&amp;""</f>
        <v/>
      </c>
      <c r="AN7" s="250" t="str">
        <f>IF(主要!C71="","",主要!C71)</f>
        <v/>
      </c>
      <c r="AO7" s="180" t="str">
        <f t="shared" si="4"/>
        <v/>
      </c>
      <c r="AP7" s="180" t="str">
        <f t="shared" si="0"/>
        <v/>
      </c>
      <c r="AQ7" s="180" t="e">
        <f t="shared" si="1"/>
        <v>#N/A</v>
      </c>
      <c r="AR7" s="180" t="e">
        <f t="shared" si="2"/>
        <v>#N/A</v>
      </c>
      <c r="AS7" s="180" t="str">
        <f t="array" ref="AS7">IFERROR(INDEX(AN$1:AN$46,SMALL(IF(MATCH(AN7,AN$1:AN$46,0)=ROW(AN7),ROW(AN$1:AN$46),999),ROW(AN7))),"")</f>
        <v/>
      </c>
      <c r="AT7" s="198" t="str">
        <f t="array" ref="AT7">INDEX(AS:AS,SMALL(IF($AS$2:$AS$46&lt;&gt;"",ROW($2:$46),47),ROW(AS6)))&amp;""</f>
        <v/>
      </c>
      <c r="AU7" s="373" t="s">
        <v>56</v>
      </c>
      <c r="AV7" s="373" t="s">
        <v>273</v>
      </c>
    </row>
    <row r="8" spans="1:48" ht="14.4" customHeight="1" x14ac:dyDescent="0.25">
      <c r="A8" s="250">
        <v>6</v>
      </c>
      <c r="B8" s="119" t="s">
        <v>6317</v>
      </c>
      <c r="C8" s="119" t="s">
        <v>6318</v>
      </c>
      <c r="D8" s="119"/>
      <c r="E8" s="434" t="s">
        <v>6304</v>
      </c>
      <c r="F8" s="180" t="s">
        <v>6282</v>
      </c>
      <c r="G8" s="180" t="s">
        <v>6298</v>
      </c>
      <c r="H8" s="180">
        <v>1</v>
      </c>
      <c r="I8" s="180">
        <v>1</v>
      </c>
      <c r="N8" s="180" t="s">
        <v>6284</v>
      </c>
      <c r="O8" s="119" t="s">
        <v>6319</v>
      </c>
      <c r="P8" s="119">
        <v>0</v>
      </c>
      <c r="Q8" s="119" t="s">
        <v>242</v>
      </c>
      <c r="Y8" s="180">
        <v>1</v>
      </c>
      <c r="AA8" s="198"/>
      <c r="AB8" s="250" t="str">
        <f t="array" ref="AB8">INDEX(B:B,SMALL(IF($Q$3:$Q$517&lt;&gt;"",ROW($3:$517),518),ROW(B7)))&amp;""</f>
        <v>火焰箭</v>
      </c>
      <c r="AC8" s="394" t="str">
        <f>IFERROR(IF(AND($Q9&lt;&gt;"",IF(法术查询!$J$4="",1,INDEX($R9:$Z9,1,VLOOKUP(法术查询!$J$4,$AF$2:$AG$10,2,0)))&lt;&gt;"",IF(法术查询!$J$5="",1,$P9=VLOOKUP(法术查询!$J$5,$AH$2:$AI$11,2,0)),IF(法术查询!$J$6="",1,IF(法术查询!$J$6=$E9,1,0)),IF(法术查询!$J$7="",1,SEARCH(法术查询!$J$7,$F9)),IF(法术查询!$J$8="",1,SEARCH(法术查询!$J$8,G9)),IF(法术查询!$J$9="",1,SEARCH(法术查询!$J$9,N9)),IF(法术查询!$J$10="",1,IF(法术查询!$J$10=$AF$11,IF($M9=1,1,0),IF($M9="",1,0))),IF(法术查询!$J$11="",1,IF(法术查询!$J$11=$AF$11,IF($D9=1,1,0),IF($D9="",1,0))),IF(法术查询!$J$12="",1,SEARCH(法术查询!$J$12,$B9&amp;$C9&amp;$O9)),IF(法术查询!$J$13="",1,SEARCH(法术查询!$J$13,$B9&amp;$C9&amp;$O9)),IF(法术查询!$J$14="",1,SEARCH(法术查询!$J$14,$B9&amp;$C9&amp;$O9)),IF(法术查询!$J$16="",1,IF(法术查询!$J$16=$AF$11,IF($H9=1,1,0),IF($H9="",1,0))),IF(法术查询!$J$17="",1,IF(法术查询!$J$17=$AF$11,IF($I9=1,1,0),IF($I9="",1,0))),IF(法术查询!$J$18="",1,IF(法术查询!$J$18=$AF$11,IF($J9&lt;&gt;"",1,0),IF($J9="",1,0))),IF(法术查询!$J$19="",1,IF(法术查询!$J$19=$AF$11,IF($L9&lt;&gt;"",1,0),IF($L9="",1,0)))),$B9,""),"")</f>
        <v/>
      </c>
      <c r="AD8" s="180" t="str">
        <f t="array" ref="AD8">INDEX(AC:AC,SMALL(IF($AC$2:$AC$516&lt;&gt;"",ROW($2:$516),517),ROW(AC7)))&amp;""</f>
        <v>指使术</v>
      </c>
      <c r="AE8" s="198" t="str">
        <f t="shared" si="3"/>
        <v>Geas</v>
      </c>
      <c r="AF8" s="119" t="s">
        <v>1655</v>
      </c>
      <c r="AG8" s="180">
        <v>7</v>
      </c>
      <c r="AH8" s="118" t="s">
        <v>6320</v>
      </c>
      <c r="AI8" s="198">
        <v>6</v>
      </c>
      <c r="AJ8" s="250">
        <v>7</v>
      </c>
      <c r="AK8" s="180" t="str">
        <f>IF(法术书!V14="","",法术书!V14)</f>
        <v/>
      </c>
      <c r="AL8" s="119" t="str">
        <f t="array" ref="AL8">IFERROR(INDEX(AK$1:AK$301,SMALL(IF(MATCH(AK8,AK$1:AK$301,0)=ROW(AK8),ROW(AK$1:AK$301),999),ROW(AK8))),"")</f>
        <v/>
      </c>
      <c r="AM8" s="120" t="str">
        <f t="array" ref="AM8">INDEX(AL:AL,SMALL(IF($AL$2:$AL$301&lt;&gt;"",ROW($2:$301),302),ROW(AL7)))&amp;""</f>
        <v/>
      </c>
      <c r="AN8" s="250" t="str">
        <f>IF(主要!C72="","",主要!C72)</f>
        <v/>
      </c>
      <c r="AO8" s="180" t="str">
        <f t="shared" si="4"/>
        <v/>
      </c>
      <c r="AP8" s="180" t="str">
        <f t="shared" si="0"/>
        <v/>
      </c>
      <c r="AQ8" s="180" t="e">
        <f t="shared" si="1"/>
        <v>#N/A</v>
      </c>
      <c r="AR8" s="180" t="e">
        <f t="shared" si="2"/>
        <v>#N/A</v>
      </c>
      <c r="AS8" s="180" t="str">
        <f t="array" ref="AS8">IFERROR(INDEX(AN$1:AN$46,SMALL(IF(MATCH(AN8,AN$1:AN$46,0)=ROW(AN8),ROW(AN$1:AN$46),999),ROW(AN8))),"")</f>
        <v/>
      </c>
      <c r="AT8" s="198" t="str">
        <f t="array" ref="AT8">INDEX(AS:AS,SMALL(IF($AS$2:$AS$46&lt;&gt;"",ROW($2:$46),47),ROW(AS7)))&amp;""</f>
        <v/>
      </c>
      <c r="AU8" s="394">
        <f>VLOOKUP(主要!AD49,主要!$C$14:$S$19,16,0)+主要!$U$9</f>
        <v>6</v>
      </c>
      <c r="AV8" s="376" t="str">
        <f>IF(COUNTIF(法术数据!$AK$102:$AK$201,"")=100,"","法术书2")</f>
        <v/>
      </c>
    </row>
    <row r="9" spans="1:48" ht="14.4" customHeight="1" x14ac:dyDescent="0.25">
      <c r="A9" s="250">
        <v>7</v>
      </c>
      <c r="B9" s="119" t="s">
        <v>6321</v>
      </c>
      <c r="C9" s="119" t="s">
        <v>6322</v>
      </c>
      <c r="D9" s="119"/>
      <c r="E9" s="434" t="s">
        <v>6304</v>
      </c>
      <c r="F9" s="180" t="s">
        <v>6282</v>
      </c>
      <c r="G9" s="180" t="s">
        <v>6298</v>
      </c>
      <c r="H9" s="180">
        <v>1</v>
      </c>
      <c r="I9" s="180">
        <v>1</v>
      </c>
      <c r="N9" s="180" t="s">
        <v>6284</v>
      </c>
      <c r="O9" s="119" t="s">
        <v>6323</v>
      </c>
      <c r="P9" s="119">
        <v>0</v>
      </c>
      <c r="Q9" s="119" t="s">
        <v>242</v>
      </c>
      <c r="W9" s="180">
        <v>1</v>
      </c>
      <c r="X9" s="180">
        <v>1</v>
      </c>
      <c r="Z9" s="180">
        <v>9</v>
      </c>
      <c r="AA9" s="120" t="s">
        <v>6324</v>
      </c>
      <c r="AB9" s="250" t="str">
        <f t="array" ref="AB9">INDEX(B:B,SMALL(IF($Q$3:$Q$517&lt;&gt;"",ROW($3:$517),518),ROW(B8)))&amp;""</f>
        <v>交友术</v>
      </c>
      <c r="AC9" s="394" t="str">
        <f>IFERROR(IF(AND($Q10&lt;&gt;"",IF(法术查询!$J$4="",1,INDEX($R10:$Z10,1,VLOOKUP(法术查询!$J$4,$AF$2:$AG$10,2,0)))&lt;&gt;"",IF(法术查询!$J$5="",1,$P10=VLOOKUP(法术查询!$J$5,$AH$2:$AI$11,2,0)),IF(法术查询!$J$6="",1,IF(法术查询!$J$6=$E10,1,0)),IF(法术查询!$J$7="",1,SEARCH(法术查询!$J$7,$F10)),IF(法术查询!$J$8="",1,SEARCH(法术查询!$J$8,G10)),IF(法术查询!$J$9="",1,SEARCH(法术查询!$J$9,N10)),IF(法术查询!$J$10="",1,IF(法术查询!$J$10=$AF$11,IF($M10=1,1,0),IF($M10="",1,0))),IF(法术查询!$J$11="",1,IF(法术查询!$J$11=$AF$11,IF($D10=1,1,0),IF($D10="",1,0))),IF(法术查询!$J$12="",1,SEARCH(法术查询!$J$12,$B10&amp;$C10&amp;$O10)),IF(法术查询!$J$13="",1,SEARCH(法术查询!$J$13,$B10&amp;$C10&amp;$O10)),IF(法术查询!$J$14="",1,SEARCH(法术查询!$J$14,$B10&amp;$C10&amp;$O10)),IF(法术查询!$J$16="",1,IF(法术查询!$J$16=$AF$11,IF($H10=1,1,0),IF($H10="",1,0))),IF(法术查询!$J$17="",1,IF(法术查询!$J$17=$AF$11,IF($I10=1,1,0),IF($I10="",1,0))),IF(法术查询!$J$18="",1,IF(法术查询!$J$18=$AF$11,IF($J10&lt;&gt;"",1,0),IF($J10="",1,0))),IF(法术查询!$J$19="",1,IF(法术查询!$J$19=$AF$11,IF($L10&lt;&gt;"",1,0),IF($L10="",1,0)))),$B10,""),"")</f>
        <v/>
      </c>
      <c r="AD9" s="180" t="str">
        <f t="array" ref="AD9">INDEX(AC:AC,SMALL(IF($AC$2:$AC$516&lt;&gt;"",ROW($2:$516),517),ROW(AC8)))&amp;""</f>
        <v>高等复原术</v>
      </c>
      <c r="AE9" s="198" t="str">
        <f t="shared" si="3"/>
        <v>Greater Restoration</v>
      </c>
      <c r="AF9" s="119" t="s">
        <v>1650</v>
      </c>
      <c r="AG9" s="180">
        <v>8</v>
      </c>
      <c r="AH9" s="118" t="s">
        <v>6325</v>
      </c>
      <c r="AI9" s="198">
        <v>7</v>
      </c>
      <c r="AJ9" s="250">
        <v>8</v>
      </c>
      <c r="AK9" s="180" t="str">
        <f>IF(法术书!V15="","",法术书!V15)</f>
        <v/>
      </c>
      <c r="AL9" s="119" t="str">
        <f t="array" ref="AL9">IFERROR(INDEX(AK$1:AK$301,SMALL(IF(MATCH(AK9,AK$1:AK$301,0)=ROW(AK9),ROW(AK$1:AK$301),999),ROW(AK9))),"")</f>
        <v/>
      </c>
      <c r="AM9" s="120" t="str">
        <f t="array" ref="AM9">INDEX(AL:AL,SMALL(IF($AL$2:$AL$301&lt;&gt;"",ROW($2:$301),302),ROW(AL8)))&amp;""</f>
        <v/>
      </c>
      <c r="AN9" s="250" t="str">
        <f>IF(主要!C73="","",主要!C73)</f>
        <v/>
      </c>
      <c r="AO9" s="180" t="str">
        <f t="shared" si="4"/>
        <v/>
      </c>
      <c r="AP9" s="180" t="str">
        <f t="shared" si="0"/>
        <v/>
      </c>
      <c r="AQ9" s="180" t="e">
        <f t="shared" si="1"/>
        <v>#N/A</v>
      </c>
      <c r="AR9" s="180" t="e">
        <f t="shared" si="2"/>
        <v>#N/A</v>
      </c>
      <c r="AS9" s="180" t="str">
        <f t="array" ref="AS9">IFERROR(INDEX(AN$1:AN$46,SMALL(IF(MATCH(AN9,AN$1:AN$46,0)=ROW(AN9),ROW(AN$1:AN$46),999),ROW(AN9))),"")</f>
        <v/>
      </c>
      <c r="AT9" s="198" t="str">
        <f t="array" ref="AT9">INDEX(AS:AS,SMALL(IF($AS$2:$AS$46&lt;&gt;"",ROW($2:$46),47),ROW(AS8)))&amp;""</f>
        <v/>
      </c>
      <c r="AU9" s="394" t="e">
        <f>VLOOKUP(主要!AD50,主要!$C$14:$S$19,16,0)+主要!$U$9</f>
        <v>#N/A</v>
      </c>
      <c r="AV9" s="376" t="str">
        <f>IF(COUNTIF(法术数据!$AK$202:$AK$301,"")=100,"","法术书3")</f>
        <v/>
      </c>
    </row>
    <row r="10" spans="1:48" ht="14.4" customHeight="1" x14ac:dyDescent="0.25">
      <c r="A10" s="250">
        <v>8</v>
      </c>
      <c r="B10" s="119" t="s">
        <v>6326</v>
      </c>
      <c r="C10" s="119" t="s">
        <v>6327</v>
      </c>
      <c r="D10" s="119"/>
      <c r="E10" s="379" t="s">
        <v>6328</v>
      </c>
      <c r="F10" s="180" t="s">
        <v>6282</v>
      </c>
      <c r="G10" s="180" t="s">
        <v>6291</v>
      </c>
      <c r="I10" s="180">
        <v>1</v>
      </c>
      <c r="J10" s="180">
        <v>1</v>
      </c>
      <c r="K10" s="119" t="s">
        <v>6329</v>
      </c>
      <c r="L10" s="119"/>
      <c r="M10" s="180">
        <v>1</v>
      </c>
      <c r="N10" s="180" t="s">
        <v>6306</v>
      </c>
      <c r="O10" s="119" t="s">
        <v>6330</v>
      </c>
      <c r="P10" s="119">
        <v>0</v>
      </c>
      <c r="Q10" s="119" t="s">
        <v>242</v>
      </c>
      <c r="R10" s="180">
        <v>1</v>
      </c>
      <c r="W10" s="180">
        <v>1</v>
      </c>
      <c r="X10" s="180">
        <v>1</v>
      </c>
      <c r="Y10" s="180">
        <v>1</v>
      </c>
      <c r="AA10" s="120" t="s">
        <v>6331</v>
      </c>
      <c r="AB10" s="250" t="str">
        <f t="array" ref="AB10">INDEX(B:B,SMALL(IF($Q$3:$Q$517&lt;&gt;"",ROW($3:$517),518),ROW(B9)))&amp;""</f>
        <v>神导术</v>
      </c>
      <c r="AC10" s="394" t="str">
        <f>IFERROR(IF(AND($Q11&lt;&gt;"",IF(法术查询!$J$4="",1,INDEX($R11:$Z11,1,VLOOKUP(法术查询!$J$4,$AF$2:$AG$10,2,0)))&lt;&gt;"",IF(法术查询!$J$5="",1,$P11=VLOOKUP(法术查询!$J$5,$AH$2:$AI$11,2,0)),IF(法术查询!$J$6="",1,IF(法术查询!$J$6=$E11,1,0)),IF(法术查询!$J$7="",1,SEARCH(法术查询!$J$7,$F11)),IF(法术查询!$J$8="",1,SEARCH(法术查询!$J$8,G11)),IF(法术查询!$J$9="",1,SEARCH(法术查询!$J$9,N11)),IF(法术查询!$J$10="",1,IF(法术查询!$J$10=$AF$11,IF($M11=1,1,0),IF($M11="",1,0))),IF(法术查询!$J$11="",1,IF(法术查询!$J$11=$AF$11,IF($D11=1,1,0),IF($D11="",1,0))),IF(法术查询!$J$12="",1,SEARCH(法术查询!$J$12,$B11&amp;$C11&amp;$O11)),IF(法术查询!$J$13="",1,SEARCH(法术查询!$J$13,$B11&amp;$C11&amp;$O11)),IF(法术查询!$J$14="",1,SEARCH(法术查询!$J$14,$B11&amp;$C11&amp;$O11)),IF(法术查询!$J$16="",1,IF(法术查询!$J$16=$AF$11,IF($H11=1,1,0),IF($H11="",1,0))),IF(法术查询!$J$17="",1,IF(法术查询!$J$17=$AF$11,IF($I11=1,1,0),IF($I11="",1,0))),IF(法术查询!$J$18="",1,IF(法术查询!$J$18=$AF$11,IF($J11&lt;&gt;"",1,0),IF($J11="",1,0))),IF(法术查询!$J$19="",1,IF(法术查询!$J$19=$AF$11,IF($L11&lt;&gt;"",1,0),IF($L11="",1,0)))),$B11,""),"")</f>
        <v/>
      </c>
      <c r="AD10" s="180" t="str">
        <f t="array" ref="AD10">INDEX(AC:AC,SMALL(IF($AC$2:$AC$516&lt;&gt;"",ROW($2:$516),517),ROW(AC9)))&amp;""</f>
        <v>疫病虫群</v>
      </c>
      <c r="AE10" s="198" t="str">
        <f t="shared" si="3"/>
        <v>Insect Plague</v>
      </c>
      <c r="AF10" s="129" t="s">
        <v>1668</v>
      </c>
      <c r="AG10" s="235">
        <v>9</v>
      </c>
      <c r="AH10" s="118" t="s">
        <v>6332</v>
      </c>
      <c r="AI10" s="198">
        <v>8</v>
      </c>
      <c r="AJ10" s="250">
        <v>9</v>
      </c>
      <c r="AK10" s="180" t="str">
        <f>IF(法术书!V16="","",法术书!V16)</f>
        <v/>
      </c>
      <c r="AL10" s="119" t="str">
        <f t="array" ref="AL10">IFERROR(INDEX(AK$1:AK$301,SMALL(IF(MATCH(AK10,AK$1:AK$301,0)=ROW(AK10),ROW(AK$1:AK$301),999),ROW(AK10))),"")</f>
        <v/>
      </c>
      <c r="AM10" s="120" t="str">
        <f t="array" ref="AM10">INDEX(AL:AL,SMALL(IF($AL$2:$AL$301&lt;&gt;"",ROW($2:$301),302),ROW(AL9)))&amp;""</f>
        <v/>
      </c>
      <c r="AN10" s="250" t="str">
        <f>IF(主要!C74="","",主要!C74)</f>
        <v/>
      </c>
      <c r="AO10" s="180" t="str">
        <f t="shared" si="4"/>
        <v/>
      </c>
      <c r="AP10" s="180" t="str">
        <f t="shared" si="0"/>
        <v/>
      </c>
      <c r="AQ10" s="180" t="e">
        <f t="shared" si="1"/>
        <v>#N/A</v>
      </c>
      <c r="AR10" s="180" t="e">
        <f t="shared" si="2"/>
        <v>#N/A</v>
      </c>
      <c r="AS10" s="180" t="str">
        <f t="array" ref="AS10">IFERROR(INDEX(AN$1:AN$46,SMALL(IF(MATCH(AN10,AN$1:AN$46,0)=ROW(AN10),ROW(AN$1:AN$46),999),ROW(AN10))),"")</f>
        <v/>
      </c>
      <c r="AT10" s="180" t="str">
        <f t="array" ref="AT10">INDEX(AS:AS,SMALL(IF($AS$2:$AS$46&lt;&gt;"",ROW($2:$46),47),ROW(AS9)))&amp;""</f>
        <v/>
      </c>
      <c r="AU10" s="436" t="s">
        <v>274</v>
      </c>
      <c r="AV10" s="437">
        <v>100</v>
      </c>
    </row>
    <row r="11" spans="1:48" ht="14.4" customHeight="1" x14ac:dyDescent="0.25">
      <c r="A11" s="250">
        <v>9</v>
      </c>
      <c r="B11" s="119" t="s">
        <v>6333</v>
      </c>
      <c r="C11" s="119" t="s">
        <v>6334</v>
      </c>
      <c r="D11" s="119"/>
      <c r="E11" s="438" t="s">
        <v>6335</v>
      </c>
      <c r="F11" s="180" t="s">
        <v>6282</v>
      </c>
      <c r="G11" s="180" t="s">
        <v>3682</v>
      </c>
      <c r="H11" s="180">
        <v>1</v>
      </c>
      <c r="I11" s="180">
        <v>1</v>
      </c>
      <c r="M11" s="180">
        <v>1</v>
      </c>
      <c r="N11" s="180" t="s">
        <v>6306</v>
      </c>
      <c r="O11" s="119" t="s">
        <v>6336</v>
      </c>
      <c r="P11" s="119">
        <v>0</v>
      </c>
      <c r="Q11" s="119" t="s">
        <v>242</v>
      </c>
      <c r="S11" s="180">
        <v>1</v>
      </c>
      <c r="T11" s="180">
        <v>1</v>
      </c>
      <c r="Z11" s="180">
        <v>9</v>
      </c>
      <c r="AA11" s="120" t="s">
        <v>6337</v>
      </c>
      <c r="AB11" s="250" t="str">
        <f t="array" ref="AB11">INDEX(B:B,SMALL(IF($Q$3:$Q$517&lt;&gt;"",ROW($3:$517),518),ROW(B10)))&amp;""</f>
        <v>光亮术</v>
      </c>
      <c r="AC11" s="394" t="str">
        <f>IFERROR(IF(AND($Q12&lt;&gt;"",IF(法术查询!$J$4="",1,INDEX($R12:$Z12,1,VLOOKUP(法术查询!$J$4,$AF$2:$AG$10,2,0)))&lt;&gt;"",IF(法术查询!$J$5="",1,$P12=VLOOKUP(法术查询!$J$5,$AH$2:$AI$11,2,0)),IF(法术查询!$J$6="",1,IF(法术查询!$J$6=$E12,1,0)),IF(法术查询!$J$7="",1,SEARCH(法术查询!$J$7,$F12)),IF(法术查询!$J$8="",1,SEARCH(法术查询!$J$8,G12)),IF(法术查询!$J$9="",1,SEARCH(法术查询!$J$9,N12)),IF(法术查询!$J$10="",1,IF(法术查询!$J$10=$AF$11,IF($M12=1,1,0),IF($M12="",1,0))),IF(法术查询!$J$11="",1,IF(法术查询!$J$11=$AF$11,IF($D12=1,1,0),IF($D12="",1,0))),IF(法术查询!$J$12="",1,SEARCH(法术查询!$J$12,$B12&amp;$C12&amp;$O12)),IF(法术查询!$J$13="",1,SEARCH(法术查询!$J$13,$B12&amp;$C12&amp;$O12)),IF(法术查询!$J$14="",1,SEARCH(法术查询!$J$14,$B12&amp;$C12&amp;$O12)),IF(法术查询!$J$16="",1,IF(法术查询!$J$16=$AF$11,IF($H12=1,1,0),IF($H12="",1,0))),IF(法术查询!$J$17="",1,IF(法术查询!$J$17=$AF$11,IF($I12=1,1,0),IF($I12="",1,0))),IF(法术查询!$J$18="",1,IF(法术查询!$J$18=$AF$11,IF($J12&lt;&gt;"",1,0),IF($J12="",1,0))),IF(法术查询!$J$19="",1,IF(法术查询!$J$19=$AF$11,IF($L12&lt;&gt;"",1,0),IF($L12="",1,0)))),$B12,""),"")</f>
        <v/>
      </c>
      <c r="AD11" s="180" t="str">
        <f t="array" ref="AD11">INDEX(AC:AC,SMALL(IF($AC$2:$AC$516&lt;&gt;"",ROW($2:$516),517),ROW(AC10)))&amp;""</f>
        <v>群体疗伤术</v>
      </c>
      <c r="AE11" s="198" t="str">
        <f t="shared" si="3"/>
        <v>Mass Cure Wounds</v>
      </c>
      <c r="AF11" s="436" t="s">
        <v>6338</v>
      </c>
      <c r="AG11" s="439" t="s">
        <v>6339</v>
      </c>
      <c r="AH11" s="128" t="s">
        <v>6340</v>
      </c>
      <c r="AI11" s="280">
        <v>9</v>
      </c>
      <c r="AJ11" s="250">
        <v>10</v>
      </c>
      <c r="AK11" s="180" t="str">
        <f>IF(法术书!V17="","",法术书!V17)</f>
        <v/>
      </c>
      <c r="AL11" s="119" t="str">
        <f t="array" ref="AL11">IFERROR(INDEX(AK$1:AK$301,SMALL(IF(MATCH(AK11,AK$1:AK$301,0)=ROW(AK11),ROW(AK$1:AK$301),999),ROW(AK11))),"")</f>
        <v/>
      </c>
      <c r="AM11" s="120" t="str">
        <f t="array" ref="AM11">INDEX(AL:AL,SMALL(IF($AL$2:$AL$301&lt;&gt;"",ROW($2:$301),302),ROW(AL10)))&amp;""</f>
        <v/>
      </c>
      <c r="AN11" s="250" t="str">
        <f>IF(主要!C75="","",主要!C75)</f>
        <v/>
      </c>
      <c r="AO11" s="180" t="str">
        <f t="shared" si="4"/>
        <v/>
      </c>
      <c r="AP11" s="180" t="str">
        <f t="shared" si="0"/>
        <v/>
      </c>
      <c r="AQ11" s="180" t="e">
        <f t="shared" si="1"/>
        <v>#N/A</v>
      </c>
      <c r="AR11" s="180" t="e">
        <f t="shared" si="2"/>
        <v>#N/A</v>
      </c>
      <c r="AS11" s="180" t="str">
        <f t="array" ref="AS11">IFERROR(INDEX(AN$1:AN$46,SMALL(IF(MATCH(AN11,AN$1:AN$46,0)=ROW(AN11),ROW(AN$1:AN$46),999),ROW(AN11))),"")</f>
        <v/>
      </c>
      <c r="AT11" s="198" t="str">
        <f t="array" ref="AT11">INDEX(AS:AS,SMALL(IF($AS$2:$AS$46&lt;&gt;"",ROW($2:$46),47),ROW(AS10)))&amp;""</f>
        <v/>
      </c>
    </row>
    <row r="12" spans="1:48" ht="14.4" customHeight="1" x14ac:dyDescent="0.25">
      <c r="A12" s="250">
        <v>10</v>
      </c>
      <c r="B12" s="119" t="s">
        <v>6341</v>
      </c>
      <c r="C12" s="119" t="s">
        <v>6342</v>
      </c>
      <c r="D12" s="119"/>
      <c r="E12" s="434" t="s">
        <v>6304</v>
      </c>
      <c r="F12" s="180" t="s">
        <v>6282</v>
      </c>
      <c r="G12" s="180" t="s">
        <v>3682</v>
      </c>
      <c r="H12" s="180">
        <v>1</v>
      </c>
      <c r="J12" s="180">
        <v>1</v>
      </c>
      <c r="K12" s="119" t="s">
        <v>6343</v>
      </c>
      <c r="L12" s="119"/>
      <c r="N12" s="180" t="s">
        <v>6344</v>
      </c>
      <c r="O12" s="119" t="s">
        <v>6345</v>
      </c>
      <c r="P12" s="119">
        <v>0</v>
      </c>
      <c r="Q12" s="119" t="s">
        <v>242</v>
      </c>
      <c r="R12" s="180">
        <v>1</v>
      </c>
      <c r="S12" s="180">
        <v>1</v>
      </c>
      <c r="W12" s="180">
        <v>1</v>
      </c>
      <c r="X12" s="180">
        <v>1</v>
      </c>
      <c r="Z12" s="180">
        <v>9</v>
      </c>
      <c r="AA12" s="120" t="s">
        <v>6346</v>
      </c>
      <c r="AB12" s="250" t="str">
        <f t="array" ref="AB12">INDEX(B:B,SMALL(IF($Q$3:$Q$517&lt;&gt;"",ROW($3:$517),518),ROW(B11)))&amp;""</f>
        <v>法师之手</v>
      </c>
      <c r="AC12" s="394" t="str">
        <f>IFERROR(IF(AND($Q13&lt;&gt;"",IF(法术查询!$J$4="",1,INDEX($R13:$Z13,1,VLOOKUP(法术查询!$J$4,$AF$2:$AG$10,2,0)))&lt;&gt;"",IF(法术查询!$J$5="",1,$P13=VLOOKUP(法术查询!$J$5,$AH$2:$AI$11,2,0)),IF(法术查询!$J$6="",1,IF(法术查询!$J$6=$E13,1,0)),IF(法术查询!$J$7="",1,SEARCH(法术查询!$J$7,$F13)),IF(法术查询!$J$8="",1,SEARCH(法术查询!$J$8,G13)),IF(法术查询!$J$9="",1,SEARCH(法术查询!$J$9,N13)),IF(法术查询!$J$10="",1,IF(法术查询!$J$10=$AF$11,IF($M13=1,1,0),IF($M13="",1,0))),IF(法术查询!$J$11="",1,IF(法术查询!$J$11=$AF$11,IF($D13=1,1,0),IF($D13="",1,0))),IF(法术查询!$J$12="",1,SEARCH(法术查询!$J$12,$B13&amp;$C13&amp;$O13)),IF(法术查询!$J$13="",1,SEARCH(法术查询!$J$13,$B13&amp;$C13&amp;$O13)),IF(法术查询!$J$14="",1,SEARCH(法术查询!$J$14,$B13&amp;$C13&amp;$O13)),IF(法术查询!$J$16="",1,IF(法术查询!$J$16=$AF$11,IF($H13=1,1,0),IF($H13="",1,0))),IF(法术查询!$J$17="",1,IF(法术查询!$J$17=$AF$11,IF($I13=1,1,0),IF($I13="",1,0))),IF(法术查询!$J$18="",1,IF(法术查询!$J$18=$AF$11,IF($J13&lt;&gt;"",1,0),IF($J13="",1,0))),IF(法术查询!$J$19="",1,IF(法术查询!$J$19=$AF$11,IF($L13&lt;&gt;"",1,0),IF($L13="",1,0)))),$B13,""),"")</f>
        <v/>
      </c>
      <c r="AD12" s="180" t="str">
        <f t="array" ref="AD12">INDEX(AC:AC,SMALL(IF($AC$2:$AC$516&lt;&gt;"",ROW($2:$516),517),ROW(AC11)))&amp;""</f>
        <v>异界誓缚</v>
      </c>
      <c r="AE12" s="198" t="str">
        <f t="shared" si="3"/>
        <v>Planar Binding</v>
      </c>
      <c r="AF12" s="1047" t="s">
        <v>6347</v>
      </c>
      <c r="AG12" s="1058"/>
      <c r="AH12" s="1058"/>
      <c r="AI12" s="1061"/>
      <c r="AJ12" s="250">
        <v>11</v>
      </c>
      <c r="AK12" s="180" t="str">
        <f>IF(法术书!V18="","",法术书!V18)</f>
        <v/>
      </c>
      <c r="AL12" s="119" t="str">
        <f t="array" ref="AL12">IFERROR(INDEX(AK$1:AK$301,SMALL(IF(MATCH(AK12,AK$1:AK$301,0)=ROW(AK12),ROW(AK$1:AK$301),999),ROW(AK12))),"")</f>
        <v/>
      </c>
      <c r="AM12" s="120" t="str">
        <f t="array" ref="AM12">INDEX(AL:AL,SMALL(IF($AL$2:$AL$301&lt;&gt;"",ROW($2:$301),302),ROW(AL11)))&amp;""</f>
        <v/>
      </c>
      <c r="AN12" s="250" t="str">
        <f>IF(主要!C76="","",主要!C76)</f>
        <v/>
      </c>
      <c r="AO12" s="180" t="str">
        <f t="shared" si="4"/>
        <v/>
      </c>
      <c r="AP12" s="180" t="str">
        <f t="shared" si="0"/>
        <v/>
      </c>
      <c r="AQ12" s="180" t="e">
        <f t="shared" si="1"/>
        <v>#N/A</v>
      </c>
      <c r="AR12" s="180" t="e">
        <f t="shared" si="2"/>
        <v>#N/A</v>
      </c>
      <c r="AS12" s="180" t="str">
        <f t="array" ref="AS12">IFERROR(INDEX(AN$1:AN$46,SMALL(IF(MATCH(AN12,AN$1:AN$46,0)=ROW(AN12),ROW(AN$1:AN$46),999),ROW(AN12))),"")</f>
        <v/>
      </c>
      <c r="AT12" s="198" t="str">
        <f t="array" ref="AT12">INDEX(AS:AS,SMALL(IF($AS$2:$AS$46&lt;&gt;"",ROW($2:$46),47),ROW(AS11)))&amp;""</f>
        <v/>
      </c>
    </row>
    <row r="13" spans="1:48" ht="14.4" customHeight="1" x14ac:dyDescent="0.25">
      <c r="A13" s="250">
        <v>11</v>
      </c>
      <c r="B13" s="119" t="s">
        <v>2302</v>
      </c>
      <c r="C13" s="119" t="s">
        <v>6348</v>
      </c>
      <c r="D13" s="119"/>
      <c r="E13" s="378" t="s">
        <v>6281</v>
      </c>
      <c r="F13" s="180" t="s">
        <v>6282</v>
      </c>
      <c r="G13" s="180" t="s">
        <v>6313</v>
      </c>
      <c r="H13" s="180">
        <v>1</v>
      </c>
      <c r="I13" s="180">
        <v>1</v>
      </c>
      <c r="N13" s="180" t="s">
        <v>6349</v>
      </c>
      <c r="O13" s="119" t="s">
        <v>6350</v>
      </c>
      <c r="P13" s="119">
        <v>0</v>
      </c>
      <c r="Q13" s="119" t="s">
        <v>242</v>
      </c>
      <c r="R13" s="180">
        <v>1</v>
      </c>
      <c r="T13" s="180">
        <v>1</v>
      </c>
      <c r="W13" s="180">
        <v>1</v>
      </c>
      <c r="X13" s="180">
        <v>1</v>
      </c>
      <c r="Y13" s="180">
        <v>1</v>
      </c>
      <c r="Z13" s="180">
        <v>9</v>
      </c>
      <c r="AA13" s="120" t="s">
        <v>6351</v>
      </c>
      <c r="AB13" s="250" t="str">
        <f t="array" ref="AB13">INDEX(B:B,SMALL(IF($Q$3:$Q$517&lt;&gt;"",ROW($3:$517),518),ROW(B12)))&amp;""</f>
        <v>修复术</v>
      </c>
      <c r="AC13" s="394" t="str">
        <f>IFERROR(IF(AND($Q14&lt;&gt;"",IF(法术查询!$J$4="",1,INDEX($R14:$Z14,1,VLOOKUP(法术查询!$J$4,$AF$2:$AG$10,2,0)))&lt;&gt;"",IF(法术查询!$J$5="",1,$P14=VLOOKUP(法术查询!$J$5,$AH$2:$AI$11,2,0)),IF(法术查询!$J$6="",1,IF(法术查询!$J$6=$E14,1,0)),IF(法术查询!$J$7="",1,SEARCH(法术查询!$J$7,$F14)),IF(法术查询!$J$8="",1,SEARCH(法术查询!$J$8,G14)),IF(法术查询!$J$9="",1,SEARCH(法术查询!$J$9,N14)),IF(法术查询!$J$10="",1,IF(法术查询!$J$10=$AF$11,IF($M14=1,1,0),IF($M14="",1,0))),IF(法术查询!$J$11="",1,IF(法术查询!$J$11=$AF$11,IF($D14=1,1,0),IF($D14="",1,0))),IF(法术查询!$J$12="",1,SEARCH(法术查询!$J$12,$B14&amp;$C14&amp;$O14)),IF(法术查询!$J$13="",1,SEARCH(法术查询!$J$13,$B14&amp;$C14&amp;$O14)),IF(法术查询!$J$14="",1,SEARCH(法术查询!$J$14,$B14&amp;$C14&amp;$O14)),IF(法术查询!$J$16="",1,IF(法术查询!$J$16=$AF$11,IF($H14=1,1,0),IF($H14="",1,0))),IF(法术查询!$J$17="",1,IF(法术查询!$J$17=$AF$11,IF($I14=1,1,0),IF($I14="",1,0))),IF(法术查询!$J$18="",1,IF(法术查询!$J$18=$AF$11,IF($J14&lt;&gt;"",1,0),IF($J14="",1,0))),IF(法术查询!$J$19="",1,IF(法术查询!$J$19=$AF$11,IF($L14&lt;&gt;"",1,0),IF($L14="",1,0)))),$B14,""),"")</f>
        <v/>
      </c>
      <c r="AD13" s="180" t="str">
        <f t="array" ref="AD13">INDEX(AC:AC,SMALL(IF($AC$2:$AC$516&lt;&gt;"",ROW($2:$516),517),ROW(AC12)))&amp;""</f>
        <v>转生术</v>
      </c>
      <c r="AE13" s="198" t="str">
        <f t="shared" si="3"/>
        <v>Reincarnate</v>
      </c>
      <c r="AF13" s="118" t="s">
        <v>6290</v>
      </c>
      <c r="AG13" s="119" t="s">
        <v>6352</v>
      </c>
      <c r="AH13" s="119" t="s">
        <v>6291</v>
      </c>
      <c r="AI13" s="120" t="s">
        <v>6284</v>
      </c>
      <c r="AJ13" s="250">
        <v>12</v>
      </c>
      <c r="AK13" s="180" t="str">
        <f>IF(法术书!V19="","",法术书!V19)</f>
        <v/>
      </c>
      <c r="AL13" s="119" t="str">
        <f t="array" ref="AL13">IFERROR(INDEX(AK$1:AK$301,SMALL(IF(MATCH(AK13,AK$1:AK$301,0)=ROW(AK13),ROW(AK$1:AK$301),999),ROW(AK13))),"")</f>
        <v/>
      </c>
      <c r="AM13" s="120" t="str">
        <f t="array" ref="AM13">INDEX(AL:AL,SMALL(IF($AL$2:$AL$301&lt;&gt;"",ROW($2:$301),302),ROW(AL12)))&amp;""</f>
        <v/>
      </c>
      <c r="AN13" s="250" t="str">
        <f>IF(主要!C77="","",主要!C77)</f>
        <v/>
      </c>
      <c r="AO13" s="180" t="str">
        <f t="shared" si="4"/>
        <v/>
      </c>
      <c r="AP13" s="180" t="str">
        <f t="shared" si="0"/>
        <v/>
      </c>
      <c r="AQ13" s="180" t="e">
        <f t="shared" si="1"/>
        <v>#N/A</v>
      </c>
      <c r="AR13" s="180" t="e">
        <f t="shared" si="2"/>
        <v>#N/A</v>
      </c>
      <c r="AS13" s="180" t="str">
        <f t="array" ref="AS13">IFERROR(INDEX(AN$1:AN$46,SMALL(IF(MATCH(AN13,AN$1:AN$46,0)=ROW(AN13),ROW(AN$1:AN$46),999),ROW(AN13))),"")</f>
        <v/>
      </c>
      <c r="AT13" s="198" t="str">
        <f t="array" ref="AT13">INDEX(AS:AS,SMALL(IF($AS$2:$AS$46&lt;&gt;"",ROW($2:$46),47),ROW(AS12)))&amp;""</f>
        <v/>
      </c>
    </row>
    <row r="14" spans="1:48" ht="14.4" customHeight="1" x14ac:dyDescent="0.25">
      <c r="A14" s="250">
        <v>12</v>
      </c>
      <c r="B14" s="119" t="s">
        <v>6353</v>
      </c>
      <c r="C14" s="119" t="s">
        <v>6354</v>
      </c>
      <c r="D14" s="119"/>
      <c r="E14" s="435" t="s">
        <v>6312</v>
      </c>
      <c r="F14" s="180" t="s">
        <v>6349</v>
      </c>
      <c r="G14" s="180" t="s">
        <v>3682</v>
      </c>
      <c r="H14" s="180">
        <v>1</v>
      </c>
      <c r="I14" s="180">
        <v>1</v>
      </c>
      <c r="J14" s="180">
        <v>1</v>
      </c>
      <c r="K14" s="119" t="s">
        <v>6355</v>
      </c>
      <c r="L14" s="119"/>
      <c r="N14" s="180" t="s">
        <v>6284</v>
      </c>
      <c r="O14" s="119" t="s">
        <v>6356</v>
      </c>
      <c r="P14" s="119">
        <v>0</v>
      </c>
      <c r="Q14" s="119" t="s">
        <v>242</v>
      </c>
      <c r="R14" s="180">
        <v>1</v>
      </c>
      <c r="S14" s="180">
        <v>1</v>
      </c>
      <c r="W14" s="180">
        <v>1</v>
      </c>
      <c r="X14" s="180">
        <v>1</v>
      </c>
      <c r="Z14" s="180">
        <v>9</v>
      </c>
      <c r="AA14" s="198" t="s">
        <v>778</v>
      </c>
      <c r="AB14" s="250" t="str">
        <f t="array" ref="AB14">INDEX(B:B,SMALL(IF($Q$3:$Q$517&lt;&gt;"",ROW($3:$517),518),ROW(B13)))&amp;""</f>
        <v>传讯术</v>
      </c>
      <c r="AC14" s="394" t="str">
        <f>IFERROR(IF(AND($Q15&lt;&gt;"",IF(法术查询!$J$4="",1,INDEX($R15:$Z15,1,VLOOKUP(法术查询!$J$4,$AF$2:$AG$10,2,0)))&lt;&gt;"",IF(法术查询!$J$5="",1,$P15=VLOOKUP(法术查询!$J$5,$AH$2:$AI$11,2,0)),IF(法术查询!$J$6="",1,IF(法术查询!$J$6=$E15,1,0)),IF(法术查询!$J$7="",1,SEARCH(法术查询!$J$7,$F15)),IF(法术查询!$J$8="",1,SEARCH(法术查询!$J$8,G15)),IF(法术查询!$J$9="",1,SEARCH(法术查询!$J$9,N15)),IF(法术查询!$J$10="",1,IF(法术查询!$J$10=$AF$11,IF($M15=1,1,0),IF($M15="",1,0))),IF(法术查询!$J$11="",1,IF(法术查询!$J$11=$AF$11,IF($D15=1,1,0),IF($D15="",1,0))),IF(法术查询!$J$12="",1,SEARCH(法术查询!$J$12,$B15&amp;$C15&amp;$O15)),IF(法术查询!$J$13="",1,SEARCH(法术查询!$J$13,$B15&amp;$C15&amp;$O15)),IF(法术查询!$J$14="",1,SEARCH(法术查询!$J$14,$B15&amp;$C15&amp;$O15)),IF(法术查询!$J$16="",1,IF(法术查询!$J$16=$AF$11,IF($H15=1,1,0),IF($H15="",1,0))),IF(法术查询!$J$17="",1,IF(法术查询!$J$17=$AF$11,IF($I15=1,1,0),IF($I15="",1,0))),IF(法术查询!$J$18="",1,IF(法术查询!$J$18=$AF$11,IF($J15&lt;&gt;"",1,0),IF($J15="",1,0))),IF(法术查询!$J$19="",1,IF(法术查询!$J$19=$AF$11,IF($L15&lt;&gt;"",1,0),IF($L15="",1,0)))),$B15,""),"")</f>
        <v/>
      </c>
      <c r="AD14" s="180" t="str">
        <f t="array" ref="AD14">INDEX(AC:AC,SMALL(IF($AC$2:$AC$516&lt;&gt;"",ROW($2:$516),517),ROW(AC13)))&amp;""</f>
        <v>探知</v>
      </c>
      <c r="AE14" s="198" t="str">
        <f t="shared" si="3"/>
        <v>Scrying</v>
      </c>
      <c r="AF14" s="118" t="s">
        <v>6281</v>
      </c>
      <c r="AG14" s="119" t="s">
        <v>6357</v>
      </c>
      <c r="AH14" s="119" t="s">
        <v>3682</v>
      </c>
      <c r="AI14" s="120" t="s">
        <v>6292</v>
      </c>
      <c r="AJ14" s="250">
        <v>13</v>
      </c>
      <c r="AK14" s="180" t="str">
        <f>IF(法术书!V20="","",法术书!V20)</f>
        <v/>
      </c>
      <c r="AL14" s="119" t="str">
        <f t="array" ref="AL14">IFERROR(INDEX(AK$1:AK$301,SMALL(IF(MATCH(AK14,AK$1:AK$301,0)=ROW(AK14),ROW(AK$1:AK$301),999),ROW(AK14))),"")</f>
        <v/>
      </c>
      <c r="AM14" s="120" t="str">
        <f t="array" ref="AM14">INDEX(AL:AL,SMALL(IF($AL$2:$AL$301&lt;&gt;"",ROW($2:$301),302),ROW(AL13)))&amp;""</f>
        <v/>
      </c>
      <c r="AN14" s="250" t="str">
        <f>IF(主要!C78="","",主要!C78)</f>
        <v/>
      </c>
      <c r="AO14" s="180" t="str">
        <f t="shared" si="4"/>
        <v/>
      </c>
      <c r="AP14" s="180" t="str">
        <f t="shared" si="0"/>
        <v/>
      </c>
      <c r="AQ14" s="180" t="e">
        <f t="shared" si="1"/>
        <v>#N/A</v>
      </c>
      <c r="AR14" s="180" t="e">
        <f t="shared" si="2"/>
        <v>#N/A</v>
      </c>
      <c r="AS14" s="180" t="str">
        <f t="array" ref="AS14">IFERROR(INDEX(AN$1:AN$46,SMALL(IF(MATCH(AN14,AN$1:AN$46,0)=ROW(AN14),ROW(AN$1:AN$46),999),ROW(AN14))),"")</f>
        <v/>
      </c>
      <c r="AT14" s="198" t="str">
        <f t="array" ref="AT14">INDEX(AS:AS,SMALL(IF($AS$2:$AS$46&lt;&gt;"",ROW($2:$46),47),ROW(AS13)))&amp;""</f>
        <v/>
      </c>
    </row>
    <row r="15" spans="1:48" ht="14.4" customHeight="1" x14ac:dyDescent="0.25">
      <c r="A15" s="250">
        <v>13</v>
      </c>
      <c r="B15" s="119" t="s">
        <v>6358</v>
      </c>
      <c r="C15" s="119" t="s">
        <v>6359</v>
      </c>
      <c r="D15" s="119"/>
      <c r="E15" s="435" t="s">
        <v>6312</v>
      </c>
      <c r="F15" s="180" t="s">
        <v>6282</v>
      </c>
      <c r="G15" s="180" t="s">
        <v>6298</v>
      </c>
      <c r="H15" s="180">
        <v>1</v>
      </c>
      <c r="I15" s="180">
        <v>1</v>
      </c>
      <c r="J15" s="180">
        <v>1</v>
      </c>
      <c r="K15" s="119" t="s">
        <v>6360</v>
      </c>
      <c r="L15" s="119"/>
      <c r="N15" s="180" t="s">
        <v>6292</v>
      </c>
      <c r="O15" s="119" t="s">
        <v>6361</v>
      </c>
      <c r="P15" s="119">
        <v>0</v>
      </c>
      <c r="Q15" s="119" t="s">
        <v>242</v>
      </c>
      <c r="R15" s="180">
        <v>1</v>
      </c>
      <c r="W15" s="180">
        <v>1</v>
      </c>
      <c r="X15" s="180">
        <v>1</v>
      </c>
      <c r="Z15" s="180">
        <v>9</v>
      </c>
      <c r="AA15" s="120" t="s">
        <v>6362</v>
      </c>
      <c r="AB15" s="250" t="str">
        <f t="array" ref="AB15">INDEX(B:B,SMALL(IF($Q$3:$Q$517&lt;&gt;"",ROW($3:$517),518),ROW(B14)))&amp;""</f>
        <v>次级幻影</v>
      </c>
      <c r="AC15" s="394" t="str">
        <f>IFERROR(IF(AND($Q16&lt;&gt;"",IF(法术查询!$J$4="",1,INDEX($R16:$Z16,1,VLOOKUP(法术查询!$J$4,$AF$2:$AG$10,2,0)))&lt;&gt;"",IF(法术查询!$J$5="",1,$P16=VLOOKUP(法术查询!$J$5,$AH$2:$AI$11,2,0)),IF(法术查询!$J$6="",1,IF(法术查询!$J$6=$E16,1,0)),IF(法术查询!$J$7="",1,SEARCH(法术查询!$J$7,$F16)),IF(法术查询!$J$8="",1,SEARCH(法术查询!$J$8,G16)),IF(法术查询!$J$9="",1,SEARCH(法术查询!$J$9,N16)),IF(法术查询!$J$10="",1,IF(法术查询!$J$10=$AF$11,IF($M16=1,1,0),IF($M16="",1,0))),IF(法术查询!$J$11="",1,IF(法术查询!$J$11=$AF$11,IF($D16=1,1,0),IF($D16="",1,0))),IF(法术查询!$J$12="",1,SEARCH(法术查询!$J$12,$B16&amp;$C16&amp;$O16)),IF(法术查询!$J$13="",1,SEARCH(法术查询!$J$13,$B16&amp;$C16&amp;$O16)),IF(法术查询!$J$14="",1,SEARCH(法术查询!$J$14,$B16&amp;$C16&amp;$O16)),IF(法术查询!$J$16="",1,IF(法术查询!$J$16=$AF$11,IF($H16=1,1,0),IF($H16="",1,0))),IF(法术查询!$J$17="",1,IF(法术查询!$J$17=$AF$11,IF($I16=1,1,0),IF($I16="",1,0))),IF(法术查询!$J$18="",1,IF(法术查询!$J$18=$AF$11,IF($J16&lt;&gt;"",1,0),IF($J16="",1,0))),IF(法术查询!$J$19="",1,IF(法术查询!$J$19=$AF$11,IF($L16&lt;&gt;"",1,0),IF($L16="",1,0)))),$B16,""),"")</f>
        <v/>
      </c>
      <c r="AD15" s="180" t="str">
        <f t="array" ref="AD15">INDEX(AC:AC,SMALL(IF($AC$2:$AC$516&lt;&gt;"",ROW($2:$516),517),ROW(AC14)))&amp;""</f>
        <v>树跃术</v>
      </c>
      <c r="AE15" s="198" t="str">
        <f t="shared" si="3"/>
        <v>Tree Stride</v>
      </c>
      <c r="AF15" s="118" t="s">
        <v>6335</v>
      </c>
      <c r="AG15" s="119" t="s">
        <v>6282</v>
      </c>
      <c r="AH15" s="119" t="s">
        <v>6363</v>
      </c>
      <c r="AI15" s="120" t="s">
        <v>6349</v>
      </c>
      <c r="AJ15" s="250">
        <v>14</v>
      </c>
      <c r="AK15" s="180" t="str">
        <f>IF(法术书!V21="","",法术书!V21)</f>
        <v/>
      </c>
      <c r="AL15" s="119" t="str">
        <f t="array" ref="AL15">IFERROR(INDEX(AK$1:AK$301,SMALL(IF(MATCH(AK15,AK$1:AK$301,0)=ROW(AK15),ROW(AK$1:AK$301),999),ROW(AK15))),"")</f>
        <v/>
      </c>
      <c r="AM15" s="120" t="str">
        <f t="array" ref="AM15">INDEX(AL:AL,SMALL(IF($AL$2:$AL$301&lt;&gt;"",ROW($2:$301),302),ROW(AL14)))&amp;""</f>
        <v/>
      </c>
      <c r="AN15" s="250" t="str">
        <f>IF(主要!C79="","",主要!C79)</f>
        <v/>
      </c>
      <c r="AO15" s="180" t="str">
        <f t="shared" si="4"/>
        <v/>
      </c>
      <c r="AP15" s="180" t="str">
        <f t="shared" si="0"/>
        <v/>
      </c>
      <c r="AQ15" s="180" t="e">
        <f t="shared" si="1"/>
        <v>#N/A</v>
      </c>
      <c r="AR15" s="180" t="e">
        <f t="shared" si="2"/>
        <v>#N/A</v>
      </c>
      <c r="AS15" s="180" t="str">
        <f t="array" ref="AS15">IFERROR(INDEX(AN$1:AN$46,SMALL(IF(MATCH(AN15,AN$1:AN$46,0)=ROW(AN15),ROW(AN$1:AN$46),999),ROW(AN15))),"")</f>
        <v/>
      </c>
      <c r="AT15" s="198" t="str">
        <f t="array" ref="AT15">INDEX(AS:AS,SMALL(IF($AS$2:$AS$46&lt;&gt;"",ROW($2:$46),47),ROW(AS14)))&amp;""</f>
        <v/>
      </c>
    </row>
    <row r="16" spans="1:48" ht="14.4" customHeight="1" x14ac:dyDescent="0.25">
      <c r="A16" s="250">
        <v>14</v>
      </c>
      <c r="B16" s="119" t="s">
        <v>6364</v>
      </c>
      <c r="C16" s="119" t="s">
        <v>6365</v>
      </c>
      <c r="D16" s="119"/>
      <c r="E16" s="285" t="s">
        <v>6366</v>
      </c>
      <c r="F16" s="180" t="s">
        <v>6282</v>
      </c>
      <c r="G16" s="180" t="s">
        <v>6313</v>
      </c>
      <c r="I16" s="180">
        <v>1</v>
      </c>
      <c r="J16" s="180">
        <v>1</v>
      </c>
      <c r="K16" s="119" t="s">
        <v>6367</v>
      </c>
      <c r="L16" s="119"/>
      <c r="N16" s="180" t="s">
        <v>6349</v>
      </c>
      <c r="O16" s="119" t="s">
        <v>6368</v>
      </c>
      <c r="P16" s="119">
        <v>0</v>
      </c>
      <c r="Q16" s="119" t="s">
        <v>242</v>
      </c>
      <c r="R16" s="180">
        <v>1</v>
      </c>
      <c r="W16" s="180">
        <v>1</v>
      </c>
      <c r="X16" s="180">
        <v>1</v>
      </c>
      <c r="Y16" s="180">
        <v>1</v>
      </c>
      <c r="AA16" s="120" t="s">
        <v>6369</v>
      </c>
      <c r="AB16" s="250" t="str">
        <f t="array" ref="AB16">INDEX(B:B,SMALL(IF($Q$3:$Q$517&lt;&gt;"",ROW($3:$517),518),ROW(B15)))&amp;""</f>
        <v>毒气喷溅</v>
      </c>
      <c r="AC16" s="394" t="str">
        <f>IFERROR(IF(AND($Q17&lt;&gt;"",IF(法术查询!$J$4="",1,INDEX($R17:$Z17,1,VLOOKUP(法术查询!$J$4,$AF$2:$AG$10,2,0)))&lt;&gt;"",IF(法术查询!$J$5="",1,$P17=VLOOKUP(法术查询!$J$5,$AH$2:$AI$11,2,0)),IF(法术查询!$J$6="",1,IF(法术查询!$J$6=$E17,1,0)),IF(法术查询!$J$7="",1,SEARCH(法术查询!$J$7,$F17)),IF(法术查询!$J$8="",1,SEARCH(法术查询!$J$8,G17)),IF(法术查询!$J$9="",1,SEARCH(法术查询!$J$9,N17)),IF(法术查询!$J$10="",1,IF(法术查询!$J$10=$AF$11,IF($M17=1,1,0),IF($M17="",1,0))),IF(法术查询!$J$11="",1,IF(法术查询!$J$11=$AF$11,IF($D17=1,1,0),IF($D17="",1,0))),IF(法术查询!$J$12="",1,SEARCH(法术查询!$J$12,$B17&amp;$C17&amp;$O17)),IF(法术查询!$J$13="",1,SEARCH(法术查询!$J$13,$B17&amp;$C17&amp;$O17)),IF(法术查询!$J$14="",1,SEARCH(法术查询!$J$14,$B17&amp;$C17&amp;$O17)),IF(法术查询!$J$16="",1,IF(法术查询!$J$16=$AF$11,IF($H17=1,1,0),IF($H17="",1,0))),IF(法术查询!$J$17="",1,IF(法术查询!$J$17=$AF$11,IF($I17=1,1,0),IF($I17="",1,0))),IF(法术查询!$J$18="",1,IF(法术查询!$J$18=$AF$11,IF($J17&lt;&gt;"",1,0),IF($J17="",1,0))),IF(法术查询!$J$19="",1,IF(法术查询!$J$19=$AF$11,IF($L17&lt;&gt;"",1,0),IF($L17="",1,0)))),$B17,""),"")</f>
        <v/>
      </c>
      <c r="AD16" s="180" t="str">
        <f t="array" ref="AD16">INDEX(AC:AC,SMALL(IF($AC$2:$AC$516&lt;&gt;"",ROW($2:$516),517),ROW(AC15)))&amp;""</f>
        <v>石墙术</v>
      </c>
      <c r="AE16" s="198" t="str">
        <f t="shared" si="3"/>
        <v>Wall Of Stone</v>
      </c>
      <c r="AF16" s="118" t="s">
        <v>6328</v>
      </c>
      <c r="AG16" s="119" t="s">
        <v>6349</v>
      </c>
      <c r="AH16" s="119" t="s">
        <v>6370</v>
      </c>
      <c r="AI16" s="120" t="s">
        <v>6371</v>
      </c>
      <c r="AJ16" s="250">
        <v>15</v>
      </c>
      <c r="AK16" s="180" t="str">
        <f>IF(法术书!V22="","",法术书!V22)</f>
        <v/>
      </c>
      <c r="AL16" s="119" t="str">
        <f t="array" ref="AL16">IFERROR(INDEX(AK$1:AK$301,SMALL(IF(MATCH(AK16,AK$1:AK$301,0)=ROW(AK16),ROW(AK$1:AK$301),999),ROW(AK16))),"")</f>
        <v/>
      </c>
      <c r="AM16" s="120" t="str">
        <f t="array" ref="AM16">INDEX(AL:AL,SMALL(IF($AL$2:$AL$301&lt;&gt;"",ROW($2:$301),302),ROW(AL15)))&amp;""</f>
        <v/>
      </c>
      <c r="AN16" s="250" t="str">
        <f>IF(主要!C80="","",主要!C80)</f>
        <v/>
      </c>
      <c r="AO16" s="180" t="str">
        <f t="shared" si="4"/>
        <v/>
      </c>
      <c r="AP16" s="180" t="str">
        <f t="shared" si="0"/>
        <v/>
      </c>
      <c r="AQ16" s="180" t="e">
        <f t="shared" si="1"/>
        <v>#N/A</v>
      </c>
      <c r="AR16" s="180" t="e">
        <f t="shared" si="2"/>
        <v>#N/A</v>
      </c>
      <c r="AS16" s="180" t="str">
        <f t="array" ref="AS16">IFERROR(INDEX(AN$1:AN$46,SMALL(IF(MATCH(AN16,AN$1:AN$46,0)=ROW(AN16),ROW(AN$1:AN$46),999),ROW(AN16))),"")</f>
        <v/>
      </c>
      <c r="AT16" s="198" t="str">
        <f t="array" ref="AT16">INDEX(AS:AS,SMALL(IF($AS$2:$AS$46&lt;&gt;"",ROW($2:$46),47),ROW(AS15)))&amp;""</f>
        <v/>
      </c>
    </row>
    <row r="17" spans="1:46" ht="14.4" customHeight="1" x14ac:dyDescent="0.25">
      <c r="A17" s="250">
        <v>15</v>
      </c>
      <c r="B17" s="119" t="s">
        <v>6372</v>
      </c>
      <c r="C17" s="119" t="s">
        <v>6373</v>
      </c>
      <c r="D17" s="119"/>
      <c r="E17" s="378" t="s">
        <v>6281</v>
      </c>
      <c r="F17" s="180" t="s">
        <v>6282</v>
      </c>
      <c r="G17" s="180" t="s">
        <v>6370</v>
      </c>
      <c r="H17" s="180">
        <v>1</v>
      </c>
      <c r="I17" s="180">
        <v>1</v>
      </c>
      <c r="N17" s="180" t="s">
        <v>6284</v>
      </c>
      <c r="O17" s="119" t="s">
        <v>6374</v>
      </c>
      <c r="P17" s="119">
        <v>0</v>
      </c>
      <c r="Q17" s="119" t="s">
        <v>242</v>
      </c>
      <c r="T17" s="180">
        <v>1</v>
      </c>
      <c r="W17" s="180">
        <v>1</v>
      </c>
      <c r="X17" s="180">
        <v>1</v>
      </c>
      <c r="Y17" s="180">
        <v>1</v>
      </c>
      <c r="Z17" s="180">
        <v>9</v>
      </c>
      <c r="AA17" s="198" t="s">
        <v>6375</v>
      </c>
      <c r="AB17" s="250" t="str">
        <f t="array" ref="AB17">INDEX(B:B,SMALL(IF($Q$3:$Q$517&lt;&gt;"",ROW($3:$517),518),ROW(B16)))&amp;""</f>
        <v>魔法伎俩</v>
      </c>
      <c r="AC17" s="394" t="str">
        <f>IFERROR(IF(AND($Q18&lt;&gt;"",IF(法术查询!$J$4="",1,INDEX($R18:$Z18,1,VLOOKUP(法术查询!$J$4,$AF$2:$AG$10,2,0)))&lt;&gt;"",IF(法术查询!$J$5="",1,$P18=VLOOKUP(法术查询!$J$5,$AH$2:$AI$11,2,0)),IF(法术查询!$J$6="",1,IF(法术查询!$J$6=$E18,1,0)),IF(法术查询!$J$7="",1,SEARCH(法术查询!$J$7,$F18)),IF(法术查询!$J$8="",1,SEARCH(法术查询!$J$8,G18)),IF(法术查询!$J$9="",1,SEARCH(法术查询!$J$9,N18)),IF(法术查询!$J$10="",1,IF(法术查询!$J$10=$AF$11,IF($M18=1,1,0),IF($M18="",1,0))),IF(法术查询!$J$11="",1,IF(法术查询!$J$11=$AF$11,IF($D18=1,1,0),IF($D18="",1,0))),IF(法术查询!$J$12="",1,SEARCH(法术查询!$J$12,$B18&amp;$C18&amp;$O18)),IF(法术查询!$J$13="",1,SEARCH(法术查询!$J$13,$B18&amp;$C18&amp;$O18)),IF(法术查询!$J$14="",1,SEARCH(法术查询!$J$14,$B18&amp;$C18&amp;$O18)),IF(法术查询!$J$16="",1,IF(法术查询!$J$16=$AF$11,IF($H18=1,1,0),IF($H18="",1,0))),IF(法术查询!$J$17="",1,IF(法术查询!$J$17=$AF$11,IF($I18=1,1,0),IF($I18="",1,0))),IF(法术查询!$J$18="",1,IF(法术查询!$J$18=$AF$11,IF($J18&lt;&gt;"",1,0),IF($J18="",1,0))),IF(法术查询!$J$19="",1,IF(法术查询!$J$19=$AF$11,IF($L18&lt;&gt;"",1,0),IF($L18="",1,0)))),$B18,""),"")</f>
        <v/>
      </c>
      <c r="AD17" s="180" t="str">
        <f t="array" ref="AD17">INDEX(AC:AC,SMALL(IF($AC$2:$AC$516&lt;&gt;"",ROW($2:$516),517),ROW(AC16)))&amp;""</f>
        <v>操控风力</v>
      </c>
      <c r="AE17" s="198" t="str">
        <f t="shared" si="3"/>
        <v>Control Wind</v>
      </c>
      <c r="AF17" s="118" t="s">
        <v>6304</v>
      </c>
      <c r="AG17" s="119" t="s">
        <v>6371</v>
      </c>
      <c r="AH17" s="119" t="s">
        <v>6376</v>
      </c>
      <c r="AI17" s="120" t="s">
        <v>6344</v>
      </c>
      <c r="AJ17" s="250">
        <v>16</v>
      </c>
      <c r="AK17" s="180" t="str">
        <f>IF(法术书!V23="","",法术书!V23)</f>
        <v/>
      </c>
      <c r="AL17" s="119" t="str">
        <f t="array" ref="AL17">IFERROR(INDEX(AK$1:AK$301,SMALL(IF(MATCH(AK17,AK$1:AK$301,0)=ROW(AK17),ROW(AK$1:AK$301),999),ROW(AK17))),"")</f>
        <v/>
      </c>
      <c r="AM17" s="120" t="str">
        <f t="array" ref="AM17">INDEX(AL:AL,SMALL(IF($AL$2:$AL$301&lt;&gt;"",ROW($2:$301),302),ROW(AL16)))&amp;""</f>
        <v/>
      </c>
      <c r="AN17" s="250" t="str">
        <f>IF(主要!J66="","",主要!J66)</f>
        <v/>
      </c>
      <c r="AO17" s="180" t="str">
        <f t="shared" si="4"/>
        <v/>
      </c>
      <c r="AP17" s="180" t="str">
        <f t="shared" si="0"/>
        <v/>
      </c>
      <c r="AQ17" s="180" t="e">
        <f t="shared" si="1"/>
        <v>#N/A</v>
      </c>
      <c r="AR17" s="180" t="e">
        <f t="shared" si="2"/>
        <v>#N/A</v>
      </c>
      <c r="AS17" s="180" t="str">
        <f t="array" ref="AS17">IFERROR(INDEX(AN$1:AN$46,SMALL(IF(MATCH(AN17,AN$1:AN$46,0)=ROW(AN17),ROW(AN$1:AN$46),999),ROW(AN17))),"")</f>
        <v/>
      </c>
      <c r="AT17" s="198" t="str">
        <f t="array" ref="AT17">INDEX(AS:AS,SMALL(IF($AS$2:$AS$46&lt;&gt;"",ROW($2:$46),47),ROW(AS16)))&amp;""</f>
        <v/>
      </c>
    </row>
    <row r="18" spans="1:46" ht="14.4" customHeight="1" x14ac:dyDescent="0.25">
      <c r="A18" s="250">
        <v>16</v>
      </c>
      <c r="B18" s="119" t="s">
        <v>6377</v>
      </c>
      <c r="C18" s="119" t="s">
        <v>6378</v>
      </c>
      <c r="D18" s="119"/>
      <c r="E18" s="435" t="s">
        <v>6312</v>
      </c>
      <c r="F18" s="180" t="s">
        <v>6282</v>
      </c>
      <c r="G18" s="180" t="s">
        <v>6370</v>
      </c>
      <c r="H18" s="180">
        <v>1</v>
      </c>
      <c r="I18" s="180">
        <v>1</v>
      </c>
      <c r="N18" s="180" t="s">
        <v>6379</v>
      </c>
      <c r="O18" s="119" t="s">
        <v>6380</v>
      </c>
      <c r="P18" s="119">
        <v>0</v>
      </c>
      <c r="Q18" s="119" t="s">
        <v>242</v>
      </c>
      <c r="R18" s="180">
        <v>1</v>
      </c>
      <c r="W18" s="180">
        <v>1</v>
      </c>
      <c r="X18" s="180">
        <v>1</v>
      </c>
      <c r="Y18" s="180">
        <v>1</v>
      </c>
      <c r="Z18" s="180">
        <v>9</v>
      </c>
      <c r="AA18" s="120" t="s">
        <v>6381</v>
      </c>
      <c r="AB18" s="250" t="str">
        <f t="array" ref="AB18">INDEX(B:B,SMALL(IF($Q$3:$Q$517&lt;&gt;"",ROW($3:$517),518),ROW(B17)))&amp;""</f>
        <v>燃火术</v>
      </c>
      <c r="AC18" s="394" t="str">
        <f>IFERROR(IF(AND($Q19&lt;&gt;"",IF(法术查询!$J$4="",1,INDEX($R19:$Z19,1,VLOOKUP(法术查询!$J$4,$AF$2:$AG$10,2,0)))&lt;&gt;"",IF(法术查询!$J$5="",1,$P19=VLOOKUP(法术查询!$J$5,$AH$2:$AI$11,2,0)),IF(法术查询!$J$6="",1,IF(法术查询!$J$6=$E19,1,0)),IF(法术查询!$J$7="",1,SEARCH(法术查询!$J$7,$F19)),IF(法术查询!$J$8="",1,SEARCH(法术查询!$J$8,G19)),IF(法术查询!$J$9="",1,SEARCH(法术查询!$J$9,N19)),IF(法术查询!$J$10="",1,IF(法术查询!$J$10=$AF$11,IF($M19=1,1,0),IF($M19="",1,0))),IF(法术查询!$J$11="",1,IF(法术查询!$J$11=$AF$11,IF($D19=1,1,0),IF($D19="",1,0))),IF(法术查询!$J$12="",1,SEARCH(法术查询!$J$12,$B19&amp;$C19&amp;$O19)),IF(法术查询!$J$13="",1,SEARCH(法术查询!$J$13,$B19&amp;$C19&amp;$O19)),IF(法术查询!$J$14="",1,SEARCH(法术查询!$J$14,$B19&amp;$C19&amp;$O19)),IF(法术查询!$J$16="",1,IF(法术查询!$J$16=$AF$11,IF($H19=1,1,0),IF($H19="",1,0))),IF(法术查询!$J$17="",1,IF(法术查询!$J$17=$AF$11,IF($I19=1,1,0),IF($I19="",1,0))),IF(法术查询!$J$18="",1,IF(法术查询!$J$18=$AF$11,IF($J19&lt;&gt;"",1,0),IF($J19="",1,0))),IF(法术查询!$J$19="",1,IF(法术查询!$J$19=$AF$11,IF($L19&lt;&gt;"",1,0),IF($L19="",1,0)))),$B19,""),"")</f>
        <v/>
      </c>
      <c r="AD18" s="180" t="str">
        <f t="array" ref="AD18">INDEX(AC:AC,SMALL(IF($AC$2:$AC$516&lt;&gt;"",ROW($2:$516),517),ROW(AC17)))&amp;""</f>
        <v>大漩涡</v>
      </c>
      <c r="AE18" s="198" t="str">
        <f t="shared" si="3"/>
        <v>Maelstrom</v>
      </c>
      <c r="AF18" s="118" t="s">
        <v>6366</v>
      </c>
      <c r="AG18" s="119" t="s">
        <v>6344</v>
      </c>
      <c r="AH18" s="119" t="s">
        <v>6382</v>
      </c>
      <c r="AI18" s="120" t="s">
        <v>6383</v>
      </c>
      <c r="AJ18" s="250">
        <v>17</v>
      </c>
      <c r="AK18" s="180" t="str">
        <f>IF(法术书!V24="","",法术书!V24)</f>
        <v/>
      </c>
      <c r="AL18" s="119" t="str">
        <f t="array" ref="AL18">IFERROR(INDEX(AK$1:AK$301,SMALL(IF(MATCH(AK18,AK$1:AK$301,0)=ROW(AK18),ROW(AK$1:AK$301),999),ROW(AK18))),"")</f>
        <v/>
      </c>
      <c r="AM18" s="120" t="str">
        <f t="array" ref="AM18">INDEX(AL:AL,SMALL(IF($AL$2:$AL$301&lt;&gt;"",ROW($2:$301),302),ROW(AL17)))&amp;""</f>
        <v/>
      </c>
      <c r="AN18" s="250" t="str">
        <f>IF(主要!J67="","",主要!J67)</f>
        <v/>
      </c>
      <c r="AO18" s="180" t="str">
        <f t="shared" si="4"/>
        <v/>
      </c>
      <c r="AP18" s="180" t="str">
        <f t="shared" si="0"/>
        <v/>
      </c>
      <c r="AQ18" s="180" t="e">
        <f t="shared" si="1"/>
        <v>#N/A</v>
      </c>
      <c r="AR18" s="180" t="e">
        <f t="shared" si="2"/>
        <v>#N/A</v>
      </c>
      <c r="AS18" s="180" t="str">
        <f t="array" ref="AS18">IFERROR(INDEX(AN$1:AN$46,SMALL(IF(MATCH(AN18,AN$1:AN$46,0)=ROW(AN18),ROW(AN$1:AN$46),999),ROW(AN18))),"")</f>
        <v/>
      </c>
      <c r="AT18" s="198" t="str">
        <f t="array" ref="AT18">INDEX(AS:AS,SMALL(IF($AS$2:$AS$46&lt;&gt;"",ROW($2:$46),47),ROW(AS17)))&amp;""</f>
        <v/>
      </c>
    </row>
    <row r="19" spans="1:46" ht="14.4" customHeight="1" x14ac:dyDescent="0.25">
      <c r="A19" s="250">
        <v>17</v>
      </c>
      <c r="B19" s="119" t="s">
        <v>6384</v>
      </c>
      <c r="C19" s="119" t="s">
        <v>6385</v>
      </c>
      <c r="D19" s="119"/>
      <c r="E19" s="378" t="s">
        <v>6281</v>
      </c>
      <c r="F19" s="180" t="s">
        <v>6282</v>
      </c>
      <c r="G19" s="180" t="s">
        <v>6291</v>
      </c>
      <c r="H19" s="180">
        <v>1</v>
      </c>
      <c r="I19" s="180">
        <v>1</v>
      </c>
      <c r="N19" s="180" t="s">
        <v>6371</v>
      </c>
      <c r="O19" s="119" t="s">
        <v>6386</v>
      </c>
      <c r="P19" s="119">
        <v>0</v>
      </c>
      <c r="Q19" s="119" t="s">
        <v>242</v>
      </c>
      <c r="T19" s="180">
        <v>1</v>
      </c>
      <c r="AA19" s="120" t="s">
        <v>6387</v>
      </c>
      <c r="AB19" s="250" t="str">
        <f t="array" ref="AB19">INDEX(B:B,SMALL(IF($Q$3:$Q$517&lt;&gt;"",ROW($3:$517),518),ROW(B18)))&amp;""</f>
        <v>冷冻射线</v>
      </c>
      <c r="AC19" s="394" t="str">
        <f>IFERROR(IF(AND($Q20&lt;&gt;"",IF(法术查询!$J$4="",1,INDEX($R20:$Z20,1,VLOOKUP(法术查询!$J$4,$AF$2:$AG$10,2,0)))&lt;&gt;"",IF(法术查询!$J$5="",1,$P20=VLOOKUP(法术查询!$J$5,$AH$2:$AI$11,2,0)),IF(法术查询!$J$6="",1,IF(法术查询!$J$6=$E20,1,0)),IF(法术查询!$J$7="",1,SEARCH(法术查询!$J$7,$F20)),IF(法术查询!$J$8="",1,SEARCH(法术查询!$J$8,G20)),IF(法术查询!$J$9="",1,SEARCH(法术查询!$J$9,N20)),IF(法术查询!$J$10="",1,IF(法术查询!$J$10=$AF$11,IF($M20=1,1,0),IF($M20="",1,0))),IF(法术查询!$J$11="",1,IF(法术查询!$J$11=$AF$11,IF($D20=1,1,0),IF($D20="",1,0))),IF(法术查询!$J$12="",1,SEARCH(法术查询!$J$12,$B20&amp;$C20&amp;$O20)),IF(法术查询!$J$13="",1,SEARCH(法术查询!$J$13,$B20&amp;$C20&amp;$O20)),IF(法术查询!$J$14="",1,SEARCH(法术查询!$J$14,$B20&amp;$C20&amp;$O20)),IF(法术查询!$J$16="",1,IF(法术查询!$J$16=$AF$11,IF($H20=1,1,0),IF($H20="",1,0))),IF(法术查询!$J$17="",1,IF(法术查询!$J$17=$AF$11,IF($I20=1,1,0),IF($I20="",1,0))),IF(法术查询!$J$18="",1,IF(法术查询!$J$18=$AF$11,IF($J20&lt;&gt;"",1,0),IF($J20="",1,0))),IF(法术查询!$J$19="",1,IF(法术查询!$J$19=$AF$11,IF($L20&lt;&gt;"",1,0),IF($L20="",1,0)))),$B20,""),"")</f>
        <v/>
      </c>
      <c r="AD19" s="180" t="str">
        <f t="array" ref="AD19">INDEX(AC:AC,SMALL(IF($AC$2:$AC$516&lt;&gt;"",ROW($2:$516),517),ROW(AC18)))&amp;""</f>
        <v>转化岩石</v>
      </c>
      <c r="AE19" s="198" t="str">
        <f t="shared" si="3"/>
        <v>Transmute Rock</v>
      </c>
      <c r="AF19" s="118" t="s">
        <v>6297</v>
      </c>
      <c r="AG19" s="119" t="s">
        <v>6388</v>
      </c>
      <c r="AH19" s="119" t="s">
        <v>6313</v>
      </c>
      <c r="AI19" s="120" t="s">
        <v>6389</v>
      </c>
      <c r="AJ19" s="250">
        <v>18</v>
      </c>
      <c r="AK19" s="180" t="str">
        <f>IF(法术书!V25="","",法术书!V25)</f>
        <v/>
      </c>
      <c r="AL19" s="119" t="str">
        <f t="array" ref="AL19">IFERROR(INDEX(AK$1:AK$301,SMALL(IF(MATCH(AK19,AK$1:AK$301,0)=ROW(AK19),ROW(AK$1:AK$301),999),ROW(AK19))),"")</f>
        <v/>
      </c>
      <c r="AM19" s="120" t="str">
        <f t="array" ref="AM19">INDEX(AL:AL,SMALL(IF($AL$2:$AL$301&lt;&gt;"",ROW($2:$301),302),ROW(AL18)))&amp;""</f>
        <v/>
      </c>
      <c r="AN19" s="250" t="str">
        <f>IF(主要!J68="","",主要!J68)</f>
        <v/>
      </c>
      <c r="AO19" s="180" t="str">
        <f t="shared" si="4"/>
        <v/>
      </c>
      <c r="AP19" s="180" t="str">
        <f t="shared" si="0"/>
        <v/>
      </c>
      <c r="AQ19" s="180" t="e">
        <f t="shared" si="1"/>
        <v>#N/A</v>
      </c>
      <c r="AR19" s="180" t="e">
        <f t="shared" si="2"/>
        <v>#N/A</v>
      </c>
      <c r="AS19" s="180" t="str">
        <f t="array" ref="AS19">IFERROR(INDEX(AN$1:AN$46,SMALL(IF(MATCH(AN19,AN$1:AN$46,0)=ROW(AN19),ROW(AN$1:AN$46),999),ROW(AN19))),"")</f>
        <v/>
      </c>
      <c r="AT19" s="198" t="str">
        <f t="array" ref="AT19">INDEX(AS:AS,SMALL(IF($AS$2:$AS$46&lt;&gt;"",ROW($2:$46),47),ROW(AS18)))&amp;""</f>
        <v/>
      </c>
    </row>
    <row r="20" spans="1:46" ht="14.4" customHeight="1" x14ac:dyDescent="0.25">
      <c r="A20" s="250">
        <v>18</v>
      </c>
      <c r="B20" s="119" t="s">
        <v>6390</v>
      </c>
      <c r="C20" s="119" t="s">
        <v>6391</v>
      </c>
      <c r="D20" s="119"/>
      <c r="E20" s="434" t="s">
        <v>6304</v>
      </c>
      <c r="F20" s="180" t="s">
        <v>6282</v>
      </c>
      <c r="G20" s="180" t="s">
        <v>6283</v>
      </c>
      <c r="H20" s="180">
        <v>1</v>
      </c>
      <c r="I20" s="180">
        <v>1</v>
      </c>
      <c r="N20" s="180" t="s">
        <v>6284</v>
      </c>
      <c r="O20" s="119" t="s">
        <v>6392</v>
      </c>
      <c r="P20" s="119">
        <v>0</v>
      </c>
      <c r="Q20" s="119" t="s">
        <v>242</v>
      </c>
      <c r="W20" s="180">
        <v>1</v>
      </c>
      <c r="X20" s="180">
        <v>1</v>
      </c>
      <c r="Z20" s="180">
        <v>9</v>
      </c>
      <c r="AA20" s="120" t="s">
        <v>6393</v>
      </c>
      <c r="AB20" s="250" t="str">
        <f t="array" ref="AB20">INDEX(B:B,SMALL(IF($Q$3:$Q$517&lt;&gt;"",ROW($3:$517),518),ROW(B19)))&amp;""</f>
        <v>提升抗性</v>
      </c>
      <c r="AC20" s="394" t="str">
        <f>IFERROR(IF(AND($Q21&lt;&gt;"",IF(法术查询!$J$4="",1,INDEX($R21:$Z21,1,VLOOKUP(法术查询!$J$4,$AF$2:$AG$10,2,0)))&lt;&gt;"",IF(法术查询!$J$5="",1,$P21=VLOOKUP(法术查询!$J$5,$AH$2:$AI$11,2,0)),IF(法术查询!$J$6="",1,IF(法术查询!$J$6=$E21,1,0)),IF(法术查询!$J$7="",1,SEARCH(法术查询!$J$7,$F21)),IF(法术查询!$J$8="",1,SEARCH(法术查询!$J$8,G21)),IF(法术查询!$J$9="",1,SEARCH(法术查询!$J$9,N21)),IF(法术查询!$J$10="",1,IF(法术查询!$J$10=$AF$11,IF($M21=1,1,0),IF($M21="",1,0))),IF(法术查询!$J$11="",1,IF(法术查询!$J$11=$AF$11,IF($D21=1,1,0),IF($D21="",1,0))),IF(法术查询!$J$12="",1,SEARCH(法术查询!$J$12,$B21&amp;$C21&amp;$O21)),IF(法术查询!$J$13="",1,SEARCH(法术查询!$J$13,$B21&amp;$C21&amp;$O21)),IF(法术查询!$J$14="",1,SEARCH(法术查询!$J$14,$B21&amp;$C21&amp;$O21)),IF(法术查询!$J$16="",1,IF(法术查询!$J$16=$AF$11,IF($H21=1,1,0),IF($H21="",1,0))),IF(法术查询!$J$17="",1,IF(法术查询!$J$17=$AF$11,IF($I21=1,1,0),IF($I21="",1,0))),IF(法术查询!$J$18="",1,IF(法术查询!$J$18=$AF$11,IF($J21&lt;&gt;"",1,0),IF($J21="",1,0))),IF(法术查询!$J$19="",1,IF(法术查询!$J$19=$AF$11,IF($L21&lt;&gt;"",1,0),IF($L21="",1,0)))),$B21,""),"")</f>
        <v/>
      </c>
      <c r="AD20" s="180" t="str">
        <f t="array" ref="AD20">INDEX(AC:AC,SMALL(IF($AC$2:$AC$516&lt;&gt;"",ROW($2:$516),517),ROW(AC19)))&amp;""</f>
        <v>自然之怒</v>
      </c>
      <c r="AE20" s="198" t="str">
        <f t="shared" si="3"/>
        <v>Wrath Of Nature</v>
      </c>
      <c r="AF20" s="118" t="s">
        <v>6312</v>
      </c>
      <c r="AG20" s="119" t="s">
        <v>6394</v>
      </c>
      <c r="AH20" s="119" t="s">
        <v>6283</v>
      </c>
      <c r="AI20" s="120" t="s">
        <v>6388</v>
      </c>
      <c r="AJ20" s="250">
        <v>19</v>
      </c>
      <c r="AK20" s="180" t="str">
        <f>IF(法术书!V26="","",法术书!V26)</f>
        <v/>
      </c>
      <c r="AL20" s="119" t="str">
        <f t="array" ref="AL20">IFERROR(INDEX(AK$1:AK$301,SMALL(IF(MATCH(AK20,AK$1:AK$301,0)=ROW(AK20),ROW(AK$1:AK$301),999),ROW(AK20))),"")</f>
        <v/>
      </c>
      <c r="AM20" s="120" t="str">
        <f t="array" ref="AM20">INDEX(AL:AL,SMALL(IF($AL$2:$AL$301&lt;&gt;"",ROW($2:$301),302),ROW(AL19)))&amp;""</f>
        <v/>
      </c>
      <c r="AN20" s="250" t="str">
        <f>IF(主要!J69="","",主要!J69)</f>
        <v/>
      </c>
      <c r="AO20" s="180" t="str">
        <f t="shared" si="4"/>
        <v/>
      </c>
      <c r="AP20" s="180" t="str">
        <f t="shared" si="0"/>
        <v/>
      </c>
      <c r="AQ20" s="180" t="e">
        <f t="shared" si="1"/>
        <v>#N/A</v>
      </c>
      <c r="AR20" s="180" t="e">
        <f t="shared" si="2"/>
        <v>#N/A</v>
      </c>
      <c r="AS20" s="180" t="str">
        <f t="array" ref="AS20">IFERROR(INDEX(AN$1:AN$46,SMALL(IF(MATCH(AN20,AN$1:AN$46,0)=ROW(AN20),ROW(AN$1:AN$46),999),ROW(AN20))),"")</f>
        <v/>
      </c>
      <c r="AT20" s="198" t="str">
        <f t="array" ref="AT20">INDEX(AS:AS,SMALL(IF($AS$2:$AS$46&lt;&gt;"",ROW($2:$46),47),ROW(AS19)))&amp;""</f>
        <v/>
      </c>
    </row>
    <row r="21" spans="1:46" ht="14.4" customHeight="1" x14ac:dyDescent="0.25">
      <c r="A21" s="250">
        <v>19</v>
      </c>
      <c r="B21" s="119" t="s">
        <v>6395</v>
      </c>
      <c r="C21" s="119" t="s">
        <v>6396</v>
      </c>
      <c r="D21" s="119"/>
      <c r="E21" s="440" t="s">
        <v>6290</v>
      </c>
      <c r="F21" s="180" t="s">
        <v>6282</v>
      </c>
      <c r="G21" s="180" t="s">
        <v>3682</v>
      </c>
      <c r="H21" s="180">
        <v>1</v>
      </c>
      <c r="I21" s="180">
        <v>1</v>
      </c>
      <c r="J21" s="180">
        <v>1</v>
      </c>
      <c r="K21" s="119" t="s">
        <v>6397</v>
      </c>
      <c r="L21" s="119"/>
      <c r="M21" s="180">
        <v>1</v>
      </c>
      <c r="N21" s="180" t="s">
        <v>6306</v>
      </c>
      <c r="O21" s="119" t="s">
        <v>6398</v>
      </c>
      <c r="P21" s="119">
        <v>0</v>
      </c>
      <c r="Q21" s="119" t="s">
        <v>242</v>
      </c>
      <c r="S21" s="180">
        <v>1</v>
      </c>
      <c r="T21" s="180">
        <v>1</v>
      </c>
      <c r="Z21" s="180">
        <v>9</v>
      </c>
      <c r="AA21" s="198"/>
      <c r="AB21" s="250" t="str">
        <f t="array" ref="AB21">INDEX(B:B,SMALL(IF($Q$3:$Q$517&lt;&gt;"",ROW($3:$517),518),ROW(B20)))&amp;""</f>
        <v>圣火术</v>
      </c>
      <c r="AC21" s="394" t="str">
        <f>IFERROR(IF(AND($Q22&lt;&gt;"",IF(法术查询!$J$4="",1,INDEX($R22:$Z22,1,VLOOKUP(法术查询!$J$4,$AF$2:$AG$10,2,0)))&lt;&gt;"",IF(法术查询!$J$5="",1,$P22=VLOOKUP(法术查询!$J$5,$AH$2:$AI$11,2,0)),IF(法术查询!$J$6="",1,IF(法术查询!$J$6=$E22,1,0)),IF(法术查询!$J$7="",1,SEARCH(法术查询!$J$7,$F22)),IF(法术查询!$J$8="",1,SEARCH(法术查询!$J$8,G22)),IF(法术查询!$J$9="",1,SEARCH(法术查询!$J$9,N22)),IF(法术查询!$J$10="",1,IF(法术查询!$J$10=$AF$11,IF($M22=1,1,0),IF($M22="",1,0))),IF(法术查询!$J$11="",1,IF(法术查询!$J$11=$AF$11,IF($D22=1,1,0),IF($D22="",1,0))),IF(法术查询!$J$12="",1,SEARCH(法术查询!$J$12,$B22&amp;$C22&amp;$O22)),IF(法术查询!$J$13="",1,SEARCH(法术查询!$J$13,$B22&amp;$C22&amp;$O22)),IF(法术查询!$J$14="",1,SEARCH(法术查询!$J$14,$B22&amp;$C22&amp;$O22)),IF(法术查询!$J$16="",1,IF(法术查询!$J$16=$AF$11,IF($H22=1,1,0),IF($H22="",1,0))),IF(法术查询!$J$17="",1,IF(法术查询!$J$17=$AF$11,IF($I22=1,1,0),IF($I22="",1,0))),IF(法术查询!$J$18="",1,IF(法术查询!$J$18=$AF$11,IF($J22&lt;&gt;"",1,0),IF($J22="",1,0))),IF(法术查询!$J$19="",1,IF(法术查询!$J$19=$AF$11,IF($L22&lt;&gt;"",1,0),IF($L22="",1,0)))),$B22,""),"")</f>
        <v/>
      </c>
      <c r="AD21" s="180" t="str">
        <f t="array" ref="AD21">INDEX(AC:AC,SMALL(IF($AC$2:$AC$516&lt;&gt;"",ROW($2:$516),517),ROW(AC20)))&amp;""</f>
        <v>龙类精魂召唤术</v>
      </c>
      <c r="AE21" s="198" t="str">
        <f t="shared" si="3"/>
        <v>Summon Draconic Spirit</v>
      </c>
      <c r="AF21" s="250"/>
      <c r="AG21" s="119" t="s">
        <v>6399</v>
      </c>
      <c r="AH21" s="119" t="s">
        <v>6400</v>
      </c>
      <c r="AI21" s="120" t="s">
        <v>6399</v>
      </c>
      <c r="AJ21" s="250">
        <v>20</v>
      </c>
      <c r="AK21" s="180" t="str">
        <f>IF(法术书!V27="","",法术书!V27)</f>
        <v/>
      </c>
      <c r="AL21" s="119" t="str">
        <f t="array" ref="AL21">IFERROR(INDEX(AK$1:AK$301,SMALL(IF(MATCH(AK21,AK$1:AK$301,0)=ROW(AK21),ROW(AK$1:AK$301),999),ROW(AK21))),"")</f>
        <v/>
      </c>
      <c r="AM21" s="120" t="str">
        <f t="array" ref="AM21">INDEX(AL:AL,SMALL(IF($AL$2:$AL$301&lt;&gt;"",ROW($2:$301),302),ROW(AL20)))&amp;""</f>
        <v/>
      </c>
      <c r="AN21" s="250" t="str">
        <f>IF(主要!J70="","",主要!J70)</f>
        <v/>
      </c>
      <c r="AO21" s="180" t="str">
        <f t="shared" si="4"/>
        <v/>
      </c>
      <c r="AP21" s="180" t="str">
        <f t="shared" si="0"/>
        <v/>
      </c>
      <c r="AQ21" s="180" t="e">
        <f t="shared" si="1"/>
        <v>#N/A</v>
      </c>
      <c r="AR21" s="180" t="e">
        <f t="shared" si="2"/>
        <v>#N/A</v>
      </c>
      <c r="AS21" s="180" t="str">
        <f t="array" ref="AS21">IFERROR(INDEX(AN$1:AN$46,SMALL(IF(MATCH(AN21,AN$1:AN$46,0)=ROW(AN21),ROW(AN$1:AN$46),999),ROW(AN21))),"")</f>
        <v/>
      </c>
      <c r="AT21" s="198" t="str">
        <f t="array" ref="AT21">INDEX(AS:AS,SMALL(IF($AS$2:$AS$46&lt;&gt;"",ROW($2:$46),47),ROW(AS20)))&amp;""</f>
        <v/>
      </c>
    </row>
    <row r="22" spans="1:46" ht="14.4" customHeight="1" x14ac:dyDescent="0.25">
      <c r="A22" s="250">
        <v>20</v>
      </c>
      <c r="B22" s="119" t="s">
        <v>6401</v>
      </c>
      <c r="C22" s="119" t="s">
        <v>6402</v>
      </c>
      <c r="D22" s="119"/>
      <c r="E22" s="434" t="s">
        <v>6304</v>
      </c>
      <c r="F22" s="180" t="s">
        <v>6282</v>
      </c>
      <c r="G22" s="180" t="s">
        <v>6283</v>
      </c>
      <c r="H22" s="180">
        <v>1</v>
      </c>
      <c r="I22" s="180">
        <v>1</v>
      </c>
      <c r="N22" s="180" t="s">
        <v>6284</v>
      </c>
      <c r="O22" s="119" t="s">
        <v>6403</v>
      </c>
      <c r="P22" s="119">
        <v>0</v>
      </c>
      <c r="Q22" s="119" t="s">
        <v>242</v>
      </c>
      <c r="S22" s="180">
        <v>1</v>
      </c>
      <c r="AA22" s="120" t="s">
        <v>6404</v>
      </c>
      <c r="AB22" s="250" t="str">
        <f t="array" ref="AB22">INDEX(B:B,SMALL(IF($Q$3:$Q$517&lt;&gt;"",ROW($3:$517),518),ROW(B21)))&amp;""</f>
        <v>橡棍术</v>
      </c>
      <c r="AC22" s="394" t="str">
        <f>IFERROR(IF(AND($Q23&lt;&gt;"",IF(法术查询!$J$4="",1,INDEX($R23:$Z23,1,VLOOKUP(法术查询!$J$4,$AF$2:$AG$10,2,0)))&lt;&gt;"",IF(法术查询!$J$5="",1,$P23=VLOOKUP(法术查询!$J$5,$AH$2:$AI$11,2,0)),IF(法术查询!$J$6="",1,IF(法术查询!$J$6=$E23,1,0)),IF(法术查询!$J$7="",1,SEARCH(法术查询!$J$7,$F23)),IF(法术查询!$J$8="",1,SEARCH(法术查询!$J$8,G23)),IF(法术查询!$J$9="",1,SEARCH(法术查询!$J$9,N23)),IF(法术查询!$J$10="",1,IF(法术查询!$J$10=$AF$11,IF($M23=1,1,0),IF($M23="",1,0))),IF(法术查询!$J$11="",1,IF(法术查询!$J$11=$AF$11,IF($D23=1,1,0),IF($D23="",1,0))),IF(法术查询!$J$12="",1,SEARCH(法术查询!$J$12,$B23&amp;$C23&amp;$O23)),IF(法术查询!$J$13="",1,SEARCH(法术查询!$J$13,$B23&amp;$C23&amp;$O23)),IF(法术查询!$J$14="",1,SEARCH(法术查询!$J$14,$B23&amp;$C23&amp;$O23)),IF(法术查询!$J$16="",1,IF(法术查询!$J$16=$AF$11,IF($H23=1,1,0),IF($H23="",1,0))),IF(法术查询!$J$17="",1,IF(法术查询!$J$17=$AF$11,IF($I23=1,1,0),IF($I23="",1,0))),IF(法术查询!$J$18="",1,IF(法术查询!$J$18=$AF$11,IF($J23&lt;&gt;"",1,0),IF($J23="",1,0))),IF(法术查询!$J$19="",1,IF(法术查询!$J$19=$AF$11,IF($L23&lt;&gt;"",1,0),IF($L23="",1,0)))),$B23,""),"")</f>
        <v/>
      </c>
      <c r="AD22" s="180" t="str">
        <f t="array" ref="AD22">INDEX(AC:AC,SMALL(IF($AC$2:$AC$516&lt;&gt;"",ROW($2:$516),517),ROW(AC21)))&amp;""</f>
        <v/>
      </c>
      <c r="AE22" s="198" t="str">
        <f t="shared" si="3"/>
        <v/>
      </c>
      <c r="AF22" s="250"/>
      <c r="AG22" s="119" t="s">
        <v>6405</v>
      </c>
      <c r="AH22" s="119" t="s">
        <v>6406</v>
      </c>
      <c r="AI22" s="120" t="s">
        <v>6407</v>
      </c>
      <c r="AJ22" s="250">
        <v>21</v>
      </c>
      <c r="AK22" s="180" t="str">
        <f>IF(法术书!V28="","",法术书!V28)</f>
        <v/>
      </c>
      <c r="AL22" s="119" t="str">
        <f t="array" ref="AL22">IFERROR(INDEX(AK$1:AK$301,SMALL(IF(MATCH(AK22,AK$1:AK$301,0)=ROW(AK22),ROW(AK$1:AK$301),999),ROW(AK22))),"")</f>
        <v/>
      </c>
      <c r="AM22" s="120" t="str">
        <f t="array" ref="AM22">INDEX(AL:AL,SMALL(IF($AL$2:$AL$301&lt;&gt;"",ROW($2:$301),302),ROW(AL21)))&amp;""</f>
        <v/>
      </c>
      <c r="AN22" s="250" t="str">
        <f>IF(主要!J71="","",主要!J71)</f>
        <v/>
      </c>
      <c r="AO22" s="180" t="str">
        <f t="shared" si="4"/>
        <v/>
      </c>
      <c r="AP22" s="180" t="str">
        <f t="shared" si="0"/>
        <v/>
      </c>
      <c r="AQ22" s="180" t="e">
        <f t="shared" si="1"/>
        <v>#N/A</v>
      </c>
      <c r="AR22" s="180" t="e">
        <f t="shared" si="2"/>
        <v>#N/A</v>
      </c>
      <c r="AS22" s="180" t="str">
        <f t="array" ref="AS22">IFERROR(INDEX(AN$1:AN$46,SMALL(IF(MATCH(AN22,AN$1:AN$46,0)=ROW(AN22),ROW(AN$1:AN$46),999),ROW(AN22))),"")</f>
        <v/>
      </c>
      <c r="AT22" s="198" t="str">
        <f t="array" ref="AT22">INDEX(AS:AS,SMALL(IF($AS$2:$AS$46&lt;&gt;"",ROW($2:$46),47),ROW(AS21)))&amp;""</f>
        <v/>
      </c>
    </row>
    <row r="23" spans="1:46" ht="14.4" customHeight="1" x14ac:dyDescent="0.25">
      <c r="A23" s="250">
        <v>21</v>
      </c>
      <c r="B23" s="119" t="s">
        <v>6408</v>
      </c>
      <c r="C23" s="119" t="s">
        <v>6409</v>
      </c>
      <c r="D23" s="119"/>
      <c r="E23" s="435" t="s">
        <v>6312</v>
      </c>
      <c r="F23" s="180" t="s">
        <v>6352</v>
      </c>
      <c r="G23" s="180" t="s">
        <v>3682</v>
      </c>
      <c r="H23" s="180">
        <v>1</v>
      </c>
      <c r="I23" s="180">
        <v>1</v>
      </c>
      <c r="J23" s="180">
        <v>1</v>
      </c>
      <c r="K23" s="119" t="s">
        <v>6410</v>
      </c>
      <c r="L23" s="119"/>
      <c r="N23" s="180" t="s">
        <v>6349</v>
      </c>
      <c r="O23" s="119" t="s">
        <v>6411</v>
      </c>
      <c r="P23" s="119">
        <v>0</v>
      </c>
      <c r="Q23" s="119" t="s">
        <v>242</v>
      </c>
      <c r="T23" s="180">
        <v>1</v>
      </c>
      <c r="AA23" s="198"/>
      <c r="AB23" s="250" t="str">
        <f t="array" ref="AB23">INDEX(B:B,SMALL(IF($Q$3:$Q$517&lt;&gt;"",ROW($3:$517),518),ROW(B22)))&amp;""</f>
        <v>电爪</v>
      </c>
      <c r="AC23" s="394" t="str">
        <f>IFERROR(IF(AND($Q24&lt;&gt;"",IF(法术查询!$J$4="",1,INDEX($R24:$Z24,1,VLOOKUP(法术查询!$J$4,$AF$2:$AG$10,2,0)))&lt;&gt;"",IF(法术查询!$J$5="",1,$P24=VLOOKUP(法术查询!$J$5,$AH$2:$AI$11,2,0)),IF(法术查询!$J$6="",1,IF(法术查询!$J$6=$E24,1,0)),IF(法术查询!$J$7="",1,SEARCH(法术查询!$J$7,$F24)),IF(法术查询!$J$8="",1,SEARCH(法术查询!$J$8,G24)),IF(法术查询!$J$9="",1,SEARCH(法术查询!$J$9,N24)),IF(法术查询!$J$10="",1,IF(法术查询!$J$10=$AF$11,IF($M24=1,1,0),IF($M24="",1,0))),IF(法术查询!$J$11="",1,IF(法术查询!$J$11=$AF$11,IF($D24=1,1,0),IF($D24="",1,0))),IF(法术查询!$J$12="",1,SEARCH(法术查询!$J$12,$B24&amp;$C24&amp;$O24)),IF(法术查询!$J$13="",1,SEARCH(法术查询!$J$13,$B24&amp;$C24&amp;$O24)),IF(法术查询!$J$14="",1,SEARCH(法术查询!$J$14,$B24&amp;$C24&amp;$O24)),IF(法术查询!$J$16="",1,IF(法术查询!$J$16=$AF$11,IF($H24=1,1,0),IF($H24="",1,0))),IF(法术查询!$J$17="",1,IF(法术查询!$J$17=$AF$11,IF($I24=1,1,0),IF($I24="",1,0))),IF(法术查询!$J$18="",1,IF(法术查询!$J$18=$AF$11,IF($J24&lt;&gt;"",1,0),IF($J24="",1,0))),IF(法术查询!$J$19="",1,IF(法术查询!$J$19=$AF$11,IF($L24&lt;&gt;"",1,0),IF($L24="",1,0)))),$B24,""),"")</f>
        <v/>
      </c>
      <c r="AD23" s="180" t="str">
        <f t="array" ref="AD23">INDEX(AC:AC,SMALL(IF($AC$2:$AC$516&lt;&gt;"",ROW($2:$516),517),ROW(AC22)))&amp;""</f>
        <v/>
      </c>
      <c r="AE23" s="198" t="str">
        <f t="shared" si="3"/>
        <v/>
      </c>
      <c r="AF23" s="250"/>
      <c r="AG23" s="119" t="s">
        <v>6412</v>
      </c>
      <c r="AH23" s="119" t="s">
        <v>6298</v>
      </c>
      <c r="AI23" s="120" t="s">
        <v>6413</v>
      </c>
      <c r="AJ23" s="250">
        <v>22</v>
      </c>
      <c r="AK23" s="180" t="str">
        <f>IF(法术书!V29="","",法术书!V29)</f>
        <v/>
      </c>
      <c r="AL23" s="119" t="str">
        <f t="array" ref="AL23">IFERROR(INDEX(AK$1:AK$301,SMALL(IF(MATCH(AK23,AK$1:AK$301,0)=ROW(AK23),ROW(AK$1:AK$301),999),ROW(AK23))),"")</f>
        <v/>
      </c>
      <c r="AM23" s="120" t="str">
        <f t="array" ref="AM23">INDEX(AL:AL,SMALL(IF($AL$2:$AL$301&lt;&gt;"",ROW($2:$301),302),ROW(AL22)))&amp;""</f>
        <v/>
      </c>
      <c r="AN23" s="250" t="str">
        <f>IF(主要!J72="","",主要!J72)</f>
        <v/>
      </c>
      <c r="AO23" s="180" t="str">
        <f t="shared" si="4"/>
        <v/>
      </c>
      <c r="AP23" s="180" t="str">
        <f t="shared" si="0"/>
        <v/>
      </c>
      <c r="AQ23" s="180" t="e">
        <f t="shared" si="1"/>
        <v>#N/A</v>
      </c>
      <c r="AR23" s="180" t="e">
        <f t="shared" si="2"/>
        <v>#N/A</v>
      </c>
      <c r="AS23" s="180" t="str">
        <f t="array" ref="AS23">IFERROR(INDEX(AN$1:AN$46,SMALL(IF(MATCH(AN23,AN$1:AN$46,0)=ROW(AN23),ROW(AN$1:AN$46),999),ROW(AN23))),"")</f>
        <v/>
      </c>
      <c r="AT23" s="198" t="str">
        <f t="array" ref="AT23">INDEX(AS:AS,SMALL(IF($AS$2:$AS$46&lt;&gt;"",ROW($2:$46),47),ROW(AS22)))&amp;""</f>
        <v/>
      </c>
    </row>
    <row r="24" spans="1:46" ht="14.4" customHeight="1" x14ac:dyDescent="0.25">
      <c r="A24" s="250">
        <v>22</v>
      </c>
      <c r="B24" s="119" t="s">
        <v>6414</v>
      </c>
      <c r="C24" s="119" t="s">
        <v>6415</v>
      </c>
      <c r="D24" s="119"/>
      <c r="E24" s="379" t="s">
        <v>6304</v>
      </c>
      <c r="F24" s="180" t="s">
        <v>6282</v>
      </c>
      <c r="G24" s="180" t="s">
        <v>3682</v>
      </c>
      <c r="H24" s="180">
        <v>1</v>
      </c>
      <c r="I24" s="180">
        <v>1</v>
      </c>
      <c r="N24" s="180" t="s">
        <v>6284</v>
      </c>
      <c r="O24" s="119" t="s">
        <v>6416</v>
      </c>
      <c r="P24" s="119">
        <v>0</v>
      </c>
      <c r="Q24" s="119" t="s">
        <v>242</v>
      </c>
      <c r="W24" s="180">
        <v>1</v>
      </c>
      <c r="X24" s="180">
        <v>1</v>
      </c>
      <c r="Z24" s="180">
        <v>9</v>
      </c>
      <c r="AA24" s="120" t="s">
        <v>6417</v>
      </c>
      <c r="AB24" s="250" t="str">
        <f t="array" ref="AB24">INDEX(B:B,SMALL(IF($Q$3:$Q$517&lt;&gt;"",ROW($3:$517),518),ROW(B23)))&amp;""</f>
        <v>维生术</v>
      </c>
      <c r="AC24" s="394" t="str">
        <f>IFERROR(IF(AND($Q25&lt;&gt;"",IF(法术查询!$J$4="",1,INDEX($R25:$Z25,1,VLOOKUP(法术查询!$J$4,$AF$2:$AG$10,2,0)))&lt;&gt;"",IF(法术查询!$J$5="",1,$P25=VLOOKUP(法术查询!$J$5,$AH$2:$AI$11,2,0)),IF(法术查询!$J$6="",1,IF(法术查询!$J$6=$E25,1,0)),IF(法术查询!$J$7="",1,SEARCH(法术查询!$J$7,$F25)),IF(法术查询!$J$8="",1,SEARCH(法术查询!$J$8,G25)),IF(法术查询!$J$9="",1,SEARCH(法术查询!$J$9,N25)),IF(法术查询!$J$10="",1,IF(法术查询!$J$10=$AF$11,IF($M25=1,1,0),IF($M25="",1,0))),IF(法术查询!$J$11="",1,IF(法术查询!$J$11=$AF$11,IF($D25=1,1,0),IF($D25="",1,0))),IF(法术查询!$J$12="",1,SEARCH(法术查询!$J$12,$B25&amp;$C25&amp;$O25)),IF(法术查询!$J$13="",1,SEARCH(法术查询!$J$13,$B25&amp;$C25&amp;$O25)),IF(法术查询!$J$14="",1,SEARCH(法术查询!$J$14,$B25&amp;$C25&amp;$O25)),IF(法术查询!$J$16="",1,IF(法术查询!$J$16=$AF$11,IF($H25=1,1,0),IF($H25="",1,0))),IF(法术查询!$J$17="",1,IF(法术查询!$J$17=$AF$11,IF($I25=1,1,0),IF($I25="",1,0))),IF(法术查询!$J$18="",1,IF(法术查询!$J$18=$AF$11,IF($J25&lt;&gt;"",1,0),IF($J25="",1,0))),IF(法术查询!$J$19="",1,IF(法术查询!$J$19=$AF$11,IF($L25&lt;&gt;"",1,0),IF($L25="",1,0)))),$B25,""),"")</f>
        <v/>
      </c>
      <c r="AD24" s="180" t="str">
        <f t="array" ref="AD24">INDEX(AC:AC,SMALL(IF($AC$2:$AC$516&lt;&gt;"",ROW($2:$516),517),ROW(AC23)))&amp;""</f>
        <v/>
      </c>
      <c r="AE24" s="198" t="str">
        <f t="shared" si="3"/>
        <v/>
      </c>
      <c r="AF24" s="250"/>
      <c r="AG24" s="119" t="s">
        <v>6418</v>
      </c>
      <c r="AH24" s="119" t="s">
        <v>6419</v>
      </c>
      <c r="AI24" s="120" t="s">
        <v>6420</v>
      </c>
      <c r="AJ24" s="250">
        <v>23</v>
      </c>
      <c r="AK24" s="180" t="str">
        <f>IF(法术书!V30="","",法术书!V30)</f>
        <v/>
      </c>
      <c r="AL24" s="119" t="str">
        <f t="array" ref="AL24">IFERROR(INDEX(AK$1:AK$301,SMALL(IF(MATCH(AK24,AK$1:AK$301,0)=ROW(AK24),ROW(AK$1:AK$301),999),ROW(AK24))),"")</f>
        <v/>
      </c>
      <c r="AM24" s="120" t="str">
        <f t="array" ref="AM24">INDEX(AL:AL,SMALL(IF($AL$2:$AL$301&lt;&gt;"",ROW($2:$301),302),ROW(AL23)))&amp;""</f>
        <v/>
      </c>
      <c r="AN24" s="250" t="str">
        <f>IF(主要!J73="","",主要!J73)</f>
        <v/>
      </c>
      <c r="AO24" s="180" t="str">
        <f t="shared" si="4"/>
        <v/>
      </c>
      <c r="AP24" s="180" t="str">
        <f t="shared" si="0"/>
        <v/>
      </c>
      <c r="AQ24" s="180" t="e">
        <f t="shared" si="1"/>
        <v>#N/A</v>
      </c>
      <c r="AR24" s="180" t="e">
        <f t="shared" si="2"/>
        <v>#N/A</v>
      </c>
      <c r="AS24" s="180" t="str">
        <f t="array" ref="AS24">IFERROR(INDEX(AN$1:AN$46,SMALL(IF(MATCH(AN24,AN$1:AN$46,0)=ROW(AN24),ROW(AN$1:AN$46),999),ROW(AN24))),"")</f>
        <v/>
      </c>
      <c r="AT24" s="198" t="str">
        <f t="array" ref="AT24">INDEX(AS:AS,SMALL(IF($AS$2:$AS$46&lt;&gt;"",ROW($2:$46),47),ROW(AS23)))&amp;""</f>
        <v/>
      </c>
    </row>
    <row r="25" spans="1:46" ht="14.4" customHeight="1" x14ac:dyDescent="0.25">
      <c r="A25" s="250">
        <v>23</v>
      </c>
      <c r="B25" s="119" t="s">
        <v>6421</v>
      </c>
      <c r="C25" s="119" t="s">
        <v>6422</v>
      </c>
      <c r="D25" s="119"/>
      <c r="E25" s="441" t="s">
        <v>6297</v>
      </c>
      <c r="F25" s="180" t="s">
        <v>6282</v>
      </c>
      <c r="G25" s="180" t="s">
        <v>3682</v>
      </c>
      <c r="H25" s="180">
        <v>1</v>
      </c>
      <c r="I25" s="180">
        <v>1</v>
      </c>
      <c r="N25" s="180" t="s">
        <v>6284</v>
      </c>
      <c r="O25" s="119" t="s">
        <v>6423</v>
      </c>
      <c r="P25" s="119">
        <v>0</v>
      </c>
      <c r="Q25" s="119" t="s">
        <v>242</v>
      </c>
      <c r="S25" s="180">
        <v>1</v>
      </c>
      <c r="Z25" s="180">
        <v>9</v>
      </c>
      <c r="AA25" s="120" t="s">
        <v>6424</v>
      </c>
      <c r="AB25" s="250" t="str">
        <f t="array" ref="AB25">INDEX(B:B,SMALL(IF($Q$3:$Q$517&lt;&gt;"",ROW($3:$517),518),ROW(B24)))&amp;""</f>
        <v>奇术</v>
      </c>
      <c r="AC25" s="394" t="str">
        <f>IFERROR(IF(AND($Q26&lt;&gt;"",IF(法术查询!$J$4="",1,INDEX($R26:$Z26,1,VLOOKUP(法术查询!$J$4,$AF$2:$AG$10,2,0)))&lt;&gt;"",IF(法术查询!$J$5="",1,$P26=VLOOKUP(法术查询!$J$5,$AH$2:$AI$11,2,0)),IF(法术查询!$J$6="",1,IF(法术查询!$J$6=$E26,1,0)),IF(法术查询!$J$7="",1,SEARCH(法术查询!$J$7,$F26)),IF(法术查询!$J$8="",1,SEARCH(法术查询!$J$8,G26)),IF(法术查询!$J$9="",1,SEARCH(法术查询!$J$9,N26)),IF(法术查询!$J$10="",1,IF(法术查询!$J$10=$AF$11,IF($M26=1,1,0),IF($M26="",1,0))),IF(法术查询!$J$11="",1,IF(法术查询!$J$11=$AF$11,IF($D26=1,1,0),IF($D26="",1,0))),IF(法术查询!$J$12="",1,SEARCH(法术查询!$J$12,$B26&amp;$C26&amp;$O26)),IF(法术查询!$J$13="",1,SEARCH(法术查询!$J$13,$B26&amp;$C26&amp;$O26)),IF(法术查询!$J$14="",1,SEARCH(法术查询!$J$14,$B26&amp;$C26&amp;$O26)),IF(法术查询!$J$16="",1,IF(法术查询!$J$16=$AF$11,IF($H26=1,1,0),IF($H26="",1,0))),IF(法术查询!$J$17="",1,IF(法术查询!$J$17=$AF$11,IF($I26=1,1,0),IF($I26="",1,0))),IF(法术查询!$J$18="",1,IF(法术查询!$J$18=$AF$11,IF($J26&lt;&gt;"",1,0),IF($J26="",1,0))),IF(法术查询!$J$19="",1,IF(法术查询!$J$19=$AF$11,IF($L26&lt;&gt;"",1,0),IF($L26="",1,0)))),$B26,""),"")</f>
        <v/>
      </c>
      <c r="AD25" s="180" t="str">
        <f t="array" ref="AD25">INDEX(AC:AC,SMALL(IF($AC$2:$AC$516&lt;&gt;"",ROW($2:$516),517),ROW(AC24)))&amp;""</f>
        <v/>
      </c>
      <c r="AE25" s="198" t="str">
        <f t="shared" si="3"/>
        <v/>
      </c>
      <c r="AF25" s="250"/>
      <c r="AG25" s="119" t="s">
        <v>6425</v>
      </c>
      <c r="AH25" s="119" t="s">
        <v>6426</v>
      </c>
      <c r="AI25" s="120" t="s">
        <v>6427</v>
      </c>
      <c r="AJ25" s="250">
        <v>24</v>
      </c>
      <c r="AK25" s="180" t="str">
        <f>IF(法术书!V31="","",法术书!V31)</f>
        <v/>
      </c>
      <c r="AL25" s="119" t="str">
        <f t="array" ref="AL25">IFERROR(INDEX(AK$1:AK$301,SMALL(IF(MATCH(AK25,AK$1:AK$301,0)=ROW(AK25),ROW(AK$1:AK$301),999),ROW(AK25))),"")</f>
        <v/>
      </c>
      <c r="AM25" s="120" t="str">
        <f t="array" ref="AM25">INDEX(AL:AL,SMALL(IF($AL$2:$AL$301&lt;&gt;"",ROW($2:$301),302),ROW(AL24)))&amp;""</f>
        <v/>
      </c>
      <c r="AN25" s="250" t="str">
        <f>IF(主要!J74="","",主要!J74)</f>
        <v/>
      </c>
      <c r="AO25" s="180" t="str">
        <f t="shared" si="4"/>
        <v/>
      </c>
      <c r="AP25" s="180" t="str">
        <f t="shared" si="0"/>
        <v/>
      </c>
      <c r="AQ25" s="180" t="e">
        <f t="shared" si="1"/>
        <v>#N/A</v>
      </c>
      <c r="AR25" s="180" t="e">
        <f t="shared" si="2"/>
        <v>#N/A</v>
      </c>
      <c r="AS25" s="180" t="str">
        <f t="array" ref="AS25">IFERROR(INDEX(AN$1:AN$46,SMALL(IF(MATCH(AN25,AN$1:AN$46,0)=ROW(AN25),ROW(AN$1:AN$46),999),ROW(AN25))),"")</f>
        <v/>
      </c>
      <c r="AT25" s="198" t="str">
        <f t="array" ref="AT25">INDEX(AS:AS,SMALL(IF($AS$2:$AS$46&lt;&gt;"",ROW($2:$46),47),ROW(AS24)))&amp;""</f>
        <v/>
      </c>
    </row>
    <row r="26" spans="1:46" ht="14.4" customHeight="1" x14ac:dyDescent="0.25">
      <c r="A26" s="250">
        <v>24</v>
      </c>
      <c r="B26" s="119" t="s">
        <v>6428</v>
      </c>
      <c r="C26" s="119" t="s">
        <v>6429</v>
      </c>
      <c r="D26" s="119"/>
      <c r="E26" s="435" t="s">
        <v>6312</v>
      </c>
      <c r="F26" s="180" t="s">
        <v>6282</v>
      </c>
      <c r="G26" s="180" t="s">
        <v>6313</v>
      </c>
      <c r="H26" s="180">
        <v>1</v>
      </c>
      <c r="N26" s="180" t="s">
        <v>6306</v>
      </c>
      <c r="O26" s="119" t="s">
        <v>6430</v>
      </c>
      <c r="P26" s="119">
        <v>0</v>
      </c>
      <c r="Q26" s="119" t="s">
        <v>242</v>
      </c>
      <c r="S26" s="180">
        <v>1</v>
      </c>
      <c r="AA26" s="120" t="s">
        <v>6431</v>
      </c>
      <c r="AB26" s="250" t="str">
        <f t="array" ref="AB26">INDEX(B:B,SMALL(IF($Q$3:$Q$517&lt;&gt;"",ROW($3:$517),518),ROW(B25)))&amp;""</f>
        <v>荆棘之鞭</v>
      </c>
      <c r="AC26" s="394" t="str">
        <f>IFERROR(IF(AND($Q27&lt;&gt;"",IF(法术查询!$J$4="",1,INDEX($R27:$Z27,1,VLOOKUP(法术查询!$J$4,$AF$2:$AG$10,2,0)))&lt;&gt;"",IF(法术查询!$J$5="",1,$P27=VLOOKUP(法术查询!$J$5,$AH$2:$AI$11,2,0)),IF(法术查询!$J$6="",1,IF(法术查询!$J$6=$E27,1,0)),IF(法术查询!$J$7="",1,SEARCH(法术查询!$J$7,$F27)),IF(法术查询!$J$8="",1,SEARCH(法术查询!$J$8,G27)),IF(法术查询!$J$9="",1,SEARCH(法术查询!$J$9,N27)),IF(法术查询!$J$10="",1,IF(法术查询!$J$10=$AF$11,IF($M27=1,1,0),IF($M27="",1,0))),IF(法术查询!$J$11="",1,IF(法术查询!$J$11=$AF$11,IF($D27=1,1,0),IF($D27="",1,0))),IF(法术查询!$J$12="",1,SEARCH(法术查询!$J$12,$B27&amp;$C27&amp;$O27)),IF(法术查询!$J$13="",1,SEARCH(法术查询!$J$13,$B27&amp;$C27&amp;$O27)),IF(法术查询!$J$14="",1,SEARCH(法术查询!$J$14,$B27&amp;$C27&amp;$O27)),IF(法术查询!$J$16="",1,IF(法术查询!$J$16=$AF$11,IF($H27=1,1,0),IF($H27="",1,0))),IF(法术查询!$J$17="",1,IF(法术查询!$J$17=$AF$11,IF($I27=1,1,0),IF($I27="",1,0))),IF(法术查询!$J$18="",1,IF(法术查询!$J$18=$AF$11,IF($J27&lt;&gt;"",1,0),IF($J27="",1,0))),IF(法术查询!$J$19="",1,IF(法术查询!$J$19=$AF$11,IF($L27&lt;&gt;"",1,0),IF($L27="",1,0)))),$B27,""),"")</f>
        <v/>
      </c>
      <c r="AD26" s="180" t="str">
        <f t="array" ref="AD26">INDEX(AC:AC,SMALL(IF($AC$2:$AC$516&lt;&gt;"",ROW($2:$516),517),ROW(AC25)))&amp;""</f>
        <v/>
      </c>
      <c r="AE26" s="198" t="str">
        <f t="shared" si="3"/>
        <v/>
      </c>
      <c r="AF26" s="250"/>
      <c r="AG26" s="119" t="s">
        <v>6432</v>
      </c>
      <c r="AH26" s="119" t="s">
        <v>6433</v>
      </c>
      <c r="AI26" s="120" t="s">
        <v>6434</v>
      </c>
      <c r="AJ26" s="250">
        <v>25</v>
      </c>
      <c r="AK26" s="180" t="str">
        <f>IF(法术书!V32="","",法术书!V32)</f>
        <v/>
      </c>
      <c r="AL26" s="119" t="str">
        <f t="array" ref="AL26">IFERROR(INDEX(AK$1:AK$301,SMALL(IF(MATCH(AK26,AK$1:AK$301,0)=ROW(AK26),ROW(AK$1:AK$301),999),ROW(AK26))),"")</f>
        <v/>
      </c>
      <c r="AM26" s="120" t="str">
        <f t="array" ref="AM26">INDEX(AL:AL,SMALL(IF($AL$2:$AL$301&lt;&gt;"",ROW($2:$301),302),ROW(AL25)))&amp;""</f>
        <v/>
      </c>
      <c r="AN26" s="250" t="str">
        <f>IF(主要!J75="","",主要!J75)</f>
        <v/>
      </c>
      <c r="AO26" s="180" t="str">
        <f t="shared" si="4"/>
        <v/>
      </c>
      <c r="AP26" s="180" t="str">
        <f t="shared" si="0"/>
        <v/>
      </c>
      <c r="AQ26" s="180" t="e">
        <f t="shared" si="1"/>
        <v>#N/A</v>
      </c>
      <c r="AR26" s="180" t="e">
        <f t="shared" si="2"/>
        <v>#N/A</v>
      </c>
      <c r="AS26" s="180" t="str">
        <f t="array" ref="AS26">IFERROR(INDEX(AN$1:AN$46,SMALL(IF(MATCH(AN26,AN$1:AN$46,0)=ROW(AN26),ROW(AN$1:AN$46),999),ROW(AN26))),"")</f>
        <v/>
      </c>
      <c r="AT26" s="198" t="str">
        <f t="array" ref="AT26">INDEX(AS:AS,SMALL(IF($AS$2:$AS$46&lt;&gt;"",ROW($2:$46),47),ROW(AS25)))&amp;""</f>
        <v/>
      </c>
    </row>
    <row r="27" spans="1:46" ht="14.4" customHeight="1" x14ac:dyDescent="0.25">
      <c r="A27" s="250">
        <v>25</v>
      </c>
      <c r="B27" s="119" t="s">
        <v>6435</v>
      </c>
      <c r="C27" s="119" t="s">
        <v>6436</v>
      </c>
      <c r="D27" s="119"/>
      <c r="E27" s="435" t="s">
        <v>6312</v>
      </c>
      <c r="F27" s="180" t="s">
        <v>6282</v>
      </c>
      <c r="G27" s="180" t="s">
        <v>6313</v>
      </c>
      <c r="H27" s="180">
        <v>1</v>
      </c>
      <c r="I27" s="180">
        <v>1</v>
      </c>
      <c r="J27" s="180">
        <v>1</v>
      </c>
      <c r="K27" s="119" t="s">
        <v>6437</v>
      </c>
      <c r="L27" s="119"/>
      <c r="N27" s="180" t="s">
        <v>6284</v>
      </c>
      <c r="O27" s="119" t="s">
        <v>6438</v>
      </c>
      <c r="P27" s="119">
        <v>0</v>
      </c>
      <c r="Q27" s="119" t="s">
        <v>242</v>
      </c>
      <c r="T27" s="180">
        <v>1</v>
      </c>
      <c r="Z27" s="180">
        <v>9</v>
      </c>
      <c r="AA27" s="198"/>
      <c r="AB27" s="250" t="str">
        <f t="array" ref="AB27">INDEX(B:B,SMALL(IF($Q$3:$Q$517&lt;&gt;"",ROW($3:$517),518),ROW(B26)))&amp;""</f>
        <v>克敌机先</v>
      </c>
      <c r="AC27" s="394" t="str">
        <f>IFERROR(IF(AND($Q28&lt;&gt;"",IF(法术查询!$J$4="",1,INDEX($R28:$Z28,1,VLOOKUP(法术查询!$J$4,$AF$2:$AG$10,2,0)))&lt;&gt;"",IF(法术查询!$J$5="",1,$P28=VLOOKUP(法术查询!$J$5,$AH$2:$AI$11,2,0)),IF(法术查询!$J$6="",1,IF(法术查询!$J$6=$E28,1,0)),IF(法术查询!$J$7="",1,SEARCH(法术查询!$J$7,$F28)),IF(法术查询!$J$8="",1,SEARCH(法术查询!$J$8,G28)),IF(法术查询!$J$9="",1,SEARCH(法术查询!$J$9,N28)),IF(法术查询!$J$10="",1,IF(法术查询!$J$10=$AF$11,IF($M28=1,1,0),IF($M28="",1,0))),IF(法术查询!$J$11="",1,IF(法术查询!$J$11=$AF$11,IF($D28=1,1,0),IF($D28="",1,0))),IF(法术查询!$J$12="",1,SEARCH(法术查询!$J$12,$B28&amp;$C28&amp;$O28)),IF(法术查询!$J$13="",1,SEARCH(法术查询!$J$13,$B28&amp;$C28&amp;$O28)),IF(法术查询!$J$14="",1,SEARCH(法术查询!$J$14,$B28&amp;$C28&amp;$O28)),IF(法术查询!$J$16="",1,IF(法术查询!$J$16=$AF$11,IF($H28=1,1,0),IF($H28="",1,0))),IF(法术查询!$J$17="",1,IF(法术查询!$J$17=$AF$11,IF($I28=1,1,0),IF($I28="",1,0))),IF(法术查询!$J$18="",1,IF(法术查询!$J$18=$AF$11,IF($J28&lt;&gt;"",1,0),IF($J28="",1,0))),IF(法术查询!$J$19="",1,IF(法术查询!$J$19=$AF$11,IF($L28&lt;&gt;"",1,0),IF($L28="",1,0)))),$B28,""),"")</f>
        <v/>
      </c>
      <c r="AD27" s="180" t="str">
        <f t="array" ref="AD27">INDEX(AC:AC,SMALL(IF($AC$2:$AC$516&lt;&gt;"",ROW($2:$516),517),ROW(AC26)))&amp;""</f>
        <v/>
      </c>
      <c r="AE27" s="198" t="str">
        <f t="shared" si="3"/>
        <v/>
      </c>
      <c r="AF27" s="250"/>
      <c r="AG27" s="119" t="s">
        <v>6439</v>
      </c>
      <c r="AH27" s="119" t="s">
        <v>6440</v>
      </c>
      <c r="AI27" s="120" t="s">
        <v>6441</v>
      </c>
      <c r="AJ27" s="250">
        <v>26</v>
      </c>
      <c r="AK27" s="180" t="str">
        <f>IF(法术书!V33="","",法术书!V33)</f>
        <v/>
      </c>
      <c r="AL27" s="119" t="str">
        <f t="array" ref="AL27">IFERROR(INDEX(AK$1:AK$301,SMALL(IF(MATCH(AK27,AK$1:AK$301,0)=ROW(AK27),ROW(AK$1:AK$301),999),ROW(AK27))),"")</f>
        <v/>
      </c>
      <c r="AM27" s="120" t="str">
        <f t="array" ref="AM27">INDEX(AL:AL,SMALL(IF($AL$2:$AL$301&lt;&gt;"",ROW($2:$301),302),ROW(AL26)))&amp;""</f>
        <v/>
      </c>
      <c r="AN27" s="250" t="str">
        <f>IF(主要!J76="","",主要!J76)</f>
        <v/>
      </c>
      <c r="AO27" s="180" t="str">
        <f t="shared" si="4"/>
        <v/>
      </c>
      <c r="AP27" s="180" t="str">
        <f t="shared" si="0"/>
        <v/>
      </c>
      <c r="AQ27" s="180" t="e">
        <f t="shared" si="1"/>
        <v>#N/A</v>
      </c>
      <c r="AR27" s="180" t="e">
        <f t="shared" si="2"/>
        <v>#N/A</v>
      </c>
      <c r="AS27" s="180" t="str">
        <f t="array" ref="AS27">IFERROR(INDEX(AN$1:AN$46,SMALL(IF(MATCH(AN27,AN$1:AN$46,0)=ROW(AN27),ROW(AN$1:AN$46),999),ROW(AN27))),"")</f>
        <v/>
      </c>
      <c r="AT27" s="198" t="str">
        <f t="array" ref="AT27">INDEX(AS:AS,SMALL(IF($AS$2:$AS$46&lt;&gt;"",ROW($2:$46),47),ROW(AS26)))&amp;""</f>
        <v/>
      </c>
    </row>
    <row r="28" spans="1:46" ht="14.4" customHeight="1" x14ac:dyDescent="0.25">
      <c r="A28" s="250">
        <v>26</v>
      </c>
      <c r="B28" s="119" t="s">
        <v>6442</v>
      </c>
      <c r="C28" s="119" t="s">
        <v>6443</v>
      </c>
      <c r="D28" s="119"/>
      <c r="E28" s="438" t="s">
        <v>6335</v>
      </c>
      <c r="F28" s="180" t="s">
        <v>6282</v>
      </c>
      <c r="G28" s="180" t="s">
        <v>6313</v>
      </c>
      <c r="I28" s="180">
        <v>1</v>
      </c>
      <c r="M28" s="180">
        <v>1</v>
      </c>
      <c r="N28" s="180" t="s">
        <v>6444</v>
      </c>
      <c r="O28" s="119" t="s">
        <v>6445</v>
      </c>
      <c r="P28" s="119">
        <v>0</v>
      </c>
      <c r="Q28" s="119" t="s">
        <v>242</v>
      </c>
      <c r="R28" s="180">
        <v>1</v>
      </c>
      <c r="W28" s="180">
        <v>1</v>
      </c>
      <c r="X28" s="180">
        <v>1</v>
      </c>
      <c r="Y28" s="180">
        <v>1</v>
      </c>
      <c r="AA28" s="198"/>
      <c r="AB28" s="250" t="str">
        <f t="array" ref="AB28">INDEX(B:B,SMALL(IF($Q$3:$Q$517&lt;&gt;"",ROW($3:$517),518),ROW(B27)))&amp;""</f>
        <v>恶言相加</v>
      </c>
      <c r="AC28" s="394" t="str">
        <f>IFERROR(IF(AND($Q29&lt;&gt;"",IF(法术查询!$J$4="",1,INDEX($R29:$Z29,1,VLOOKUP(法术查询!$J$4,$AF$2:$AG$10,2,0)))&lt;&gt;"",IF(法术查询!$J$5="",1,$P29=VLOOKUP(法术查询!$J$5,$AH$2:$AI$11,2,0)),IF(法术查询!$J$6="",1,IF(法术查询!$J$6=$E29,1,0)),IF(法术查询!$J$7="",1,SEARCH(法术查询!$J$7,$F29)),IF(法术查询!$J$8="",1,SEARCH(法术查询!$J$8,G29)),IF(法术查询!$J$9="",1,SEARCH(法术查询!$J$9,N29)),IF(法术查询!$J$10="",1,IF(法术查询!$J$10=$AF$11,IF($M29=1,1,0),IF($M29="",1,0))),IF(法术查询!$J$11="",1,IF(法术查询!$J$11=$AF$11,IF($D29=1,1,0),IF($D29="",1,0))),IF(法术查询!$J$12="",1,SEARCH(法术查询!$J$12,$B29&amp;$C29&amp;$O29)),IF(法术查询!$J$13="",1,SEARCH(法术查询!$J$13,$B29&amp;$C29&amp;$O29)),IF(法术查询!$J$14="",1,SEARCH(法术查询!$J$14,$B29&amp;$C29&amp;$O29)),IF(法术查询!$J$16="",1,IF(法术查询!$J$16=$AF$11,IF($H29=1,1,0),IF($H29="",1,0))),IF(法术查询!$J$17="",1,IF(法术查询!$J$17=$AF$11,IF($I29=1,1,0),IF($I29="",1,0))),IF(法术查询!$J$18="",1,IF(法术查询!$J$18=$AF$11,IF($J29&lt;&gt;"",1,0),IF($J29="",1,0))),IF(法术查询!$J$19="",1,IF(法术查询!$J$19=$AF$11,IF($L29&lt;&gt;"",1,0),IF($L29="",1,0)))),$B29,""),"")</f>
        <v/>
      </c>
      <c r="AD28" s="180" t="str">
        <f t="array" ref="AD28">INDEX(AC:AC,SMALL(IF($AC$2:$AC$516&lt;&gt;"",ROW($2:$516),517),ROW(AC27)))&amp;""</f>
        <v/>
      </c>
      <c r="AE28" s="198" t="str">
        <f t="shared" si="3"/>
        <v/>
      </c>
      <c r="AF28" s="250"/>
      <c r="AG28" s="119" t="s">
        <v>6446</v>
      </c>
      <c r="AH28" s="119" t="s">
        <v>6447</v>
      </c>
      <c r="AI28" s="120" t="s">
        <v>6279</v>
      </c>
      <c r="AJ28" s="250">
        <v>27</v>
      </c>
      <c r="AK28" s="180" t="str">
        <f>IF(法术书!V34="","",法术书!V34)</f>
        <v/>
      </c>
      <c r="AL28" s="119" t="str">
        <f t="array" ref="AL28">IFERROR(INDEX(AK$1:AK$301,SMALL(IF(MATCH(AK28,AK$1:AK$301,0)=ROW(AK28),ROW(AK$1:AK$301),999),ROW(AK28))),"")</f>
        <v/>
      </c>
      <c r="AM28" s="120" t="str">
        <f t="array" ref="AM28">INDEX(AL:AL,SMALL(IF($AL$2:$AL$301&lt;&gt;"",ROW($2:$301),302),ROW(AL27)))&amp;""</f>
        <v/>
      </c>
      <c r="AN28" s="250" t="str">
        <f>IF(主要!J77="","",主要!J77)</f>
        <v/>
      </c>
      <c r="AO28" s="180" t="str">
        <f t="shared" si="4"/>
        <v/>
      </c>
      <c r="AP28" s="180" t="str">
        <f t="shared" si="0"/>
        <v/>
      </c>
      <c r="AQ28" s="180" t="e">
        <f t="shared" si="1"/>
        <v>#N/A</v>
      </c>
      <c r="AR28" s="180" t="e">
        <f t="shared" si="2"/>
        <v>#N/A</v>
      </c>
      <c r="AS28" s="180" t="str">
        <f t="array" ref="AS28">IFERROR(INDEX(AN$1:AN$46,SMALL(IF(MATCH(AN28,AN$1:AN$46,0)=ROW(AN28),ROW(AN$1:AN$46),999),ROW(AN28))),"")</f>
        <v/>
      </c>
      <c r="AT28" s="198" t="str">
        <f t="array" ref="AT28">INDEX(AS:AS,SMALL(IF($AS$2:$AS$46&lt;&gt;"",ROW($2:$46),47),ROW(AS27)))&amp;""</f>
        <v/>
      </c>
    </row>
    <row r="29" spans="1:46" ht="14.4" customHeight="1" x14ac:dyDescent="0.25">
      <c r="A29" s="250">
        <v>27</v>
      </c>
      <c r="B29" s="119" t="s">
        <v>6448</v>
      </c>
      <c r="C29" s="119" t="s">
        <v>6449</v>
      </c>
      <c r="D29" s="119"/>
      <c r="E29" s="379" t="s">
        <v>6328</v>
      </c>
      <c r="F29" s="180" t="s">
        <v>6282</v>
      </c>
      <c r="G29" s="180" t="s">
        <v>6283</v>
      </c>
      <c r="H29" s="180">
        <v>1</v>
      </c>
      <c r="N29" s="180" t="s">
        <v>6284</v>
      </c>
      <c r="O29" s="119" t="s">
        <v>6450</v>
      </c>
      <c r="P29" s="119">
        <v>0</v>
      </c>
      <c r="Q29" s="119" t="s">
        <v>242</v>
      </c>
      <c r="R29" s="180">
        <v>1</v>
      </c>
      <c r="AA29" s="120" t="s">
        <v>6451</v>
      </c>
      <c r="AB29" s="250" t="str">
        <f t="array" ref="AB29">INDEX(B:B,SMALL(IF($Q$3:$Q$517&lt;&gt;"",ROW($3:$517),518),ROW(B28)))&amp;""</f>
        <v>轰雷剑</v>
      </c>
      <c r="AC29" s="394" t="str">
        <f>IFERROR(IF(AND($Q30&lt;&gt;"",IF(法术查询!$J$4="",1,INDEX($R30:$Z30,1,VLOOKUP(法术查询!$J$4,$AF$2:$AG$10,2,0)))&lt;&gt;"",IF(法术查询!$J$5="",1,$P30=VLOOKUP(法术查询!$J$5,$AH$2:$AI$11,2,0)),IF(法术查询!$J$6="",1,IF(法术查询!$J$6=$E30,1,0)),IF(法术查询!$J$7="",1,SEARCH(法术查询!$J$7,$F30)),IF(法术查询!$J$8="",1,SEARCH(法术查询!$J$8,G30)),IF(法术查询!$J$9="",1,SEARCH(法术查询!$J$9,N30)),IF(法术查询!$J$10="",1,IF(法术查询!$J$10=$AF$11,IF($M30=1,1,0),IF($M30="",1,0))),IF(法术查询!$J$11="",1,IF(法术查询!$J$11=$AF$11,IF($D30=1,1,0),IF($D30="",1,0))),IF(法术查询!$J$12="",1,SEARCH(法术查询!$J$12,$B30&amp;$C30&amp;$O30)),IF(法术查询!$J$13="",1,SEARCH(法术查询!$J$13,$B30&amp;$C30&amp;$O30)),IF(法术查询!$J$14="",1,SEARCH(法术查询!$J$14,$B30&amp;$C30&amp;$O30)),IF(法术查询!$J$16="",1,IF(法术查询!$J$16=$AF$11,IF($H30=1,1,0),IF($H30="",1,0))),IF(法术查询!$J$17="",1,IF(法术查询!$J$17=$AF$11,IF($I30=1,1,0),IF($I30="",1,0))),IF(法术查询!$J$18="",1,IF(法术查询!$J$18=$AF$11,IF($J30&lt;&gt;"",1,0),IF($J30="",1,0))),IF(法术查询!$J$19="",1,IF(法术查询!$J$19=$AF$11,IF($L30&lt;&gt;"",1,0),IF($L30="",1,0)))),$B30,""),"")</f>
        <v/>
      </c>
      <c r="AD29" s="180" t="str">
        <f t="array" ref="AD29">INDEX(AC:AC,SMALL(IF($AC$2:$AC$516&lt;&gt;"",ROW($2:$516),517),ROW(AC28)))&amp;""</f>
        <v/>
      </c>
      <c r="AE29" s="198" t="str">
        <f t="shared" si="3"/>
        <v/>
      </c>
      <c r="AF29" s="250"/>
      <c r="AG29" s="119" t="s">
        <v>6452</v>
      </c>
      <c r="AH29" s="119" t="s">
        <v>6453</v>
      </c>
      <c r="AI29" s="120" t="s">
        <v>6444</v>
      </c>
      <c r="AJ29" s="250">
        <v>28</v>
      </c>
      <c r="AK29" s="180" t="str">
        <f>IF(法术书!V35="","",法术书!V35)</f>
        <v/>
      </c>
      <c r="AL29" s="119" t="str">
        <f t="array" ref="AL29">IFERROR(INDEX(AK$1:AK$301,SMALL(IF(MATCH(AK29,AK$1:AK$301,0)=ROW(AK29),ROW(AK$1:AK$301),999),ROW(AK29))),"")</f>
        <v/>
      </c>
      <c r="AM29" s="120" t="str">
        <f t="array" ref="AM29">INDEX(AL:AL,SMALL(IF($AL$2:$AL$301&lt;&gt;"",ROW($2:$301),302),ROW(AL28)))&amp;""</f>
        <v/>
      </c>
      <c r="AN29" s="250" t="str">
        <f>IF(主要!J78="","",主要!J78)</f>
        <v/>
      </c>
      <c r="AO29" s="180" t="str">
        <f t="shared" si="4"/>
        <v/>
      </c>
      <c r="AP29" s="180" t="str">
        <f t="shared" si="0"/>
        <v/>
      </c>
      <c r="AQ29" s="180" t="e">
        <f t="shared" si="1"/>
        <v>#N/A</v>
      </c>
      <c r="AR29" s="180" t="e">
        <f t="shared" si="2"/>
        <v>#N/A</v>
      </c>
      <c r="AS29" s="180" t="str">
        <f t="array" ref="AS29">IFERROR(INDEX(AN$1:AN$46,SMALL(IF(MATCH(AN29,AN$1:AN$46,0)=ROW(AN29),ROW(AN$1:AN$46),999),ROW(AN29))),"")</f>
        <v/>
      </c>
      <c r="AT29" s="198" t="str">
        <f t="array" ref="AT29">INDEX(AS:AS,SMALL(IF($AS$2:$AS$46&lt;&gt;"",ROW($2:$46),47),ROW(AS28)))&amp;""</f>
        <v/>
      </c>
    </row>
    <row r="30" spans="1:46" ht="14.4" customHeight="1" x14ac:dyDescent="0.25">
      <c r="A30" s="250">
        <v>28</v>
      </c>
      <c r="B30" s="119" t="s">
        <v>6454</v>
      </c>
      <c r="C30" s="119" t="s">
        <v>6455</v>
      </c>
      <c r="D30" s="119"/>
      <c r="E30" s="434" t="s">
        <v>6304</v>
      </c>
      <c r="F30" s="180" t="s">
        <v>6282</v>
      </c>
      <c r="G30" s="180" t="s">
        <v>6456</v>
      </c>
      <c r="I30" s="180">
        <v>1</v>
      </c>
      <c r="J30" s="180">
        <v>1</v>
      </c>
      <c r="K30" s="119" t="s">
        <v>6457</v>
      </c>
      <c r="N30" s="180" t="s">
        <v>6292</v>
      </c>
      <c r="O30" s="119" t="s">
        <v>6458</v>
      </c>
      <c r="P30" s="119">
        <v>0</v>
      </c>
      <c r="Q30" s="166" t="str">
        <f>IF(OR(综合数据!$B$5=TRUE,综合数据!$B$14=TRUE),"SCAG","")</f>
        <v>SCAG</v>
      </c>
      <c r="W30" s="180">
        <v>4</v>
      </c>
      <c r="X30" s="180">
        <v>4</v>
      </c>
      <c r="Y30" s="180">
        <v>4</v>
      </c>
      <c r="Z30" s="180" t="str">
        <f>IF(综合数据!$B$14=TRUE,"13","")</f>
        <v>13</v>
      </c>
      <c r="AA30" s="198"/>
      <c r="AB30" s="250" t="str">
        <f t="array" ref="AB30">INDEX(B:B,SMALL(IF($Q$3:$Q$517&lt;&gt;"",ROW($3:$517),518),ROW(B29)))&amp;""</f>
        <v>翠炎剑</v>
      </c>
      <c r="AC30" s="394" t="str">
        <f>IFERROR(IF(AND($Q31&lt;&gt;"",IF(法术查询!$J$4="",1,INDEX($R31:$Z31,1,VLOOKUP(法术查询!$J$4,$AF$2:$AG$10,2,0)))&lt;&gt;"",IF(法术查询!$J$5="",1,$P31=VLOOKUP(法术查询!$J$5,$AH$2:$AI$11,2,0)),IF(法术查询!$J$6="",1,IF(法术查询!$J$6=$E31,1,0)),IF(法术查询!$J$7="",1,SEARCH(法术查询!$J$7,$F31)),IF(法术查询!$J$8="",1,SEARCH(法术查询!$J$8,G31)),IF(法术查询!$J$9="",1,SEARCH(法术查询!$J$9,N31)),IF(法术查询!$J$10="",1,IF(法术查询!$J$10=$AF$11,IF($M31=1,1,0),IF($M31="",1,0))),IF(法术查询!$J$11="",1,IF(法术查询!$J$11=$AF$11,IF($D31=1,1,0),IF($D31="",1,0))),IF(法术查询!$J$12="",1,SEARCH(法术查询!$J$12,$B31&amp;$C31&amp;$O31)),IF(法术查询!$J$13="",1,SEARCH(法术查询!$J$13,$B31&amp;$C31&amp;$O31)),IF(法术查询!$J$14="",1,SEARCH(法术查询!$J$14,$B31&amp;$C31&amp;$O31)),IF(法术查询!$J$16="",1,IF(法术查询!$J$16=$AF$11,IF($H31=1,1,0),IF($H31="",1,0))),IF(法术查询!$J$17="",1,IF(法术查询!$J$17=$AF$11,IF($I31=1,1,0),IF($I31="",1,0))),IF(法术查询!$J$18="",1,IF(法术查询!$J$18=$AF$11,IF($J31&lt;&gt;"",1,0),IF($J31="",1,0))),IF(法术查询!$J$19="",1,IF(法术查询!$J$19=$AF$11,IF($L31&lt;&gt;"",1,0),IF($L31="",1,0)))),$B31,""),"")</f>
        <v/>
      </c>
      <c r="AD30" s="180" t="str">
        <f t="array" ref="AD30">INDEX(AC:AC,SMALL(IF($AC$2:$AC$516&lt;&gt;"",ROW($2:$516),517),ROW(AC29)))&amp;""</f>
        <v/>
      </c>
      <c r="AE30" s="198" t="str">
        <f t="shared" si="3"/>
        <v/>
      </c>
      <c r="AF30" s="250"/>
      <c r="AG30" s="119" t="s">
        <v>6459</v>
      </c>
      <c r="AH30" s="119" t="s">
        <v>6460</v>
      </c>
      <c r="AI30" s="120" t="s">
        <v>6461</v>
      </c>
      <c r="AJ30" s="250">
        <v>29</v>
      </c>
      <c r="AK30" s="180" t="str">
        <f>IF(法术书!V36="","",法术书!V36)</f>
        <v/>
      </c>
      <c r="AL30" s="119" t="str">
        <f t="array" ref="AL30">IFERROR(INDEX(AK$1:AK$301,SMALL(IF(MATCH(AK30,AK$1:AK$301,0)=ROW(AK30),ROW(AK$1:AK$301),999),ROW(AK30))),"")</f>
        <v/>
      </c>
      <c r="AM30" s="120" t="str">
        <f t="array" ref="AM30">INDEX(AL:AL,SMALL(IF($AL$2:$AL$301&lt;&gt;"",ROW($2:$301),302),ROW(AL29)))&amp;""</f>
        <v/>
      </c>
      <c r="AN30" s="250" t="str">
        <f>IF(主要!J79="","",主要!J79)</f>
        <v/>
      </c>
      <c r="AO30" s="180" t="str">
        <f t="shared" si="4"/>
        <v/>
      </c>
      <c r="AP30" s="180" t="str">
        <f t="shared" si="0"/>
        <v/>
      </c>
      <c r="AQ30" s="180" t="e">
        <f t="shared" si="1"/>
        <v>#N/A</v>
      </c>
      <c r="AR30" s="180" t="e">
        <f t="shared" si="2"/>
        <v>#N/A</v>
      </c>
      <c r="AS30" s="180" t="str">
        <f t="array" ref="AS30">IFERROR(INDEX(AN$1:AN$46,SMALL(IF(MATCH(AN30,AN$1:AN$46,0)=ROW(AN30),ROW(AN$1:AN$46),999),ROW(AN30))),"")</f>
        <v/>
      </c>
      <c r="AT30" s="198" t="str">
        <f t="array" ref="AT30">INDEX(AS:AS,SMALL(IF($AS$2:$AS$46&lt;&gt;"",ROW($2:$46),47),ROW(AS29)))&amp;""</f>
        <v/>
      </c>
    </row>
    <row r="31" spans="1:46" ht="14.4" customHeight="1" x14ac:dyDescent="0.25">
      <c r="A31" s="250">
        <v>29</v>
      </c>
      <c r="B31" s="119" t="s">
        <v>6462</v>
      </c>
      <c r="C31" s="119" t="s">
        <v>6463</v>
      </c>
      <c r="D31" s="119"/>
      <c r="E31" s="434" t="s">
        <v>6304</v>
      </c>
      <c r="F31" s="180" t="s">
        <v>6282</v>
      </c>
      <c r="G31" s="180" t="s">
        <v>6456</v>
      </c>
      <c r="I31" s="180">
        <v>1</v>
      </c>
      <c r="J31" s="180">
        <v>1</v>
      </c>
      <c r="K31" s="119" t="s">
        <v>6457</v>
      </c>
      <c r="N31" s="180" t="s">
        <v>6284</v>
      </c>
      <c r="O31" s="119" t="s">
        <v>6464</v>
      </c>
      <c r="P31" s="119">
        <v>0</v>
      </c>
      <c r="Q31" s="166" t="str">
        <f>IF(OR(综合数据!$B$5=TRUE,综合数据!$B$14=TRUE),"SCAG","")</f>
        <v>SCAG</v>
      </c>
      <c r="W31" s="180">
        <v>4</v>
      </c>
      <c r="X31" s="180">
        <v>4</v>
      </c>
      <c r="Y31" s="180">
        <v>4</v>
      </c>
      <c r="Z31" s="180" t="str">
        <f>IF(综合数据!$B$14=TRUE,"13","")</f>
        <v>13</v>
      </c>
      <c r="AA31" s="198"/>
      <c r="AB31" s="250" t="str">
        <f t="array" ref="AB31">INDEX(B:B,SMALL(IF($Q$3:$Q$517&lt;&gt;"",ROW($3:$517),518),ROW(B30)))&amp;""</f>
        <v>闪电牵引</v>
      </c>
      <c r="AC31" s="394" t="str">
        <f>IFERROR(IF(AND($Q32&lt;&gt;"",IF(法术查询!$J$4="",1,INDEX($R32:$Z32,1,VLOOKUP(法术查询!$J$4,$AF$2:$AG$10,2,0)))&lt;&gt;"",IF(法术查询!$J$5="",1,$P32=VLOOKUP(法术查询!$J$5,$AH$2:$AI$11,2,0)),IF(法术查询!$J$6="",1,IF(法术查询!$J$6=$E32,1,0)),IF(法术查询!$J$7="",1,SEARCH(法术查询!$J$7,$F32)),IF(法术查询!$J$8="",1,SEARCH(法术查询!$J$8,G32)),IF(法术查询!$J$9="",1,SEARCH(法术查询!$J$9,N32)),IF(法术查询!$J$10="",1,IF(法术查询!$J$10=$AF$11,IF($M32=1,1,0),IF($M32="",1,0))),IF(法术查询!$J$11="",1,IF(法术查询!$J$11=$AF$11,IF($D32=1,1,0),IF($D32="",1,0))),IF(法术查询!$J$12="",1,SEARCH(法术查询!$J$12,$B32&amp;$C32&amp;$O32)),IF(法术查询!$J$13="",1,SEARCH(法术查询!$J$13,$B32&amp;$C32&amp;$O32)),IF(法术查询!$J$14="",1,SEARCH(法术查询!$J$14,$B32&amp;$C32&amp;$O32)),IF(法术查询!$J$16="",1,IF(法术查询!$J$16=$AF$11,IF($H32=1,1,0),IF($H32="",1,0))),IF(法术查询!$J$17="",1,IF(法术查询!$J$17=$AF$11,IF($I32=1,1,0),IF($I32="",1,0))),IF(法术查询!$J$18="",1,IF(法术查询!$J$18=$AF$11,IF($J32&lt;&gt;"",1,0),IF($J32="",1,0))),IF(法术查询!$J$19="",1,IF(法术查询!$J$19=$AF$11,IF($L32&lt;&gt;"",1,0),IF($L32="",1,0)))),$B32,""),"")</f>
        <v/>
      </c>
      <c r="AD31" s="180" t="str">
        <f t="array" ref="AD31">INDEX(AC:AC,SMALL(IF($AC$2:$AC$516&lt;&gt;"",ROW($2:$516),517),ROW(AC30)))&amp;""</f>
        <v/>
      </c>
      <c r="AE31" s="198" t="str">
        <f t="shared" si="3"/>
        <v/>
      </c>
      <c r="AF31" s="250"/>
      <c r="AG31" s="119" t="s">
        <v>6465</v>
      </c>
      <c r="AH31" s="119" t="s">
        <v>6466</v>
      </c>
      <c r="AI31" s="120" t="s">
        <v>6306</v>
      </c>
      <c r="AJ31" s="250">
        <v>30</v>
      </c>
      <c r="AK31" s="180" t="str">
        <f>IF(法术书!V37="","",法术书!V37)</f>
        <v/>
      </c>
      <c r="AL31" s="119" t="str">
        <f t="array" ref="AL31">IFERROR(INDEX(AK$1:AK$301,SMALL(IF(MATCH(AK31,AK$1:AK$301,0)=ROW(AK31),ROW(AK$1:AK$301),999),ROW(AK31))),"")</f>
        <v/>
      </c>
      <c r="AM31" s="120" t="str">
        <f t="array" ref="AM31">INDEX(AL:AL,SMALL(IF($AL$2:$AL$301&lt;&gt;"",ROW($2:$301),302),ROW(AL30)))&amp;""</f>
        <v/>
      </c>
      <c r="AN31" s="250" t="str">
        <f>IF(主要!J80="","",主要!J80)</f>
        <v/>
      </c>
      <c r="AO31" s="180" t="str">
        <f t="shared" si="4"/>
        <v/>
      </c>
      <c r="AP31" s="180" t="str">
        <f t="shared" si="0"/>
        <v/>
      </c>
      <c r="AQ31" s="180" t="e">
        <f t="shared" si="1"/>
        <v>#N/A</v>
      </c>
      <c r="AR31" s="180" t="e">
        <f t="shared" si="2"/>
        <v>#N/A</v>
      </c>
      <c r="AS31" s="180" t="str">
        <f t="array" ref="AS31">IFERROR(INDEX(AN$1:AN$46,SMALL(IF(MATCH(AN31,AN$1:AN$46,0)=ROW(AN31),ROW(AN$1:AN$46),999),ROW(AN31))),"")</f>
        <v/>
      </c>
      <c r="AT31" s="198" t="str">
        <f t="array" ref="AT31">INDEX(AS:AS,SMALL(IF($AS$2:$AS$46&lt;&gt;"",ROW($2:$46),47),ROW(AS30)))&amp;""</f>
        <v/>
      </c>
    </row>
    <row r="32" spans="1:46" ht="14.4" customHeight="1" x14ac:dyDescent="0.25">
      <c r="A32" s="250">
        <v>30</v>
      </c>
      <c r="B32" s="119" t="s">
        <v>6467</v>
      </c>
      <c r="C32" s="119" t="s">
        <v>6468</v>
      </c>
      <c r="D32" s="119"/>
      <c r="E32" s="434" t="s">
        <v>6304</v>
      </c>
      <c r="F32" s="180" t="s">
        <v>6282</v>
      </c>
      <c r="G32" s="180" t="s">
        <v>6469</v>
      </c>
      <c r="H32" s="180">
        <v>1</v>
      </c>
      <c r="N32" s="180" t="s">
        <v>6284</v>
      </c>
      <c r="O32" s="119" t="s">
        <v>6470</v>
      </c>
      <c r="P32" s="119">
        <v>0</v>
      </c>
      <c r="Q32" s="166" t="str">
        <f>IF(OR(综合数据!$B$5=TRUE,综合数据!$B$14=TRUE),"SCAG","")</f>
        <v>SCAG</v>
      </c>
      <c r="W32" s="180">
        <v>4</v>
      </c>
      <c r="X32" s="180">
        <v>4</v>
      </c>
      <c r="Y32" s="180">
        <v>4</v>
      </c>
      <c r="Z32" s="180" t="str">
        <f>IF(综合数据!$B$14=TRUE,"13","")</f>
        <v>13</v>
      </c>
      <c r="AA32" s="198"/>
      <c r="AB32" s="250" t="str">
        <f t="array" ref="AB32">INDEX(B:B,SMALL(IF($Q$3:$Q$517&lt;&gt;"",ROW($3:$517),518),ROW(B31)))&amp;""</f>
        <v>剑刃爆发</v>
      </c>
      <c r="AC32" s="394" t="str">
        <f>IFERROR(IF(AND($Q33&lt;&gt;"",IF(法术查询!$J$4="",1,INDEX($R33:$Z33,1,VLOOKUP(法术查询!$J$4,$AF$2:$AG$10,2,0)))&lt;&gt;"",IF(法术查询!$J$5="",1,$P33=VLOOKUP(法术查询!$J$5,$AH$2:$AI$11,2,0)),IF(法术查询!$J$6="",1,IF(法术查询!$J$6=$E33,1,0)),IF(法术查询!$J$7="",1,SEARCH(法术查询!$J$7,$F33)),IF(法术查询!$J$8="",1,SEARCH(法术查询!$J$8,G33)),IF(法术查询!$J$9="",1,SEARCH(法术查询!$J$9,N33)),IF(法术查询!$J$10="",1,IF(法术查询!$J$10=$AF$11,IF($M33=1,1,0),IF($M33="",1,0))),IF(法术查询!$J$11="",1,IF(法术查询!$J$11=$AF$11,IF($D33=1,1,0),IF($D33="",1,0))),IF(法术查询!$J$12="",1,SEARCH(法术查询!$J$12,$B33&amp;$C33&amp;$O33)),IF(法术查询!$J$13="",1,SEARCH(法术查询!$J$13,$B33&amp;$C33&amp;$O33)),IF(法术查询!$J$14="",1,SEARCH(法术查询!$J$14,$B33&amp;$C33&amp;$O33)),IF(法术查询!$J$16="",1,IF(法术查询!$J$16=$AF$11,IF($H33=1,1,0),IF($H33="",1,0))),IF(法术查询!$J$17="",1,IF(法术查询!$J$17=$AF$11,IF($I33=1,1,0),IF($I33="",1,0))),IF(法术查询!$J$18="",1,IF(法术查询!$J$18=$AF$11,IF($J33&lt;&gt;"",1,0),IF($J33="",1,0))),IF(法术查询!$J$19="",1,IF(法术查询!$J$19=$AF$11,IF($L33&lt;&gt;"",1,0),IF($L33="",1,0)))),$B33,""),"")</f>
        <v/>
      </c>
      <c r="AD32" s="180" t="str">
        <f t="array" ref="AD32">INDEX(AC:AC,SMALL(IF($AC$2:$AC$516&lt;&gt;"",ROW($2:$516),517),ROW(AC31)))&amp;""</f>
        <v/>
      </c>
      <c r="AE32" s="198" t="str">
        <f t="shared" si="3"/>
        <v/>
      </c>
      <c r="AF32" s="250"/>
      <c r="AH32" s="119" t="s">
        <v>6279</v>
      </c>
      <c r="AI32" s="120" t="s">
        <v>6471</v>
      </c>
      <c r="AJ32" s="250">
        <v>31</v>
      </c>
      <c r="AK32" s="180" t="str">
        <f>IF(法术书!V38="","",法术书!V38)</f>
        <v/>
      </c>
      <c r="AL32" s="119" t="str">
        <f t="array" ref="AL32">IFERROR(INDEX(AK$1:AK$301,SMALL(IF(MATCH(AK32,AK$1:AK$301,0)=ROW(AK32),ROW(AK$1:AK$301),999),ROW(AK32))),"")</f>
        <v/>
      </c>
      <c r="AM32" s="120" t="str">
        <f t="array" ref="AM32">INDEX(AL:AL,SMALL(IF($AL$2:$AL$301&lt;&gt;"",ROW($2:$301),302),ROW(AL31)))&amp;""</f>
        <v/>
      </c>
      <c r="AN32" s="250" t="str">
        <f>IF(主要!Q66="","",主要!Q66)</f>
        <v/>
      </c>
      <c r="AO32" s="180" t="str">
        <f t="shared" si="4"/>
        <v/>
      </c>
      <c r="AP32" s="180" t="str">
        <f t="shared" si="0"/>
        <v/>
      </c>
      <c r="AQ32" s="180" t="e">
        <f t="shared" si="1"/>
        <v>#N/A</v>
      </c>
      <c r="AR32" s="180" t="e">
        <f t="shared" si="2"/>
        <v>#N/A</v>
      </c>
      <c r="AS32" s="180" t="str">
        <f t="array" ref="AS32">IFERROR(INDEX(AN$1:AN$46,SMALL(IF(MATCH(AN32,AN$1:AN$46,0)=ROW(AN32),ROW(AN$1:AN$46),999),ROW(AN32))),"")</f>
        <v/>
      </c>
      <c r="AT32" s="198" t="str">
        <f t="array" ref="AT32">INDEX(AS:AS,SMALL(IF($AS$2:$AS$46&lt;&gt;"",ROW($2:$46),47),ROW(AS31)))&amp;""</f>
        <v/>
      </c>
    </row>
    <row r="33" spans="1:46" ht="14.4" customHeight="1" x14ac:dyDescent="0.25">
      <c r="A33" s="250">
        <v>31</v>
      </c>
      <c r="B33" s="119" t="s">
        <v>6472</v>
      </c>
      <c r="C33" s="119" t="s">
        <v>6473</v>
      </c>
      <c r="D33" s="119"/>
      <c r="E33" s="378" t="s">
        <v>6281</v>
      </c>
      <c r="F33" s="180" t="s">
        <v>6282</v>
      </c>
      <c r="G33" s="180" t="s">
        <v>6456</v>
      </c>
      <c r="H33" s="180">
        <v>1</v>
      </c>
      <c r="N33" s="180" t="s">
        <v>6284</v>
      </c>
      <c r="O33" s="119" t="s">
        <v>6474</v>
      </c>
      <c r="P33" s="119">
        <v>0</v>
      </c>
      <c r="Q33" s="166" t="str">
        <f>IF(OR(综合数据!$B$5=TRUE,综合数据!$B$14=TRUE),"SCAG","")</f>
        <v>SCAG</v>
      </c>
      <c r="W33" s="180">
        <v>4</v>
      </c>
      <c r="X33" s="180">
        <v>4</v>
      </c>
      <c r="Y33" s="180">
        <v>4</v>
      </c>
      <c r="Z33" s="180" t="str">
        <f>IF(综合数据!$B$14=TRUE,"13","")</f>
        <v>13</v>
      </c>
      <c r="AA33" s="198"/>
      <c r="AB33" s="250" t="str">
        <f t="array" ref="AB33">INDEX(B:B,SMALL(IF($Q$3:$Q$517&lt;&gt;"",ROW($3:$517),518),ROW(B32)))&amp;""</f>
        <v>控火术</v>
      </c>
      <c r="AC33" s="394" t="str">
        <f>IFERROR(IF(AND($Q34&lt;&gt;"",IF(法术查询!$J$4="",1,INDEX($R34:$Z34,1,VLOOKUP(法术查询!$J$4,$AF$2:$AG$10,2,0)))&lt;&gt;"",IF(法术查询!$J$5="",1,$P34=VLOOKUP(法术查询!$J$5,$AH$2:$AI$11,2,0)),IF(法术查询!$J$6="",1,IF(法术查询!$J$6=$E34,1,0)),IF(法术查询!$J$7="",1,SEARCH(法术查询!$J$7,$F34)),IF(法术查询!$J$8="",1,SEARCH(法术查询!$J$8,G34)),IF(法术查询!$J$9="",1,SEARCH(法术查询!$J$9,N34)),IF(法术查询!$J$10="",1,IF(法术查询!$J$10=$AF$11,IF($M34=1,1,0),IF($M34="",1,0))),IF(法术查询!$J$11="",1,IF(法术查询!$J$11=$AF$11,IF($D34=1,1,0),IF($D34="",1,0))),IF(法术查询!$J$12="",1,SEARCH(法术查询!$J$12,$B34&amp;$C34&amp;$O34)),IF(法术查询!$J$13="",1,SEARCH(法术查询!$J$13,$B34&amp;$C34&amp;$O34)),IF(法术查询!$J$14="",1,SEARCH(法术查询!$J$14,$B34&amp;$C34&amp;$O34)),IF(法术查询!$J$16="",1,IF(法术查询!$J$16=$AF$11,IF($H34=1,1,0),IF($H34="",1,0))),IF(法术查询!$J$17="",1,IF(法术查询!$J$17=$AF$11,IF($I34=1,1,0),IF($I34="",1,0))),IF(法术查询!$J$18="",1,IF(法术查询!$J$18=$AF$11,IF($J34&lt;&gt;"",1,0),IF($J34="",1,0))),IF(法术查询!$J$19="",1,IF(法术查询!$J$19=$AF$11,IF($L34&lt;&gt;"",1,0),IF($L34="",1,0)))),$B34,""),"")</f>
        <v/>
      </c>
      <c r="AD33" s="180" t="str">
        <f t="array" ref="AD33">INDEX(AC:AC,SMALL(IF($AC$2:$AC$516&lt;&gt;"",ROW($2:$516),517),ROW(AC32)))&amp;""</f>
        <v/>
      </c>
      <c r="AE33" s="198" t="str">
        <f t="shared" si="3"/>
        <v/>
      </c>
      <c r="AF33" s="250"/>
      <c r="AH33" s="119" t="s">
        <v>6456</v>
      </c>
      <c r="AI33" s="120" t="s">
        <v>6379</v>
      </c>
      <c r="AJ33" s="250">
        <v>32</v>
      </c>
      <c r="AK33" s="180" t="str">
        <f>IF(法术书!V39="","",法术书!V39)</f>
        <v/>
      </c>
      <c r="AL33" s="119" t="str">
        <f t="array" ref="AL33">IFERROR(INDEX(AK$1:AK$301,SMALL(IF(MATCH(AK33,AK$1:AK$301,0)=ROW(AK33),ROW(AK$1:AK$301),999),ROW(AK33))),"")</f>
        <v/>
      </c>
      <c r="AM33" s="120" t="str">
        <f t="array" ref="AM33">INDEX(AL:AL,SMALL(IF($AL$2:$AL$301&lt;&gt;"",ROW($2:$301),302),ROW(AL32)))&amp;""</f>
        <v/>
      </c>
      <c r="AN33" s="250" t="str">
        <f>IF(主要!Q67="","",主要!Q67)</f>
        <v/>
      </c>
      <c r="AO33" s="180" t="str">
        <f t="shared" si="4"/>
        <v/>
      </c>
      <c r="AP33" s="180" t="str">
        <f t="shared" si="0"/>
        <v/>
      </c>
      <c r="AQ33" s="180" t="e">
        <f t="shared" si="1"/>
        <v>#N/A</v>
      </c>
      <c r="AR33" s="180" t="e">
        <f t="shared" si="2"/>
        <v>#N/A</v>
      </c>
      <c r="AS33" s="180" t="str">
        <f t="array" ref="AS33">IFERROR(INDEX(AN$1:AN$46,SMALL(IF(MATCH(AN33,AN$1:AN$46,0)=ROW(AN33),ROW(AN$1:AN$46),999),ROW(AN33))),"")</f>
        <v/>
      </c>
      <c r="AT33" s="198" t="str">
        <f t="array" ref="AT33">INDEX(AS:AS,SMALL(IF($AS$2:$AS$46&lt;&gt;"",ROW($2:$46),47),ROW(AS32)))&amp;""</f>
        <v/>
      </c>
    </row>
    <row r="34" spans="1:46" ht="14.4" customHeight="1" x14ac:dyDescent="0.25">
      <c r="A34" s="250">
        <v>32</v>
      </c>
      <c r="B34" s="119" t="s">
        <v>6475</v>
      </c>
      <c r="C34" s="119" t="s">
        <v>6476</v>
      </c>
      <c r="D34" s="119"/>
      <c r="E34" s="435" t="s">
        <v>6312</v>
      </c>
      <c r="F34" s="180" t="s">
        <v>6282</v>
      </c>
      <c r="G34" s="180" t="s">
        <v>6283</v>
      </c>
      <c r="I34" s="180">
        <v>1</v>
      </c>
      <c r="N34" s="180" t="s">
        <v>6477</v>
      </c>
      <c r="O34" s="119" t="s">
        <v>6478</v>
      </c>
      <c r="P34" s="119">
        <v>0</v>
      </c>
      <c r="Q34" s="251" t="str">
        <f>IF(综合数据!$B$7=TRUE,"XGE","")</f>
        <v>XGE</v>
      </c>
      <c r="T34" s="180">
        <v>6</v>
      </c>
      <c r="W34" s="180">
        <v>6</v>
      </c>
      <c r="X34" s="180">
        <v>6</v>
      </c>
      <c r="AA34" s="198"/>
      <c r="AB34" s="250" t="str">
        <f t="array" ref="AB34">INDEX(B:B,SMALL(IF($Q$3:$Q$517&lt;&gt;"",ROW($3:$517),518),ROW(B33)))&amp;""</f>
        <v>创造篝火</v>
      </c>
      <c r="AC34" s="394" t="str">
        <f>IFERROR(IF(AND($Q35&lt;&gt;"",IF(法术查询!$J$4="",1,INDEX($R35:$Z35,1,VLOOKUP(法术查询!$J$4,$AF$2:$AG$10,2,0)))&lt;&gt;"",IF(法术查询!$J$5="",1,$P35=VLOOKUP(法术查询!$J$5,$AH$2:$AI$11,2,0)),IF(法术查询!$J$6="",1,IF(法术查询!$J$6=$E35,1,0)),IF(法术查询!$J$7="",1,SEARCH(法术查询!$J$7,$F35)),IF(法术查询!$J$8="",1,SEARCH(法术查询!$J$8,G35)),IF(法术查询!$J$9="",1,SEARCH(法术查询!$J$9,N35)),IF(法术查询!$J$10="",1,IF(法术查询!$J$10=$AF$11,IF($M35=1,1,0),IF($M35="",1,0))),IF(法术查询!$J$11="",1,IF(法术查询!$J$11=$AF$11,IF($D35=1,1,0),IF($D35="",1,0))),IF(法术查询!$J$12="",1,SEARCH(法术查询!$J$12,$B35&amp;$C35&amp;$O35)),IF(法术查询!$J$13="",1,SEARCH(法术查询!$J$13,$B35&amp;$C35&amp;$O35)),IF(法术查询!$J$14="",1,SEARCH(法术查询!$J$14,$B35&amp;$C35&amp;$O35)),IF(法术查询!$J$16="",1,IF(法术查询!$J$16=$AF$11,IF($H35=1,1,0),IF($H35="",1,0))),IF(法术查询!$J$17="",1,IF(法术查询!$J$17=$AF$11,IF($I35=1,1,0),IF($I35="",1,0))),IF(法术查询!$J$18="",1,IF(法术查询!$J$18=$AF$11,IF($J35&lt;&gt;"",1,0),IF($J35="",1,0))),IF(法术查询!$J$19="",1,IF(法术查询!$J$19=$AF$11,IF($L35&lt;&gt;"",1,0),IF($L35="",1,0)))),$B35,""),"")</f>
        <v/>
      </c>
      <c r="AD34" s="180" t="str">
        <f t="array" ref="AD34">INDEX(AC:AC,SMALL(IF($AC$2:$AC$516&lt;&gt;"",ROW($2:$516),517),ROW(AC33)))&amp;""</f>
        <v/>
      </c>
      <c r="AE34" s="198" t="str">
        <f t="shared" si="3"/>
        <v/>
      </c>
      <c r="AF34" s="250"/>
      <c r="AH34" s="119" t="s">
        <v>6479</v>
      </c>
      <c r="AI34" s="120" t="s">
        <v>6480</v>
      </c>
      <c r="AJ34" s="250">
        <v>33</v>
      </c>
      <c r="AK34" s="180" t="str">
        <f>IF(法术书!V40="","",法术书!V40)</f>
        <v/>
      </c>
      <c r="AL34" s="119" t="str">
        <f t="array" ref="AL34">IFERROR(INDEX(AK$1:AK$301,SMALL(IF(MATCH(AK34,AK$1:AK$301,0)=ROW(AK34),ROW(AK$1:AK$301),999),ROW(AK34))),"")</f>
        <v/>
      </c>
      <c r="AM34" s="120" t="str">
        <f t="array" ref="AM34">INDEX(AL:AL,SMALL(IF($AL$2:$AL$301&lt;&gt;"",ROW($2:$301),302),ROW(AL33)))&amp;""</f>
        <v/>
      </c>
      <c r="AN34" s="250" t="str">
        <f>IF(主要!Q68="","",主要!Q68)</f>
        <v/>
      </c>
      <c r="AO34" s="180" t="str">
        <f t="shared" si="4"/>
        <v/>
      </c>
      <c r="AP34" s="180" t="str">
        <f t="shared" si="0"/>
        <v/>
      </c>
      <c r="AQ34" s="180" t="e">
        <f t="shared" si="1"/>
        <v>#N/A</v>
      </c>
      <c r="AR34" s="180" t="e">
        <f t="shared" si="2"/>
        <v>#N/A</v>
      </c>
      <c r="AS34" s="180" t="str">
        <f t="array" ref="AS34">IFERROR(INDEX(AN$1:AN$46,SMALL(IF(MATCH(AN34,AN$1:AN$46,0)=ROW(AN34),ROW(AN$1:AN$46),999),ROW(AN34))),"")</f>
        <v/>
      </c>
      <c r="AT34" s="198" t="str">
        <f t="array" ref="AT34">INDEX(AS:AS,SMALL(IF($AS$2:$AS$46&lt;&gt;"",ROW($2:$46),47),ROW(AS33)))&amp;""</f>
        <v/>
      </c>
    </row>
    <row r="35" spans="1:46" ht="14.4" customHeight="1" x14ac:dyDescent="0.25">
      <c r="A35" s="250">
        <v>33</v>
      </c>
      <c r="B35" s="119" t="s">
        <v>6481</v>
      </c>
      <c r="C35" s="119" t="s">
        <v>6482</v>
      </c>
      <c r="D35" s="119"/>
      <c r="E35" s="378" t="s">
        <v>6281</v>
      </c>
      <c r="F35" s="180" t="s">
        <v>6282</v>
      </c>
      <c r="G35" s="180" t="s">
        <v>6283</v>
      </c>
      <c r="H35" s="180">
        <v>1</v>
      </c>
      <c r="I35" s="180">
        <v>1</v>
      </c>
      <c r="M35" s="180">
        <v>1</v>
      </c>
      <c r="N35" s="180" t="s">
        <v>6306</v>
      </c>
      <c r="O35" s="119" t="s">
        <v>6483</v>
      </c>
      <c r="P35" s="119">
        <v>0</v>
      </c>
      <c r="Q35" s="251" t="str">
        <f>IF(综合数据!$B$7=TRUE,"XGE","")</f>
        <v>XGE</v>
      </c>
      <c r="W35" s="180">
        <v>6</v>
      </c>
      <c r="X35" s="180">
        <v>6</v>
      </c>
      <c r="Y35" s="180">
        <v>6</v>
      </c>
      <c r="Z35" s="180">
        <v>9</v>
      </c>
      <c r="AA35" s="198"/>
      <c r="AB35" s="250" t="str">
        <f t="array" ref="AB35">INDEX(B:B,SMALL(IF($Q$3:$Q$517&lt;&gt;"",ROW($3:$517),518),ROW(B34)))&amp;""</f>
        <v>霜噬术</v>
      </c>
      <c r="AC35" s="394" t="str">
        <f>IFERROR(IF(AND($Q36&lt;&gt;"",IF(法术查询!$J$4="",1,INDEX($R36:$Z36,1,VLOOKUP(法术查询!$J$4,$AF$2:$AG$10,2,0)))&lt;&gt;"",IF(法术查询!$J$5="",1,$P36=VLOOKUP(法术查询!$J$5,$AH$2:$AI$11,2,0)),IF(法术查询!$J$6="",1,IF(法术查询!$J$6=$E36,1,0)),IF(法术查询!$J$7="",1,SEARCH(法术查询!$J$7,$F36)),IF(法术查询!$J$8="",1,SEARCH(法术查询!$J$8,G36)),IF(法术查询!$J$9="",1,SEARCH(法术查询!$J$9,N36)),IF(法术查询!$J$10="",1,IF(法术查询!$J$10=$AF$11,IF($M36=1,1,0),IF($M36="",1,0))),IF(法术查询!$J$11="",1,IF(法术查询!$J$11=$AF$11,IF($D36=1,1,0),IF($D36="",1,0))),IF(法术查询!$J$12="",1,SEARCH(法术查询!$J$12,$B36&amp;$C36&amp;$O36)),IF(法术查询!$J$13="",1,SEARCH(法术查询!$J$13,$B36&amp;$C36&amp;$O36)),IF(法术查询!$J$14="",1,SEARCH(法术查询!$J$14,$B36&amp;$C36&amp;$O36)),IF(法术查询!$J$16="",1,IF(法术查询!$J$16=$AF$11,IF($H36=1,1,0),IF($H36="",1,0))),IF(法术查询!$J$17="",1,IF(法术查询!$J$17=$AF$11,IF($I36=1,1,0),IF($I36="",1,0))),IF(法术查询!$J$18="",1,IF(法术查询!$J$18=$AF$11,IF($J36&lt;&gt;"",1,0),IF($J36="",1,0))),IF(法术查询!$J$19="",1,IF(法术查询!$J$19=$AF$11,IF($L36&lt;&gt;"",1,0),IF($L36="",1,0)))),$B36,""),"")</f>
        <v/>
      </c>
      <c r="AD35" s="180" t="str">
        <f t="array" ref="AD35">INDEX(AC:AC,SMALL(IF($AC$2:$AC$516&lt;&gt;"",ROW($2:$516),517),ROW(AC34)))&amp;""</f>
        <v/>
      </c>
      <c r="AE35" s="198" t="str">
        <f t="shared" si="3"/>
        <v/>
      </c>
      <c r="AF35" s="250"/>
      <c r="AH35" s="119" t="s">
        <v>6484</v>
      </c>
      <c r="AI35" s="120" t="s">
        <v>6485</v>
      </c>
      <c r="AJ35" s="250">
        <v>34</v>
      </c>
      <c r="AK35" s="180" t="str">
        <f>IF(法术书!V41="","",法术书!V41)</f>
        <v/>
      </c>
      <c r="AL35" s="119" t="str">
        <f t="array" ref="AL35">IFERROR(INDEX(AK$1:AK$301,SMALL(IF(MATCH(AK35,AK$1:AK$301,0)=ROW(AK35),ROW(AK$1:AK$301),999),ROW(AK35))),"")</f>
        <v/>
      </c>
      <c r="AM35" s="120" t="str">
        <f t="array" ref="AM35">INDEX(AL:AL,SMALL(IF($AL$2:$AL$301&lt;&gt;"",ROW($2:$301),302),ROW(AL34)))&amp;""</f>
        <v/>
      </c>
      <c r="AN35" s="250" t="str">
        <f>IF(主要!Q69="","",主要!Q69)</f>
        <v/>
      </c>
      <c r="AO35" s="180" t="str">
        <f t="shared" si="4"/>
        <v/>
      </c>
      <c r="AP35" s="180" t="str">
        <f t="shared" si="0"/>
        <v/>
      </c>
      <c r="AQ35" s="180" t="e">
        <f t="shared" si="1"/>
        <v>#N/A</v>
      </c>
      <c r="AR35" s="180" t="e">
        <f t="shared" si="2"/>
        <v>#N/A</v>
      </c>
      <c r="AS35" s="180" t="str">
        <f t="array" ref="AS35">IFERROR(INDEX(AN$1:AN$46,SMALL(IF(MATCH(AN35,AN$1:AN$46,0)=ROW(AN35),ROW(AN$1:AN$46),999),ROW(AN35))),"")</f>
        <v/>
      </c>
      <c r="AT35" s="198" t="str">
        <f t="array" ref="AT35">INDEX(AS:AS,SMALL(IF($AS$2:$AS$46&lt;&gt;"",ROW($2:$46),47),ROW(AS34)))&amp;""</f>
        <v/>
      </c>
    </row>
    <row r="36" spans="1:46" ht="14.4" customHeight="1" x14ac:dyDescent="0.25">
      <c r="A36" s="250">
        <v>34</v>
      </c>
      <c r="B36" s="119" t="s">
        <v>6486</v>
      </c>
      <c r="C36" s="119" t="s">
        <v>6487</v>
      </c>
      <c r="D36" s="119"/>
      <c r="E36" s="434" t="s">
        <v>6304</v>
      </c>
      <c r="F36" s="180" t="s">
        <v>6282</v>
      </c>
      <c r="G36" s="180" t="s">
        <v>6283</v>
      </c>
      <c r="H36" s="180">
        <v>1</v>
      </c>
      <c r="I36" s="180">
        <v>1</v>
      </c>
      <c r="N36" s="180" t="s">
        <v>6284</v>
      </c>
      <c r="O36" s="119" t="s">
        <v>6488</v>
      </c>
      <c r="P36" s="119">
        <v>0</v>
      </c>
      <c r="Q36" s="251" t="str">
        <f>IF(综合数据!$B$7=TRUE,"XGE","")</f>
        <v>XGE</v>
      </c>
      <c r="T36" s="180">
        <v>6</v>
      </c>
      <c r="W36" s="180">
        <v>6</v>
      </c>
      <c r="X36" s="180">
        <v>6</v>
      </c>
      <c r="Y36" s="180">
        <v>6</v>
      </c>
      <c r="Z36" s="180">
        <v>9</v>
      </c>
      <c r="AA36" s="198"/>
      <c r="AB36" s="250" t="str">
        <f t="array" ref="AB36">INDEX(B:B,SMALL(IF($Q$3:$Q$517&lt;&gt;"",ROW($3:$517),518),ROW(B35)))&amp;""</f>
        <v>舞风术</v>
      </c>
      <c r="AC36" s="394" t="str">
        <f>IFERROR(IF(AND($Q37&lt;&gt;"",IF(法术查询!$J$4="",1,INDEX($R37:$Z37,1,VLOOKUP(法术查询!$J$4,$AF$2:$AG$10,2,0)))&lt;&gt;"",IF(法术查询!$J$5="",1,$P37=VLOOKUP(法术查询!$J$5,$AH$2:$AI$11,2,0)),IF(法术查询!$J$6="",1,IF(法术查询!$J$6=$E37,1,0)),IF(法术查询!$J$7="",1,SEARCH(法术查询!$J$7,$F37)),IF(法术查询!$J$8="",1,SEARCH(法术查询!$J$8,G37)),IF(法术查询!$J$9="",1,SEARCH(法术查询!$J$9,N37)),IF(法术查询!$J$10="",1,IF(法术查询!$J$10=$AF$11,IF($M37=1,1,0),IF($M37="",1,0))),IF(法术查询!$J$11="",1,IF(法术查询!$J$11=$AF$11,IF($D37=1,1,0),IF($D37="",1,0))),IF(法术查询!$J$12="",1,SEARCH(法术查询!$J$12,$B37&amp;$C37&amp;$O37)),IF(法术查询!$J$13="",1,SEARCH(法术查询!$J$13,$B37&amp;$C37&amp;$O37)),IF(法术查询!$J$14="",1,SEARCH(法术查询!$J$14,$B37&amp;$C37&amp;$O37)),IF(法术查询!$J$16="",1,IF(法术查询!$J$16=$AF$11,IF($H37=1,1,0),IF($H37="",1,0))),IF(法术查询!$J$17="",1,IF(法术查询!$J$17=$AF$11,IF($I37=1,1,0),IF($I37="",1,0))),IF(法术查询!$J$18="",1,IF(法术查询!$J$18=$AF$11,IF($J37&lt;&gt;"",1,0),IF($J37="",1,0))),IF(法术查询!$J$19="",1,IF(法术查询!$J$19=$AF$11,IF($L37&lt;&gt;"",1,0),IF($L37="",1,0)))),$B37,""),"")</f>
        <v/>
      </c>
      <c r="AD36" s="180" t="str">
        <f t="array" ref="AD36">INDEX(AC:AC,SMALL(IF($AC$2:$AC$516&lt;&gt;"",ROW($2:$516),517),ROW(AC35)))&amp;""</f>
        <v/>
      </c>
      <c r="AE36" s="198" t="str">
        <f t="shared" si="3"/>
        <v/>
      </c>
      <c r="AF36" s="250"/>
      <c r="AH36" s="119" t="s">
        <v>6489</v>
      </c>
      <c r="AI36" s="120" t="s">
        <v>6490</v>
      </c>
      <c r="AJ36" s="250">
        <v>35</v>
      </c>
      <c r="AK36" s="180" t="str">
        <f>IF(法术书!V42="","",法术书!V42)</f>
        <v/>
      </c>
      <c r="AL36" s="119" t="str">
        <f t="array" ref="AL36">IFERROR(INDEX(AK$1:AK$301,SMALL(IF(MATCH(AK36,AK$1:AK$301,0)=ROW(AK36),ROW(AK$1:AK$301),999),ROW(AK36))),"")</f>
        <v/>
      </c>
      <c r="AM36" s="120" t="str">
        <f t="array" ref="AM36">INDEX(AL:AL,SMALL(IF($AL$2:$AL$301&lt;&gt;"",ROW($2:$301),302),ROW(AL35)))&amp;""</f>
        <v/>
      </c>
      <c r="AN36" s="250" t="str">
        <f>IF(主要!Q70="","",主要!Q70)</f>
        <v/>
      </c>
      <c r="AO36" s="180" t="str">
        <f t="shared" si="4"/>
        <v/>
      </c>
      <c r="AP36" s="180" t="str">
        <f t="shared" si="0"/>
        <v/>
      </c>
      <c r="AQ36" s="180" t="e">
        <f t="shared" si="1"/>
        <v>#N/A</v>
      </c>
      <c r="AR36" s="180" t="e">
        <f t="shared" si="2"/>
        <v>#N/A</v>
      </c>
      <c r="AS36" s="180" t="str">
        <f t="array" ref="AS36">IFERROR(INDEX(AN$1:AN$46,SMALL(IF(MATCH(AN36,AN$1:AN$46,0)=ROW(AN36),ROW(AN$1:AN$46),999),ROW(AN36))),"")</f>
        <v/>
      </c>
      <c r="AT36" s="198" t="str">
        <f t="array" ref="AT36">INDEX(AS:AS,SMALL(IF($AS$2:$AS$46&lt;&gt;"",ROW($2:$46),47),ROW(AS35)))&amp;""</f>
        <v/>
      </c>
    </row>
    <row r="37" spans="1:46" ht="14.4" customHeight="1" x14ac:dyDescent="0.25">
      <c r="A37" s="250">
        <v>35</v>
      </c>
      <c r="B37" s="119" t="s">
        <v>6491</v>
      </c>
      <c r="C37" s="119" t="s">
        <v>6492</v>
      </c>
      <c r="D37" s="119"/>
      <c r="E37" s="435" t="s">
        <v>6312</v>
      </c>
      <c r="F37" s="180" t="s">
        <v>6282</v>
      </c>
      <c r="G37" s="180" t="s">
        <v>6313</v>
      </c>
      <c r="H37" s="180">
        <v>1</v>
      </c>
      <c r="I37" s="180">
        <v>1</v>
      </c>
      <c r="N37" s="180" t="s">
        <v>6284</v>
      </c>
      <c r="O37" s="119" t="s">
        <v>6493</v>
      </c>
      <c r="P37" s="119">
        <v>0</v>
      </c>
      <c r="Q37" s="251" t="str">
        <f>IF(综合数据!$B$7=TRUE,"XGE","")</f>
        <v>XGE</v>
      </c>
      <c r="T37" s="180">
        <v>6</v>
      </c>
      <c r="W37" s="180">
        <v>6</v>
      </c>
      <c r="X37" s="180">
        <v>6</v>
      </c>
      <c r="AA37" s="198" t="s">
        <v>818</v>
      </c>
      <c r="AB37" s="250" t="str">
        <f t="array" ref="AB37">INDEX(B:B,SMALL(IF($Q$3:$Q$517&lt;&gt;"",ROW($3:$517),518),ROW(B36)))&amp;""</f>
        <v>虫群孳生</v>
      </c>
      <c r="AC37" s="394" t="str">
        <f>IFERROR(IF(AND($Q38&lt;&gt;"",IF(法术查询!$J$4="",1,INDEX($R38:$Z38,1,VLOOKUP(法术查询!$J$4,$AF$2:$AG$10,2,0)))&lt;&gt;"",IF(法术查询!$J$5="",1,$P38=VLOOKUP(法术查询!$J$5,$AH$2:$AI$11,2,0)),IF(法术查询!$J$6="",1,IF(法术查询!$J$6=$E38,1,0)),IF(法术查询!$J$7="",1,SEARCH(法术查询!$J$7,$F38)),IF(法术查询!$J$8="",1,SEARCH(法术查询!$J$8,G38)),IF(法术查询!$J$9="",1,SEARCH(法术查询!$J$9,N38)),IF(法术查询!$J$10="",1,IF(法术查询!$J$10=$AF$11,IF($M38=1,1,0),IF($M38="",1,0))),IF(法术查询!$J$11="",1,IF(法术查询!$J$11=$AF$11,IF($D38=1,1,0),IF($D38="",1,0))),IF(法术查询!$J$12="",1,SEARCH(法术查询!$J$12,$B38&amp;$C38&amp;$O38)),IF(法术查询!$J$13="",1,SEARCH(法术查询!$J$13,$B38&amp;$C38&amp;$O38)),IF(法术查询!$J$14="",1,SEARCH(法术查询!$J$14,$B38&amp;$C38&amp;$O38)),IF(法术查询!$J$16="",1,IF(法术查询!$J$16=$AF$11,IF($H38=1,1,0),IF($H38="",1,0))),IF(法术查询!$J$17="",1,IF(法术查询!$J$17=$AF$11,IF($I38=1,1,0),IF($I38="",1,0))),IF(法术查询!$J$18="",1,IF(法术查询!$J$18=$AF$11,IF($J38&lt;&gt;"",1,0),IF($J38="",1,0))),IF(法术查询!$J$19="",1,IF(法术查询!$J$19=$AF$11,IF($L38&lt;&gt;"",1,0),IF($L38="",1,0)))),$B38,""),"")</f>
        <v/>
      </c>
      <c r="AD37" s="180" t="str">
        <f t="array" ref="AD37">INDEX(AC:AC,SMALL(IF($AC$2:$AC$516&lt;&gt;"",ROW($2:$516),517),ROW(AC36)))&amp;""</f>
        <v/>
      </c>
      <c r="AE37" s="198" t="str">
        <f t="shared" si="3"/>
        <v/>
      </c>
      <c r="AF37" s="250"/>
      <c r="AH37" s="119" t="s">
        <v>6494</v>
      </c>
      <c r="AI37" s="120" t="s">
        <v>6495</v>
      </c>
      <c r="AJ37" s="250">
        <v>36</v>
      </c>
      <c r="AK37" s="180" t="str">
        <f>IF(法术书!V43="","",法术书!V43)</f>
        <v/>
      </c>
      <c r="AL37" s="119" t="str">
        <f t="array" ref="AL37">IFERROR(INDEX(AK$1:AK$301,SMALL(IF(MATCH(AK37,AK$1:AK$301,0)=ROW(AK37),ROW(AK$1:AK$301),999),ROW(AK37))),"")</f>
        <v/>
      </c>
      <c r="AM37" s="120" t="str">
        <f t="array" ref="AM37">INDEX(AL:AL,SMALL(IF($AL$2:$AL$301&lt;&gt;"",ROW($2:$301),302),ROW(AL36)))&amp;""</f>
        <v/>
      </c>
      <c r="AN37" s="250" t="str">
        <f>IF(主要!Q71="","",主要!Q71)</f>
        <v/>
      </c>
      <c r="AO37" s="180" t="str">
        <f t="shared" si="4"/>
        <v/>
      </c>
      <c r="AP37" s="180" t="str">
        <f t="shared" si="0"/>
        <v/>
      </c>
      <c r="AQ37" s="180" t="e">
        <f t="shared" si="1"/>
        <v>#N/A</v>
      </c>
      <c r="AR37" s="180" t="e">
        <f t="shared" si="2"/>
        <v>#N/A</v>
      </c>
      <c r="AS37" s="180" t="str">
        <f t="array" ref="AS37">IFERROR(INDEX(AN$1:AN$46,SMALL(IF(MATCH(AN37,AN$1:AN$46,0)=ROW(AN37),ROW(AN$1:AN$46),999),ROW(AN37))),"")</f>
        <v/>
      </c>
      <c r="AT37" s="198" t="str">
        <f t="array" ref="AT37">INDEX(AS:AS,SMALL(IF($AS$2:$AS$46&lt;&gt;"",ROW($2:$46),47),ROW(AS36)))&amp;""</f>
        <v/>
      </c>
    </row>
    <row r="38" spans="1:46" ht="14.4" customHeight="1" x14ac:dyDescent="0.25">
      <c r="A38" s="250">
        <v>36</v>
      </c>
      <c r="B38" s="119" t="s">
        <v>6496</v>
      </c>
      <c r="C38" s="119" t="s">
        <v>6497</v>
      </c>
      <c r="D38" s="119"/>
      <c r="E38" s="378" t="s">
        <v>6281</v>
      </c>
      <c r="F38" s="180" t="s">
        <v>6282</v>
      </c>
      <c r="G38" s="180" t="s">
        <v>6313</v>
      </c>
      <c r="H38" s="180">
        <v>1</v>
      </c>
      <c r="I38" s="180">
        <v>1</v>
      </c>
      <c r="J38" s="180">
        <v>1</v>
      </c>
      <c r="K38" s="119" t="s">
        <v>6498</v>
      </c>
      <c r="N38" s="180" t="s">
        <v>6284</v>
      </c>
      <c r="O38" s="119" t="s">
        <v>6499</v>
      </c>
      <c r="P38" s="119">
        <v>0</v>
      </c>
      <c r="Q38" s="251" t="str">
        <f>IF(综合数据!$B$7=TRUE,"XGE","")</f>
        <v>XGE</v>
      </c>
      <c r="T38" s="180">
        <v>6</v>
      </c>
      <c r="W38" s="180">
        <v>6</v>
      </c>
      <c r="X38" s="180">
        <v>6</v>
      </c>
      <c r="Y38" s="180">
        <v>6</v>
      </c>
      <c r="AA38" s="198"/>
      <c r="AB38" s="250" t="str">
        <f t="array" ref="AB38">INDEX(B:B,SMALL(IF($Q$3:$Q$517&lt;&gt;"",ROW($3:$517),518),ROW(B37)))&amp;""</f>
        <v>魔石术</v>
      </c>
      <c r="AC38" s="394" t="str">
        <f>IFERROR(IF(AND($Q39&lt;&gt;"",IF(法术查询!$J$4="",1,INDEX($R39:$Z39,1,VLOOKUP(法术查询!$J$4,$AF$2:$AG$10,2,0)))&lt;&gt;"",IF(法术查询!$J$5="",1,$P39=VLOOKUP(法术查询!$J$5,$AH$2:$AI$11,2,0)),IF(法术查询!$J$6="",1,IF(法术查询!$J$6=$E39,1,0)),IF(法术查询!$J$7="",1,SEARCH(法术查询!$J$7,$F39)),IF(法术查询!$J$8="",1,SEARCH(法术查询!$J$8,G39)),IF(法术查询!$J$9="",1,SEARCH(法术查询!$J$9,N39)),IF(法术查询!$J$10="",1,IF(法术查询!$J$10=$AF$11,IF($M39=1,1,0),IF($M39="",1,0))),IF(法术查询!$J$11="",1,IF(法术查询!$J$11=$AF$11,IF($D39=1,1,0),IF($D39="",1,0))),IF(法术查询!$J$12="",1,SEARCH(法术查询!$J$12,$B39&amp;$C39&amp;$O39)),IF(法术查询!$J$13="",1,SEARCH(法术查询!$J$13,$B39&amp;$C39&amp;$O39)),IF(法术查询!$J$14="",1,SEARCH(法术查询!$J$14,$B39&amp;$C39&amp;$O39)),IF(法术查询!$J$16="",1,IF(法术查询!$J$16=$AF$11,IF($H39=1,1,0),IF($H39="",1,0))),IF(法术查询!$J$17="",1,IF(法术查询!$J$17=$AF$11,IF($I39=1,1,0),IF($I39="",1,0))),IF(法术查询!$J$18="",1,IF(法术查询!$J$18=$AF$11,IF($J39&lt;&gt;"",1,0),IF($J39="",1,0))),IF(法术查询!$J$19="",1,IF(法术查询!$J$19=$AF$11,IF($L39&lt;&gt;"",1,0),IF($L39="",1,0)))),$B39,""),"")</f>
        <v/>
      </c>
      <c r="AD38" s="180" t="str">
        <f t="array" ref="AD38">INDEX(AC:AC,SMALL(IF($AC$2:$AC$516&lt;&gt;"",ROW($2:$516),517),ROW(AC37)))&amp;""</f>
        <v/>
      </c>
      <c r="AE38" s="198" t="str">
        <f t="shared" si="3"/>
        <v/>
      </c>
      <c r="AF38" s="250"/>
      <c r="AH38" s="119" t="s">
        <v>6500</v>
      </c>
      <c r="AI38" s="120" t="s">
        <v>6477</v>
      </c>
      <c r="AJ38" s="250">
        <v>37</v>
      </c>
      <c r="AK38" s="180" t="str">
        <f>IF(法术书!V44="","",法术书!V44)</f>
        <v/>
      </c>
      <c r="AL38" s="119" t="str">
        <f t="array" ref="AL38">IFERROR(INDEX(AK$1:AK$301,SMALL(IF(MATCH(AK38,AK$1:AK$301,0)=ROW(AK38),ROW(AK$1:AK$301),999),ROW(AK38))),"")</f>
        <v/>
      </c>
      <c r="AM38" s="120" t="str">
        <f t="array" ref="AM38">INDEX(AL:AL,SMALL(IF($AL$2:$AL$301&lt;&gt;"",ROW($2:$301),302),ROW(AL37)))&amp;""</f>
        <v/>
      </c>
      <c r="AN38" s="250" t="str">
        <f>IF(主要!Q72="","",主要!Q72)</f>
        <v/>
      </c>
      <c r="AO38" s="180" t="str">
        <f t="shared" si="4"/>
        <v/>
      </c>
      <c r="AP38" s="180" t="str">
        <f t="shared" si="0"/>
        <v/>
      </c>
      <c r="AQ38" s="180" t="e">
        <f t="shared" si="1"/>
        <v>#N/A</v>
      </c>
      <c r="AR38" s="180" t="e">
        <f t="shared" si="2"/>
        <v>#N/A</v>
      </c>
      <c r="AS38" s="180" t="str">
        <f t="array" ref="AS38">IFERROR(INDEX(AN$1:AN$46,SMALL(IF(MATCH(AN38,AN$1:AN$46,0)=ROW(AN38),ROW(AN$1:AN$46),999),ROW(AN38))),"")</f>
        <v/>
      </c>
      <c r="AT38" s="198" t="str">
        <f t="array" ref="AT38">INDEX(AS:AS,SMALL(IF($AS$2:$AS$46&lt;&gt;"",ROW($2:$46),47),ROW(AS37)))&amp;""</f>
        <v/>
      </c>
    </row>
    <row r="39" spans="1:46" ht="14.4" customHeight="1" x14ac:dyDescent="0.25">
      <c r="A39" s="250">
        <v>37</v>
      </c>
      <c r="B39" s="119" t="s">
        <v>6501</v>
      </c>
      <c r="C39" s="119" t="s">
        <v>6502</v>
      </c>
      <c r="D39" s="119"/>
      <c r="E39" s="435" t="s">
        <v>6312</v>
      </c>
      <c r="F39" s="180" t="s">
        <v>6352</v>
      </c>
      <c r="G39" s="180" t="s">
        <v>3682</v>
      </c>
      <c r="H39" s="180">
        <v>1</v>
      </c>
      <c r="I39" s="180">
        <v>1</v>
      </c>
      <c r="N39" s="180" t="s">
        <v>6349</v>
      </c>
      <c r="O39" s="119" t="s">
        <v>6503</v>
      </c>
      <c r="P39" s="119">
        <v>0</v>
      </c>
      <c r="Q39" s="251" t="str">
        <f>IF(综合数据!$B$7=TRUE,"XGE","")</f>
        <v>XGE</v>
      </c>
      <c r="T39" s="180">
        <v>6</v>
      </c>
      <c r="Y39" s="180">
        <v>6</v>
      </c>
      <c r="Z39" s="180">
        <v>9</v>
      </c>
      <c r="AA39" s="198"/>
      <c r="AB39" s="250" t="str">
        <f t="array" ref="AB39">INDEX(B:B,SMALL(IF($Q$3:$Q$517&lt;&gt;"",ROW($3:$517),518),ROW(B38)))&amp;""</f>
        <v>塑土术</v>
      </c>
      <c r="AC39" s="394" t="str">
        <f>IFERROR(IF(AND($Q40&lt;&gt;"",IF(法术查询!$J$4="",1,INDEX($R40:$Z40,1,VLOOKUP(法术查询!$J$4,$AF$2:$AG$10,2,0)))&lt;&gt;"",IF(法术查询!$J$5="",1,$P40=VLOOKUP(法术查询!$J$5,$AH$2:$AI$11,2,0)),IF(法术查询!$J$6="",1,IF(法术查询!$J$6=$E40,1,0)),IF(法术查询!$J$7="",1,SEARCH(法术查询!$J$7,$F40)),IF(法术查询!$J$8="",1,SEARCH(法术查询!$J$8,G40)),IF(法术查询!$J$9="",1,SEARCH(法术查询!$J$9,N40)),IF(法术查询!$J$10="",1,IF(法术查询!$J$10=$AF$11,IF($M40=1,1,0),IF($M40="",1,0))),IF(法术查询!$J$11="",1,IF(法术查询!$J$11=$AF$11,IF($D40=1,1,0),IF($D40="",1,0))),IF(法术查询!$J$12="",1,SEARCH(法术查询!$J$12,$B40&amp;$C40&amp;$O40)),IF(法术查询!$J$13="",1,SEARCH(法术查询!$J$13,$B40&amp;$C40&amp;$O40)),IF(法术查询!$J$14="",1,SEARCH(法术查询!$J$14,$B40&amp;$C40&amp;$O40)),IF(法术查询!$J$16="",1,IF(法术查询!$J$16=$AF$11,IF($H40=1,1,0),IF($H40="",1,0))),IF(法术查询!$J$17="",1,IF(法术查询!$J$17=$AF$11,IF($I40=1,1,0),IF($I40="",1,0))),IF(法术查询!$J$18="",1,IF(法术查询!$J$18=$AF$11,IF($J40&lt;&gt;"",1,0),IF($J40="",1,0))),IF(法术查询!$J$19="",1,IF(法术查询!$J$19=$AF$11,IF($L40&lt;&gt;"",1,0),IF($L40="",1,0)))),$B40,""),"")</f>
        <v/>
      </c>
      <c r="AD39" s="180" t="str">
        <f t="array" ref="AD39">INDEX(AC:AC,SMALL(IF($AC$2:$AC$516&lt;&gt;"",ROW($2:$516),517),ROW(AC38)))&amp;""</f>
        <v/>
      </c>
      <c r="AE39" s="198" t="str">
        <f t="shared" si="3"/>
        <v/>
      </c>
      <c r="AF39" s="250"/>
      <c r="AH39" s="119" t="s">
        <v>6469</v>
      </c>
      <c r="AI39" s="198"/>
      <c r="AJ39" s="250">
        <v>38</v>
      </c>
      <c r="AK39" s="180" t="str">
        <f>IF(法术书!V45="","",法术书!V45)</f>
        <v/>
      </c>
      <c r="AL39" s="119" t="str">
        <f t="array" ref="AL39">IFERROR(INDEX(AK$1:AK$301,SMALL(IF(MATCH(AK39,AK$1:AK$301,0)=ROW(AK39),ROW(AK$1:AK$301),999),ROW(AK39))),"")</f>
        <v/>
      </c>
      <c r="AM39" s="120" t="str">
        <f t="array" ref="AM39">INDEX(AL:AL,SMALL(IF($AL$2:$AL$301&lt;&gt;"",ROW($2:$301),302),ROW(AL38)))&amp;""</f>
        <v/>
      </c>
      <c r="AN39" s="250" t="str">
        <f>IF(主要!Q73="","",主要!Q73)</f>
        <v/>
      </c>
      <c r="AO39" s="180" t="str">
        <f t="shared" si="4"/>
        <v/>
      </c>
      <c r="AP39" s="180" t="str">
        <f t="shared" si="0"/>
        <v/>
      </c>
      <c r="AQ39" s="180" t="e">
        <f t="shared" si="1"/>
        <v>#N/A</v>
      </c>
      <c r="AR39" s="180" t="e">
        <f t="shared" si="2"/>
        <v>#N/A</v>
      </c>
      <c r="AS39" s="180" t="str">
        <f t="array" ref="AS39">IFERROR(INDEX(AN$1:AN$46,SMALL(IF(MATCH(AN39,AN$1:AN$46,0)=ROW(AN39),ROW(AN$1:AN$46),999),ROW(AN39))),"")</f>
        <v/>
      </c>
      <c r="AT39" s="198" t="str">
        <f t="array" ref="AT39">INDEX(AS:AS,SMALL(IF($AS$2:$AS$46&lt;&gt;"",ROW($2:$46),47),ROW(AS38)))&amp;""</f>
        <v/>
      </c>
    </row>
    <row r="40" spans="1:46" ht="14.4" customHeight="1" x14ac:dyDescent="0.25">
      <c r="A40" s="250">
        <v>38</v>
      </c>
      <c r="B40" s="119" t="s">
        <v>6504</v>
      </c>
      <c r="C40" s="119" t="s">
        <v>6505</v>
      </c>
      <c r="D40" s="119"/>
      <c r="E40" s="435" t="s">
        <v>6312</v>
      </c>
      <c r="F40" s="180" t="s">
        <v>6282</v>
      </c>
      <c r="G40" s="180" t="s">
        <v>6313</v>
      </c>
      <c r="I40" s="180">
        <v>1</v>
      </c>
      <c r="N40" s="180" t="s">
        <v>6477</v>
      </c>
      <c r="O40" s="119" t="s">
        <v>6506</v>
      </c>
      <c r="P40" s="119">
        <v>0</v>
      </c>
      <c r="Q40" s="251" t="str">
        <f>IF(综合数据!$B$7=TRUE,"XGE","")</f>
        <v>XGE</v>
      </c>
      <c r="T40" s="180">
        <v>6</v>
      </c>
      <c r="W40" s="180">
        <v>6</v>
      </c>
      <c r="X40" s="180">
        <v>6</v>
      </c>
      <c r="AA40" s="198"/>
      <c r="AB40" s="250" t="str">
        <f t="array" ref="AB40">INDEX(B:B,SMALL(IF($Q$3:$Q$517&lt;&gt;"",ROW($3:$517),518),ROW(B39)))&amp;""</f>
        <v>原初蛮击</v>
      </c>
      <c r="AC40" s="394" t="str">
        <f>IFERROR(IF(AND($Q41&lt;&gt;"",IF(法术查询!$J$4="",1,INDEX($R41:$Z41,1,VLOOKUP(法术查询!$J$4,$AF$2:$AG$10,2,0)))&lt;&gt;"",IF(法术查询!$J$5="",1,$P41=VLOOKUP(法术查询!$J$5,$AH$2:$AI$11,2,0)),IF(法术查询!$J$6="",1,IF(法术查询!$J$6=$E41,1,0)),IF(法术查询!$J$7="",1,SEARCH(法术查询!$J$7,$F41)),IF(法术查询!$J$8="",1,SEARCH(法术查询!$J$8,G41)),IF(法术查询!$J$9="",1,SEARCH(法术查询!$J$9,N41)),IF(法术查询!$J$10="",1,IF(法术查询!$J$10=$AF$11,IF($M41=1,1,0),IF($M41="",1,0))),IF(法术查询!$J$11="",1,IF(法术查询!$J$11=$AF$11,IF($D41=1,1,0),IF($D41="",1,0))),IF(法术查询!$J$12="",1,SEARCH(法术查询!$J$12,$B41&amp;$C41&amp;$O41)),IF(法术查询!$J$13="",1,SEARCH(法术查询!$J$13,$B41&amp;$C41&amp;$O41)),IF(法术查询!$J$14="",1,SEARCH(法术查询!$J$14,$B41&amp;$C41&amp;$O41)),IF(法术查询!$J$16="",1,IF(法术查询!$J$16=$AF$11,IF($H41=1,1,0),IF($H41="",1,0))),IF(法术查询!$J$17="",1,IF(法术查询!$J$17=$AF$11,IF($I41=1,1,0),IF($I41="",1,0))),IF(法术查询!$J$18="",1,IF(法术查询!$J$18=$AF$11,IF($J41&lt;&gt;"",1,0),IF($J41="",1,0))),IF(法术查询!$J$19="",1,IF(法术查询!$J$19=$AF$11,IF($L41&lt;&gt;"",1,0),IF($L41="",1,0)))),$B41,""),"")</f>
        <v/>
      </c>
      <c r="AD40" s="180" t="str">
        <f t="array" ref="AD40">INDEX(AC:AC,SMALL(IF($AC$2:$AC$516&lt;&gt;"",ROW($2:$516),517),ROW(AC39)))&amp;""</f>
        <v/>
      </c>
      <c r="AE40" s="198" t="str">
        <f t="shared" si="3"/>
        <v/>
      </c>
      <c r="AF40" s="250"/>
      <c r="AH40" s="119" t="s">
        <v>6507</v>
      </c>
      <c r="AI40" s="198"/>
      <c r="AJ40" s="250">
        <v>39</v>
      </c>
      <c r="AK40" s="180" t="str">
        <f>IF(法术书!V46="","",法术书!V46)</f>
        <v/>
      </c>
      <c r="AL40" s="119" t="str">
        <f t="array" ref="AL40">IFERROR(INDEX(AK$1:AK$301,SMALL(IF(MATCH(AK40,AK$1:AK$301,0)=ROW(AK40),ROW(AK$1:AK$301),999),ROW(AK40))),"")</f>
        <v/>
      </c>
      <c r="AM40" s="120" t="str">
        <f t="array" ref="AM40">INDEX(AL:AL,SMALL(IF($AL$2:$AL$301&lt;&gt;"",ROW($2:$301),302),ROW(AL39)))&amp;""</f>
        <v/>
      </c>
      <c r="AN40" s="250" t="str">
        <f>IF(主要!Q74="","",主要!Q74)</f>
        <v/>
      </c>
      <c r="AO40" s="180" t="str">
        <f t="shared" si="4"/>
        <v/>
      </c>
      <c r="AP40" s="180" t="str">
        <f t="shared" si="0"/>
        <v/>
      </c>
      <c r="AQ40" s="180" t="e">
        <f t="shared" si="1"/>
        <v>#N/A</v>
      </c>
      <c r="AR40" s="180" t="e">
        <f t="shared" si="2"/>
        <v>#N/A</v>
      </c>
      <c r="AS40" s="180" t="str">
        <f t="array" ref="AS40">IFERROR(INDEX(AN$1:AN$46,SMALL(IF(MATCH(AN40,AN$1:AN$46,0)=ROW(AN40),ROW(AN$1:AN$46),999),ROW(AN40))),"")</f>
        <v/>
      </c>
      <c r="AT40" s="198" t="str">
        <f t="array" ref="AT40">INDEX(AS:AS,SMALL(IF($AS$2:$AS$46&lt;&gt;"",ROW($2:$46),47),ROW(AS39)))&amp;""</f>
        <v/>
      </c>
    </row>
    <row r="41" spans="1:46" ht="14.4" customHeight="1" x14ac:dyDescent="0.25">
      <c r="A41" s="250">
        <v>39</v>
      </c>
      <c r="B41" s="119" t="s">
        <v>6508</v>
      </c>
      <c r="C41" s="119" t="s">
        <v>6509</v>
      </c>
      <c r="D41" s="119"/>
      <c r="E41" s="435" t="s">
        <v>6312</v>
      </c>
      <c r="F41" s="180" t="s">
        <v>6282</v>
      </c>
      <c r="G41" s="180" t="s">
        <v>6291</v>
      </c>
      <c r="I41" s="180">
        <v>1</v>
      </c>
      <c r="N41" s="180" t="s">
        <v>6284</v>
      </c>
      <c r="O41" s="119" t="s">
        <v>6510</v>
      </c>
      <c r="P41" s="119">
        <v>0</v>
      </c>
      <c r="Q41" s="251" t="str">
        <f>IF(综合数据!$B$7=TRUE,"XGE","")</f>
        <v>XGE</v>
      </c>
      <c r="T41" s="180">
        <v>6</v>
      </c>
      <c r="AA41" s="198"/>
      <c r="AB41" s="250" t="str">
        <f t="array" ref="AB41">INDEX(B:B,SMALL(IF($Q$3:$Q$517&lt;&gt;"",ROW($3:$517),518),ROW(B40)))&amp;""</f>
        <v>操水术</v>
      </c>
      <c r="AC41" s="394" t="str">
        <f>IFERROR(IF(AND($Q42&lt;&gt;"",IF(法术查询!$J$4="",1,INDEX($R42:$Z42,1,VLOOKUP(法术查询!$J$4,$AF$2:$AG$10,2,0)))&lt;&gt;"",IF(法术查询!$J$5="",1,$P42=VLOOKUP(法术查询!$J$5,$AH$2:$AI$11,2,0)),IF(法术查询!$J$6="",1,IF(法术查询!$J$6=$E42,1,0)),IF(法术查询!$J$7="",1,SEARCH(法术查询!$J$7,$F42)),IF(法术查询!$J$8="",1,SEARCH(法术查询!$J$8,G42)),IF(法术查询!$J$9="",1,SEARCH(法术查询!$J$9,N42)),IF(法术查询!$J$10="",1,IF(法术查询!$J$10=$AF$11,IF($M42=1,1,0),IF($M42="",1,0))),IF(法术查询!$J$11="",1,IF(法术查询!$J$11=$AF$11,IF($D42=1,1,0),IF($D42="",1,0))),IF(法术查询!$J$12="",1,SEARCH(法术查询!$J$12,$B42&amp;$C42&amp;$O42)),IF(法术查询!$J$13="",1,SEARCH(法术查询!$J$13,$B42&amp;$C42&amp;$O42)),IF(法术查询!$J$14="",1,SEARCH(法术查询!$J$14,$B42&amp;$C42&amp;$O42)),IF(法术查询!$J$16="",1,IF(法术查询!$J$16=$AF$11,IF($H42=1,1,0),IF($H42="",1,0))),IF(法术查询!$J$17="",1,IF(法术查询!$J$17=$AF$11,IF($I42=1,1,0),IF($I42="",1,0))),IF(法术查询!$J$18="",1,IF(法术查询!$J$18=$AF$11,IF($J42&lt;&gt;"",1,0),IF($J42="",1,0))),IF(法术查询!$J$19="",1,IF(法术查询!$J$19=$AF$11,IF($L42&lt;&gt;"",1,0),IF($L42="",1,0)))),$B42,""),"")</f>
        <v/>
      </c>
      <c r="AD41" s="180" t="str">
        <f t="array" ref="AD41">INDEX(AC:AC,SMALL(IF($AC$2:$AC$516&lt;&gt;"",ROW($2:$516),517),ROW(AC40)))&amp;""</f>
        <v/>
      </c>
      <c r="AE41" s="198" t="str">
        <f t="shared" si="3"/>
        <v/>
      </c>
      <c r="AF41" s="250"/>
      <c r="AH41" s="119" t="s">
        <v>6511</v>
      </c>
      <c r="AI41" s="198"/>
      <c r="AJ41" s="250">
        <v>40</v>
      </c>
      <c r="AK41" s="180" t="str">
        <f>IF(法术书!V47="","",法术书!V47)</f>
        <v/>
      </c>
      <c r="AL41" s="119" t="str">
        <f t="array" ref="AL41">IFERROR(INDEX(AK$1:AK$301,SMALL(IF(MATCH(AK41,AK$1:AK$301,0)=ROW(AK41),ROW(AK$1:AK$301),999),ROW(AK41))),"")</f>
        <v/>
      </c>
      <c r="AM41" s="120" t="str">
        <f t="array" ref="AM41">INDEX(AL:AL,SMALL(IF($AL$2:$AL$301&lt;&gt;"",ROW($2:$301),302),ROW(AL40)))&amp;""</f>
        <v/>
      </c>
      <c r="AN41" s="250" t="str">
        <f>IF(主要!Q75="","",主要!Q75)</f>
        <v/>
      </c>
      <c r="AO41" s="180" t="str">
        <f t="shared" si="4"/>
        <v/>
      </c>
      <c r="AP41" s="180" t="str">
        <f t="shared" si="0"/>
        <v/>
      </c>
      <c r="AQ41" s="180" t="e">
        <f t="shared" si="1"/>
        <v>#N/A</v>
      </c>
      <c r="AR41" s="180" t="e">
        <f t="shared" si="2"/>
        <v>#N/A</v>
      </c>
      <c r="AS41" s="180" t="str">
        <f t="array" ref="AS41">IFERROR(INDEX(AN$1:AN$46,SMALL(IF(MATCH(AN41,AN$1:AN$46,0)=ROW(AN41),ROW(AN$1:AN$46),999),ROW(AN41))),"")</f>
        <v/>
      </c>
      <c r="AT41" s="198" t="str">
        <f t="array" ref="AT41">INDEX(AS:AS,SMALL(IF($AS$2:$AS$46&lt;&gt;"",ROW($2:$46),47),ROW(AS40)))&amp;""</f>
        <v/>
      </c>
    </row>
    <row r="42" spans="1:46" ht="14.4" customHeight="1" x14ac:dyDescent="0.25">
      <c r="A42" s="250">
        <v>40</v>
      </c>
      <c r="B42" s="119" t="s">
        <v>6512</v>
      </c>
      <c r="C42" s="119" t="s">
        <v>6513</v>
      </c>
      <c r="D42" s="119"/>
      <c r="E42" s="435" t="s">
        <v>6312</v>
      </c>
      <c r="F42" s="180" t="s">
        <v>6282</v>
      </c>
      <c r="G42" s="180" t="s">
        <v>6313</v>
      </c>
      <c r="I42" s="180">
        <v>1</v>
      </c>
      <c r="N42" s="180" t="s">
        <v>6477</v>
      </c>
      <c r="O42" s="119" t="s">
        <v>6514</v>
      </c>
      <c r="P42" s="119">
        <v>0</v>
      </c>
      <c r="Q42" s="251" t="str">
        <f>IF(综合数据!$B$7=TRUE,"XGE","")</f>
        <v>XGE</v>
      </c>
      <c r="T42" s="180">
        <v>6</v>
      </c>
      <c r="W42" s="180">
        <v>6</v>
      </c>
      <c r="X42" s="180">
        <v>6</v>
      </c>
      <c r="AA42" s="198" t="s">
        <v>798</v>
      </c>
      <c r="AB42" s="250" t="str">
        <f t="array" ref="AB42">INDEX(B:B,SMALL(IF($Q$3:$Q$517&lt;&gt;"",ROW($3:$517),518),ROW(B41)))&amp;""</f>
        <v>鸣雷破</v>
      </c>
      <c r="AC42" s="394" t="str">
        <f>IFERROR(IF(AND($Q43&lt;&gt;"",IF(法术查询!$J$4="",1,INDEX($R43:$Z43,1,VLOOKUP(法术查询!$J$4,$AF$2:$AG$10,2,0)))&lt;&gt;"",IF(法术查询!$J$5="",1,$P43=VLOOKUP(法术查询!$J$5,$AH$2:$AI$11,2,0)),IF(法术查询!$J$6="",1,IF(法术查询!$J$6=$E43,1,0)),IF(法术查询!$J$7="",1,SEARCH(法术查询!$J$7,$F43)),IF(法术查询!$J$8="",1,SEARCH(法术查询!$J$8,G43)),IF(法术查询!$J$9="",1,SEARCH(法术查询!$J$9,N43)),IF(法术查询!$J$10="",1,IF(法术查询!$J$10=$AF$11,IF($M43=1,1,0),IF($M43="",1,0))),IF(法术查询!$J$11="",1,IF(法术查询!$J$11=$AF$11,IF($D43=1,1,0),IF($D43="",1,0))),IF(法术查询!$J$12="",1,SEARCH(法术查询!$J$12,$B43&amp;$C43&amp;$O43)),IF(法术查询!$J$13="",1,SEARCH(法术查询!$J$13,$B43&amp;$C43&amp;$O43)),IF(法术查询!$J$14="",1,SEARCH(法术查询!$J$14,$B43&amp;$C43&amp;$O43)),IF(法术查询!$J$16="",1,IF(法术查询!$J$16=$AF$11,IF($H43=1,1,0),IF($H43="",1,0))),IF(法术查询!$J$17="",1,IF(法术查询!$J$17=$AF$11,IF($I43=1,1,0),IF($I43="",1,0))),IF(法术查询!$J$18="",1,IF(法术查询!$J$18=$AF$11,IF($J43&lt;&gt;"",1,0),IF($J43="",1,0))),IF(法术查询!$J$19="",1,IF(法术查询!$J$19=$AF$11,IF($L43&lt;&gt;"",1,0),IF($L43="",1,0)))),$B43,""),"")</f>
        <v/>
      </c>
      <c r="AD42" s="180" t="str">
        <f t="array" ref="AD42">INDEX(AC:AC,SMALL(IF($AC$2:$AC$516&lt;&gt;"",ROW($2:$516),517),ROW(AC41)))&amp;""</f>
        <v/>
      </c>
      <c r="AE42" s="198" t="str">
        <f t="shared" si="3"/>
        <v/>
      </c>
      <c r="AF42" s="250"/>
      <c r="AH42" s="119" t="s">
        <v>6515</v>
      </c>
      <c r="AI42" s="198"/>
      <c r="AJ42" s="250">
        <v>41</v>
      </c>
      <c r="AK42" s="180" t="str">
        <f>IF(法术书!V48="","",法术书!V48)</f>
        <v/>
      </c>
      <c r="AL42" s="119" t="str">
        <f t="array" ref="AL42">IFERROR(INDEX(AK$1:AK$301,SMALL(IF(MATCH(AK42,AK$1:AK$301,0)=ROW(AK42),ROW(AK$1:AK$301),999),ROW(AK42))),"")</f>
        <v/>
      </c>
      <c r="AM42" s="120" t="str">
        <f t="array" ref="AM42">INDEX(AL:AL,SMALL(IF($AL$2:$AL$301&lt;&gt;"",ROW($2:$301),302),ROW(AL41)))&amp;""</f>
        <v/>
      </c>
      <c r="AN42" s="250" t="str">
        <f>IF(主要!Q76="","",主要!Q76)</f>
        <v/>
      </c>
      <c r="AO42" s="180" t="str">
        <f t="shared" si="4"/>
        <v/>
      </c>
      <c r="AP42" s="180" t="str">
        <f t="shared" si="0"/>
        <v/>
      </c>
      <c r="AQ42" s="180" t="e">
        <f t="shared" si="1"/>
        <v>#N/A</v>
      </c>
      <c r="AR42" s="180" t="e">
        <f t="shared" si="2"/>
        <v>#N/A</v>
      </c>
      <c r="AS42" s="180" t="str">
        <f t="array" ref="AS42">IFERROR(INDEX(AN$1:AN$46,SMALL(IF(MATCH(AN42,AN$1:AN$46,0)=ROW(AN42),ROW(AN$1:AN$46),999),ROW(AN42))),"")</f>
        <v/>
      </c>
      <c r="AT42" s="198" t="str">
        <f t="array" ref="AT42">INDEX(AS:AS,SMALL(IF($AS$2:$AS$46&lt;&gt;"",ROW($2:$46),47),ROW(AS41)))&amp;""</f>
        <v/>
      </c>
    </row>
    <row r="43" spans="1:46" ht="14.4" customHeight="1" x14ac:dyDescent="0.25">
      <c r="A43" s="250">
        <v>41</v>
      </c>
      <c r="B43" s="119" t="s">
        <v>6516</v>
      </c>
      <c r="C43" s="119" t="s">
        <v>6517</v>
      </c>
      <c r="D43" s="119"/>
      <c r="E43" s="434" t="s">
        <v>6304</v>
      </c>
      <c r="F43" s="180" t="s">
        <v>6282</v>
      </c>
      <c r="G43" s="180" t="s">
        <v>6363</v>
      </c>
      <c r="I43" s="180">
        <v>1</v>
      </c>
      <c r="N43" s="180" t="s">
        <v>6284</v>
      </c>
      <c r="O43" s="119" t="s">
        <v>6518</v>
      </c>
      <c r="P43" s="119">
        <v>0</v>
      </c>
      <c r="Q43" s="251" t="str">
        <f>IF(综合数据!$B$7=TRUE,"XGE","")</f>
        <v>XGE</v>
      </c>
      <c r="R43" s="180">
        <v>6</v>
      </c>
      <c r="T43" s="180">
        <v>6</v>
      </c>
      <c r="W43" s="180">
        <v>6</v>
      </c>
      <c r="X43" s="180">
        <v>6</v>
      </c>
      <c r="Y43" s="180">
        <v>6</v>
      </c>
      <c r="Z43" s="180">
        <v>9</v>
      </c>
      <c r="AA43" s="198"/>
      <c r="AB43" s="250" t="str">
        <f t="array" ref="AB43">INDEX(B:B,SMALL(IF($Q$3:$Q$517&lt;&gt;"",ROW($3:$517),518),ROW(B42)))&amp;""</f>
        <v>亡者丧钟</v>
      </c>
      <c r="AC43" s="394" t="str">
        <f>IFERROR(IF(AND($Q44&lt;&gt;"",IF(法术查询!$J$4="",1,INDEX($R44:$Z44,1,VLOOKUP(法术查询!$J$4,$AF$2:$AG$10,2,0)))&lt;&gt;"",IF(法术查询!$J$5="",1,$P44=VLOOKUP(法术查询!$J$5,$AH$2:$AI$11,2,0)),IF(法术查询!$J$6="",1,IF(法术查询!$J$6=$E44,1,0)),IF(法术查询!$J$7="",1,SEARCH(法术查询!$J$7,$F44)),IF(法术查询!$J$8="",1,SEARCH(法术查询!$J$8,G44)),IF(法术查询!$J$9="",1,SEARCH(法术查询!$J$9,N44)),IF(法术查询!$J$10="",1,IF(法术查询!$J$10=$AF$11,IF($M44=1,1,0),IF($M44="",1,0))),IF(法术查询!$J$11="",1,IF(法术查询!$J$11=$AF$11,IF($D44=1,1,0),IF($D44="",1,0))),IF(法术查询!$J$12="",1,SEARCH(法术查询!$J$12,$B44&amp;$C44&amp;$O44)),IF(法术查询!$J$13="",1,SEARCH(法术查询!$J$13,$B44&amp;$C44&amp;$O44)),IF(法术查询!$J$14="",1,SEARCH(法术查询!$J$14,$B44&amp;$C44&amp;$O44)),IF(法术查询!$J$16="",1,IF(法术查询!$J$16=$AF$11,IF($H44=1,1,0),IF($H44="",1,0))),IF(法术查询!$J$17="",1,IF(法术查询!$J$17=$AF$11,IF($I44=1,1,0),IF($I44="",1,0))),IF(法术查询!$J$18="",1,IF(法术查询!$J$18=$AF$11,IF($J44&lt;&gt;"",1,0),IF($J44="",1,0))),IF(法术查询!$J$19="",1,IF(法术查询!$J$19=$AF$11,IF($L44&lt;&gt;"",1,0),IF($L44="",1,0)))),$B44,""),"")</f>
        <v/>
      </c>
      <c r="AD43" s="180" t="str">
        <f t="array" ref="AD43">INDEX(AC:AC,SMALL(IF($AC$2:$AC$516&lt;&gt;"",ROW($2:$516),517),ROW(AC42)))&amp;""</f>
        <v/>
      </c>
      <c r="AE43" s="198" t="str">
        <f t="shared" si="3"/>
        <v/>
      </c>
      <c r="AF43" s="250"/>
      <c r="AH43" s="119" t="s">
        <v>6519</v>
      </c>
      <c r="AI43" s="198"/>
      <c r="AJ43" s="250">
        <v>42</v>
      </c>
      <c r="AK43" s="180" t="str">
        <f>IF(法术书!V49="","",法术书!V49)</f>
        <v/>
      </c>
      <c r="AL43" s="119" t="str">
        <f t="array" ref="AL43">IFERROR(INDEX(AK$1:AK$301,SMALL(IF(MATCH(AK43,AK$1:AK$301,0)=ROW(AK43),ROW(AK$1:AK$301),999),ROW(AK43))),"")</f>
        <v/>
      </c>
      <c r="AM43" s="120" t="str">
        <f t="array" ref="AM43">INDEX(AL:AL,SMALL(IF($AL$2:$AL$301&lt;&gt;"",ROW($2:$301),302),ROW(AL42)))&amp;""</f>
        <v/>
      </c>
      <c r="AN43" s="250" t="str">
        <f>IF(主要!Q77="","",主要!Q77)</f>
        <v/>
      </c>
      <c r="AO43" s="180" t="str">
        <f t="shared" si="4"/>
        <v/>
      </c>
      <c r="AP43" s="180" t="str">
        <f t="shared" si="0"/>
        <v/>
      </c>
      <c r="AQ43" s="180" t="e">
        <f t="shared" si="1"/>
        <v>#N/A</v>
      </c>
      <c r="AR43" s="180" t="e">
        <f t="shared" si="2"/>
        <v>#N/A</v>
      </c>
      <c r="AS43" s="180" t="str">
        <f t="array" ref="AS43">IFERROR(INDEX(AN$1:AN$46,SMALL(IF(MATCH(AN43,AN$1:AN$46,0)=ROW(AN43),ROW(AN$1:AN$46),999),ROW(AN43))),"")</f>
        <v/>
      </c>
      <c r="AT43" s="198" t="str">
        <f t="array" ref="AT43">INDEX(AS:AS,SMALL(IF($AS$2:$AS$46&lt;&gt;"",ROW($2:$46),47),ROW(AS42)))&amp;""</f>
        <v/>
      </c>
    </row>
    <row r="44" spans="1:46" ht="14.4" customHeight="1" x14ac:dyDescent="0.25">
      <c r="A44" s="250">
        <v>42</v>
      </c>
      <c r="B44" s="119" t="s">
        <v>6520</v>
      </c>
      <c r="C44" s="119" t="s">
        <v>6521</v>
      </c>
      <c r="D44" s="119"/>
      <c r="E44" s="441" t="s">
        <v>6297</v>
      </c>
      <c r="F44" s="180" t="s">
        <v>6282</v>
      </c>
      <c r="G44" s="180" t="s">
        <v>6283</v>
      </c>
      <c r="H44" s="180">
        <v>1</v>
      </c>
      <c r="I44" s="180">
        <v>1</v>
      </c>
      <c r="N44" s="180" t="s">
        <v>6284</v>
      </c>
      <c r="O44" s="119" t="s">
        <v>6522</v>
      </c>
      <c r="P44" s="119">
        <v>0</v>
      </c>
      <c r="Q44" s="251" t="str">
        <f>IF(综合数据!$B$7=TRUE,"XGE","")</f>
        <v>XGE</v>
      </c>
      <c r="S44" s="180">
        <v>6</v>
      </c>
      <c r="X44" s="180">
        <v>6</v>
      </c>
      <c r="Y44" s="180">
        <v>6</v>
      </c>
      <c r="AA44" s="198"/>
      <c r="AB44" s="250" t="str">
        <f t="array" ref="AB44">INDEX(B:B,SMALL(IF($Q$3:$Q$517&lt;&gt;"",ROW($3:$517),518),ROW(B43)))&amp;""</f>
        <v>光耀祷词</v>
      </c>
      <c r="AC44" s="394" t="str">
        <f>IFERROR(IF(AND($Q45&lt;&gt;"",IF(法术查询!$J$4="",1,INDEX($R45:$Z45,1,VLOOKUP(法术查询!$J$4,$AF$2:$AG$10,2,0)))&lt;&gt;"",IF(法术查询!$J$5="",1,$P45=VLOOKUP(法术查询!$J$5,$AH$2:$AI$11,2,0)),IF(法术查询!$J$6="",1,IF(法术查询!$J$6=$E45,1,0)),IF(法术查询!$J$7="",1,SEARCH(法术查询!$J$7,$F45)),IF(法术查询!$J$8="",1,SEARCH(法术查询!$J$8,G45)),IF(法术查询!$J$9="",1,SEARCH(法术查询!$J$9,N45)),IF(法术查询!$J$10="",1,IF(法术查询!$J$10=$AF$11,IF($M45=1,1,0),IF($M45="",1,0))),IF(法术查询!$J$11="",1,IF(法术查询!$J$11=$AF$11,IF($D45=1,1,0),IF($D45="",1,0))),IF(法术查询!$J$12="",1,SEARCH(法术查询!$J$12,$B45&amp;$C45&amp;$O45)),IF(法术查询!$J$13="",1,SEARCH(法术查询!$J$13,$B45&amp;$C45&amp;$O45)),IF(法术查询!$J$14="",1,SEARCH(法术查询!$J$14,$B45&amp;$C45&amp;$O45)),IF(法术查询!$J$16="",1,IF(法术查询!$J$16=$AF$11,IF($H45=1,1,0),IF($H45="",1,0))),IF(法术查询!$J$17="",1,IF(法术查询!$J$17=$AF$11,IF($I45=1,1,0),IF($I45="",1,0))),IF(法术查询!$J$18="",1,IF(法术查询!$J$18=$AF$11,IF($J45&lt;&gt;"",1,0),IF($J45="",1,0))),IF(法术查询!$J$19="",1,IF(法术查询!$J$19=$AF$11,IF($L45&lt;&gt;"",1,0),IF($L45="",1,0)))),$B45,""),"")</f>
        <v/>
      </c>
      <c r="AD44" s="180" t="str">
        <f t="array" ref="AD44">INDEX(AC:AC,SMALL(IF($AC$2:$AC$516&lt;&gt;"",ROW($2:$516),517),ROW(AC43)))&amp;""</f>
        <v/>
      </c>
      <c r="AE44" s="198" t="str">
        <f t="shared" si="3"/>
        <v/>
      </c>
      <c r="AF44" s="250"/>
      <c r="AH44" s="119" t="s">
        <v>6523</v>
      </c>
      <c r="AI44" s="198"/>
      <c r="AJ44" s="250">
        <v>43</v>
      </c>
      <c r="AK44" s="180" t="str">
        <f>IF(法术书!V50="","",法术书!V50)</f>
        <v/>
      </c>
      <c r="AL44" s="119" t="str">
        <f t="array" ref="AL44">IFERROR(INDEX(AK$1:AK$301,SMALL(IF(MATCH(AK44,AK$1:AK$301,0)=ROW(AK44),ROW(AK$1:AK$301),999),ROW(AK44))),"")</f>
        <v/>
      </c>
      <c r="AM44" s="120" t="str">
        <f t="array" ref="AM44">INDEX(AL:AL,SMALL(IF($AL$2:$AL$301&lt;&gt;"",ROW($2:$301),302),ROW(AL43)))&amp;""</f>
        <v/>
      </c>
      <c r="AN44" s="250" t="str">
        <f>IF(主要!Q78="","",主要!Q78)</f>
        <v/>
      </c>
      <c r="AO44" s="180" t="str">
        <f t="shared" si="4"/>
        <v/>
      </c>
      <c r="AP44" s="180" t="str">
        <f t="shared" si="0"/>
        <v/>
      </c>
      <c r="AQ44" s="180" t="e">
        <f t="shared" si="1"/>
        <v>#N/A</v>
      </c>
      <c r="AR44" s="180" t="e">
        <f t="shared" si="2"/>
        <v>#N/A</v>
      </c>
      <c r="AS44" s="180" t="str">
        <f t="array" ref="AS44">IFERROR(INDEX(AN$1:AN$46,SMALL(IF(MATCH(AN44,AN$1:AN$46,0)=ROW(AN44),ROW(AN$1:AN$46),999),ROW(AN44))),"")</f>
        <v/>
      </c>
      <c r="AT44" s="198" t="str">
        <f t="array" ref="AT44">INDEX(AS:AS,SMALL(IF($AS$2:$AS$46&lt;&gt;"",ROW($2:$46),47),ROW(AS43)))&amp;""</f>
        <v/>
      </c>
    </row>
    <row r="45" spans="1:46" ht="14.4" customHeight="1" x14ac:dyDescent="0.25">
      <c r="A45" s="250">
        <v>43</v>
      </c>
      <c r="B45" s="119" t="s">
        <v>6524</v>
      </c>
      <c r="C45" s="119" t="s">
        <v>6525</v>
      </c>
      <c r="D45" s="119"/>
      <c r="E45" s="434" t="s">
        <v>6304</v>
      </c>
      <c r="F45" s="180" t="s">
        <v>6282</v>
      </c>
      <c r="G45" s="180" t="s">
        <v>6363</v>
      </c>
      <c r="H45" s="180">
        <v>1</v>
      </c>
      <c r="J45" s="180">
        <v>1</v>
      </c>
      <c r="K45" s="119" t="s">
        <v>6526</v>
      </c>
      <c r="N45" s="180" t="s">
        <v>6284</v>
      </c>
      <c r="O45" s="119" t="s">
        <v>6527</v>
      </c>
      <c r="P45" s="119">
        <v>0</v>
      </c>
      <c r="Q45" s="251" t="str">
        <f>IF(综合数据!$B$7=TRUE,"XGE","")</f>
        <v>XGE</v>
      </c>
      <c r="S45" s="180">
        <v>6</v>
      </c>
      <c r="T45" s="180">
        <v>6</v>
      </c>
      <c r="AA45" s="198"/>
      <c r="AB45" s="250" t="str">
        <f t="array" ref="AB45">INDEX(B:B,SMALL(IF($Q$3:$Q$517&lt;&gt;"",ROW($3:$517),518),ROW(B44)))&amp;""</f>
        <v>思想编码</v>
      </c>
      <c r="AC45" s="394" t="str">
        <f>IFERROR(IF(AND($Q46&lt;&gt;"",IF(法术查询!$J$4="",1,INDEX($R46:$Z46,1,VLOOKUP(法术查询!$J$4,$AF$2:$AG$10,2,0)))&lt;&gt;"",IF(法术查询!$J$5="",1,$P46=VLOOKUP(法术查询!$J$5,$AH$2:$AI$11,2,0)),IF(法术查询!$J$6="",1,IF(法术查询!$J$6=$E46,1,0)),IF(法术查询!$J$7="",1,SEARCH(法术查询!$J$7,$F46)),IF(法术查询!$J$8="",1,SEARCH(法术查询!$J$8,G46)),IF(法术查询!$J$9="",1,SEARCH(法术查询!$J$9,N46)),IF(法术查询!$J$10="",1,IF(法术查询!$J$10=$AF$11,IF($M46=1,1,0),IF($M46="",1,0))),IF(法术查询!$J$11="",1,IF(法术查询!$J$11=$AF$11,IF($D46=1,1,0),IF($D46="",1,0))),IF(法术查询!$J$12="",1,SEARCH(法术查询!$J$12,$B46&amp;$C46&amp;$O46)),IF(法术查询!$J$13="",1,SEARCH(法术查询!$J$13,$B46&amp;$C46&amp;$O46)),IF(法术查询!$J$14="",1,SEARCH(法术查询!$J$14,$B46&amp;$C46&amp;$O46)),IF(法术查询!$J$16="",1,IF(法术查询!$J$16=$AF$11,IF($H46=1,1,0),IF($H46="",1,0))),IF(法术查询!$J$17="",1,IF(法术查询!$J$17=$AF$11,IF($I46=1,1,0),IF($I46="",1,0))),IF(法术查询!$J$18="",1,IF(法术查询!$J$18=$AF$11,IF($J46&lt;&gt;"",1,0),IF($J46="",1,0))),IF(法术查询!$J$19="",1,IF(法术查询!$J$19=$AF$11,IF($L46&lt;&gt;"",1,0),IF($L46="",1,0)))),$B46,""),"")</f>
        <v/>
      </c>
      <c r="AD45" s="180" t="str">
        <f t="array" ref="AD45">INDEX(AC:AC,SMALL(IF($AC$2:$AC$516&lt;&gt;"",ROW($2:$516),517),ROW(AC44)))&amp;""</f>
        <v/>
      </c>
      <c r="AE45" s="198" t="str">
        <f t="shared" si="3"/>
        <v/>
      </c>
      <c r="AF45" s="250"/>
      <c r="AH45" s="119" t="s">
        <v>6528</v>
      </c>
      <c r="AI45" s="198"/>
      <c r="AJ45" s="250">
        <v>44</v>
      </c>
      <c r="AK45" s="180" t="str">
        <f>IF(法术书!V51="","",法术书!V51)</f>
        <v/>
      </c>
      <c r="AL45" s="119" t="str">
        <f t="array" ref="AL45">IFERROR(INDEX(AK$1:AK$301,SMALL(IF(MATCH(AK45,AK$1:AK$301,0)=ROW(AK45),ROW(AK$1:AK$301),999),ROW(AK45))),"")</f>
        <v/>
      </c>
      <c r="AM45" s="120" t="str">
        <f t="array" ref="AM45">INDEX(AL:AL,SMALL(IF($AL$2:$AL$301&lt;&gt;"",ROW($2:$301),302),ROW(AL44)))&amp;""</f>
        <v/>
      </c>
      <c r="AN45" s="250" t="str">
        <f>IF(主要!Q79="","",主要!Q79)</f>
        <v/>
      </c>
      <c r="AO45" s="180" t="str">
        <f t="shared" si="4"/>
        <v/>
      </c>
      <c r="AP45" s="180" t="str">
        <f t="shared" si="0"/>
        <v/>
      </c>
      <c r="AQ45" s="180" t="e">
        <f t="shared" si="1"/>
        <v>#N/A</v>
      </c>
      <c r="AR45" s="180" t="e">
        <f t="shared" si="2"/>
        <v>#N/A</v>
      </c>
      <c r="AS45" s="180" t="str">
        <f t="array" ref="AS45">IFERROR(INDEX(AN$1:AN$46,SMALL(IF(MATCH(AN45,AN$1:AN$46,0)=ROW(AN45),ROW(AN$1:AN$46),999),ROW(AN45))),"")</f>
        <v/>
      </c>
      <c r="AT45" s="198" t="str">
        <f t="array" ref="AT45">INDEX(AS:AS,SMALL(IF($AS$2:$AS$46&lt;&gt;"",ROW($2:$46),47),ROW(AS44)))&amp;""</f>
        <v/>
      </c>
    </row>
    <row r="46" spans="1:46" ht="14.4" customHeight="1" x14ac:dyDescent="0.25">
      <c r="A46" s="250">
        <v>44</v>
      </c>
      <c r="B46" s="119" t="s">
        <v>6529</v>
      </c>
      <c r="C46" s="119" t="s">
        <v>6530</v>
      </c>
      <c r="D46" s="119"/>
      <c r="E46" s="379" t="s">
        <v>6328</v>
      </c>
      <c r="F46" s="180" t="s">
        <v>6282</v>
      </c>
      <c r="G46" s="180" t="s">
        <v>6291</v>
      </c>
      <c r="I46" s="180">
        <v>1</v>
      </c>
      <c r="N46" s="180" t="s">
        <v>6485</v>
      </c>
      <c r="O46" s="119" t="s">
        <v>6531</v>
      </c>
      <c r="P46" s="119">
        <v>0</v>
      </c>
      <c r="Q46" s="442" t="str">
        <f>IF(综合数据!B9=TRUE,"GTR","")</f>
        <v>GTR</v>
      </c>
      <c r="AA46" s="120" t="s">
        <v>6532</v>
      </c>
      <c r="AB46" s="250" t="str">
        <f t="array" ref="AB46">INDEX(B:B,SMALL(IF($Q$3:$Q$517&lt;&gt;"",ROW($3:$517),518),ROW(B45)))&amp;""</f>
        <v>削弱芒刺</v>
      </c>
      <c r="AC46" s="394" t="str">
        <f>IFERROR(IF(AND($Q47&lt;&gt;"",IF(法术查询!$J$4="",1,INDEX($R47:$Z47,1,VLOOKUP(法术查询!$J$4,$AF$2:$AG$10,2,0)))&lt;&gt;"",IF(法术查询!$J$5="",1,$P47=VLOOKUP(法术查询!$J$5,$AH$2:$AI$11,2,0)),IF(法术查询!$J$6="",1,IF(法术查询!$J$6=$E47,1,0)),IF(法术查询!$J$7="",1,SEARCH(法术查询!$J$7,$F47)),IF(法术查询!$J$8="",1,SEARCH(法术查询!$J$8,G47)),IF(法术查询!$J$9="",1,SEARCH(法术查询!$J$9,N47)),IF(法术查询!$J$10="",1,IF(法术查询!$J$10=$AF$11,IF($M47=1,1,0),IF($M47="",1,0))),IF(法术查询!$J$11="",1,IF(法术查询!$J$11=$AF$11,IF($D47=1,1,0),IF($D47="",1,0))),IF(法术查询!$J$12="",1,SEARCH(法术查询!$J$12,$B47&amp;$C47&amp;$O47)),IF(法术查询!$J$13="",1,SEARCH(法术查询!$J$13,$B47&amp;$C47&amp;$O47)),IF(法术查询!$J$14="",1,SEARCH(法术查询!$J$14,$B47&amp;$C47&amp;$O47)),IF(法术查询!$J$16="",1,IF(法术查询!$J$16=$AF$11,IF($H47=1,1,0),IF($H47="",1,0))),IF(法术查询!$J$17="",1,IF(法术查询!$J$17=$AF$11,IF($I47=1,1,0),IF($I47="",1,0))),IF(法术查询!$J$18="",1,IF(法术查询!$J$18=$AF$11,IF($J47&lt;&gt;"",1,0),IF($J47="",1,0))),IF(法术查询!$J$19="",1,IF(法术查询!$J$19=$AF$11,IF($L47&lt;&gt;"",1,0),IF($L47="",1,0)))),$B47,""),"")</f>
        <v/>
      </c>
      <c r="AD46" s="180" t="str">
        <f t="array" ref="AD46">INDEX(AC:AC,SMALL(IF($AC$2:$AC$516&lt;&gt;"",ROW($2:$516),517),ROW(AC45)))&amp;""</f>
        <v/>
      </c>
      <c r="AE46" s="198" t="str">
        <f t="shared" si="3"/>
        <v/>
      </c>
      <c r="AF46" s="339"/>
      <c r="AG46" s="235"/>
      <c r="AH46" s="129" t="s">
        <v>6533</v>
      </c>
      <c r="AI46" s="280"/>
      <c r="AJ46" s="250">
        <v>45</v>
      </c>
      <c r="AK46" s="180" t="str">
        <f>IF(法术书!V52="","",法术书!V52)</f>
        <v/>
      </c>
      <c r="AL46" s="119" t="str">
        <f t="array" ref="AL46">IFERROR(INDEX(AK$1:AK$301,SMALL(IF(MATCH(AK46,AK$1:AK$301,0)=ROW(AK46),ROW(AK$1:AK$301),999),ROW(AK46))),"")</f>
        <v/>
      </c>
      <c r="AM46" s="120" t="str">
        <f t="array" ref="AM46">INDEX(AL:AL,SMALL(IF($AL$2:$AL$301&lt;&gt;"",ROW($2:$301),302),ROW(AL45)))&amp;""</f>
        <v/>
      </c>
      <c r="AN46" s="250" t="str">
        <f>IF(主要!Q80="","",主要!Q80)</f>
        <v/>
      </c>
      <c r="AO46" s="180" t="str">
        <f t="shared" si="4"/>
        <v/>
      </c>
      <c r="AP46" s="180" t="str">
        <f t="shared" si="0"/>
        <v/>
      </c>
      <c r="AQ46" s="180" t="e">
        <f t="shared" si="1"/>
        <v>#N/A</v>
      </c>
      <c r="AR46" s="180" t="e">
        <f t="shared" si="2"/>
        <v>#N/A</v>
      </c>
      <c r="AS46" s="180" t="str">
        <f t="array" ref="AS46">IFERROR(INDEX(AN$1:AN$46,SMALL(IF(MATCH(AN46,AN$1:AN$46,0)=ROW(AN46),ROW(AN$1:AN$46),999),ROW(AN46))),"")</f>
        <v/>
      </c>
      <c r="AT46" s="198" t="str">
        <f t="array" ref="AT46">INDEX(AS:AS,SMALL(IF($AS$2:$AS$46&lt;&gt;"",ROW($2:$46),47),ROW(AS45)))&amp;""</f>
        <v/>
      </c>
    </row>
    <row r="47" spans="1:46" ht="14.4" customHeight="1" x14ac:dyDescent="0.25">
      <c r="A47" s="250">
        <v>45</v>
      </c>
      <c r="B47" s="119" t="s">
        <v>6534</v>
      </c>
      <c r="C47" s="119" t="s">
        <v>6535</v>
      </c>
      <c r="D47" s="119"/>
      <c r="E47" s="441" t="s">
        <v>6297</v>
      </c>
      <c r="F47" s="180" t="s">
        <v>6282</v>
      </c>
      <c r="G47" s="180" t="s">
        <v>6313</v>
      </c>
      <c r="H47" s="180">
        <v>1</v>
      </c>
      <c r="I47" s="180">
        <v>1</v>
      </c>
      <c r="N47" s="180" t="s">
        <v>6284</v>
      </c>
      <c r="O47" s="119" t="s">
        <v>6536</v>
      </c>
      <c r="P47" s="119">
        <v>0</v>
      </c>
      <c r="Q47" s="257" t="str">
        <f>IF(综合数据!$B$11=TRUE,"EGtW","")</f>
        <v>EGtW</v>
      </c>
      <c r="AA47" s="120" t="s">
        <v>6537</v>
      </c>
      <c r="AB47" s="250" t="str">
        <f t="array" ref="AB47">INDEX(B:B,SMALL(IF($Q$3:$Q$517&lt;&gt;"",ROW($3:$517),518),ROW(B46)))&amp;""</f>
        <v>心灵之楔</v>
      </c>
      <c r="AC47" s="394" t="str">
        <f>IFERROR(IF(AND($Q48&lt;&gt;"",IF(法术查询!$J$4="",1,INDEX($R48:$Z48,1,VLOOKUP(法术查询!$J$4,$AF$2:$AG$10,2,0)))&lt;&gt;"",IF(法术查询!$J$5="",1,$P48=VLOOKUP(法术查询!$J$5,$AH$2:$AI$11,2,0)),IF(法术查询!$J$6="",1,IF(法术查询!$J$6=$E48,1,0)),IF(法术查询!$J$7="",1,SEARCH(法术查询!$J$7,$F48)),IF(法术查询!$J$8="",1,SEARCH(法术查询!$J$8,G48)),IF(法术查询!$J$9="",1,SEARCH(法术查询!$J$9,N48)),IF(法术查询!$J$10="",1,IF(法术查询!$J$10=$AF$11,IF($M48=1,1,0),IF($M48="",1,0))),IF(法术查询!$J$11="",1,IF(法术查询!$J$11=$AF$11,IF($D48=1,1,0),IF($D48="",1,0))),IF(法术查询!$J$12="",1,SEARCH(法术查询!$J$12,$B48&amp;$C48&amp;$O48)),IF(法术查询!$J$13="",1,SEARCH(法术查询!$J$13,$B48&amp;$C48&amp;$O48)),IF(法术查询!$J$14="",1,SEARCH(法术查询!$J$14,$B48&amp;$C48&amp;$O48)),IF(法术查询!$J$16="",1,IF(法术查询!$J$16=$AF$11,IF($H48=1,1,0),IF($H48="",1,0))),IF(法术查询!$J$17="",1,IF(法术查询!$J$17=$AF$11,IF($I48=1,1,0),IF($I48="",1,0))),IF(法术查询!$J$18="",1,IF(法术查询!$J$18=$AF$11,IF($J48&lt;&gt;"",1,0),IF($J48="",1,0))),IF(法术查询!$J$19="",1,IF(法术查询!$J$19=$AF$11,IF($L48&lt;&gt;"",1,0),IF($L48="",1,0)))),$B48,""),"")</f>
        <v/>
      </c>
      <c r="AD47" s="180" t="str">
        <f t="array" ref="AD47">INDEX(AC:AC,SMALL(IF($AC$2:$AC$516&lt;&gt;"",ROW($2:$516),517),ROW(AC46)))&amp;""</f>
        <v/>
      </c>
      <c r="AE47" s="198" t="str">
        <f t="shared" si="3"/>
        <v/>
      </c>
      <c r="AF47" s="1047" t="s">
        <v>6270</v>
      </c>
      <c r="AG47" s="1048"/>
      <c r="AH47" s="1047" t="s">
        <v>165</v>
      </c>
      <c r="AI47" s="1048"/>
      <c r="AJ47" s="250">
        <v>46</v>
      </c>
      <c r="AK47" s="180" t="str">
        <f>IF(法术书!V53="","",法术书!V53)</f>
        <v/>
      </c>
      <c r="AL47" s="119" t="str">
        <f t="array" ref="AL47">IFERROR(INDEX(AK$1:AK$301,SMALL(IF(MATCH(AK47,AK$1:AK$301,0)=ROW(AK47),ROW(AK$1:AK$301),999),ROW(AK47))),"")</f>
        <v/>
      </c>
      <c r="AM47" s="120" t="str">
        <f t="array" ref="AM47">INDEX(AL:AL,SMALL(IF($AL$2:$AL$301&lt;&gt;"",ROW($2:$301),302),ROW(AL46)))&amp;""</f>
        <v/>
      </c>
      <c r="AN47" s="128" t="s">
        <v>6538</v>
      </c>
      <c r="AO47" s="235">
        <f>COUNTIF(AO2:AO46,"&gt;1")</f>
        <v>0</v>
      </c>
      <c r="AP47" s="129" t="s">
        <v>213</v>
      </c>
      <c r="AQ47" s="235">
        <f>COUNTIF(AQ2:AQ46,"=1")</f>
        <v>0</v>
      </c>
      <c r="AR47" s="235"/>
      <c r="AS47" s="235"/>
      <c r="AT47" s="280"/>
    </row>
    <row r="48" spans="1:46" ht="14.4" customHeight="1" x14ac:dyDescent="0.25">
      <c r="A48" s="250">
        <v>46</v>
      </c>
      <c r="B48" s="119" t="s">
        <v>6539</v>
      </c>
      <c r="C48" s="119" t="s">
        <v>6540</v>
      </c>
      <c r="D48" s="119"/>
      <c r="E48" s="379" t="s">
        <v>6328</v>
      </c>
      <c r="F48" s="180" t="s">
        <v>6282</v>
      </c>
      <c r="G48" s="180" t="s">
        <v>6283</v>
      </c>
      <c r="H48" s="180">
        <v>1</v>
      </c>
      <c r="N48" s="180" t="s">
        <v>6292</v>
      </c>
      <c r="O48" s="119" t="s">
        <v>6541</v>
      </c>
      <c r="P48" s="119">
        <v>0</v>
      </c>
      <c r="Q48" s="443" t="str">
        <f>IF(综合数据!$B$14=TRUE,"TCE","")</f>
        <v>TCE</v>
      </c>
      <c r="W48" s="180">
        <v>13</v>
      </c>
      <c r="X48" s="180">
        <v>13</v>
      </c>
      <c r="Y48" s="180">
        <v>13</v>
      </c>
      <c r="AA48" s="120" t="s">
        <v>3409</v>
      </c>
      <c r="AB48" s="250" t="str">
        <f t="array" ref="AB48">INDEX(B:B,SMALL(IF($Q$3:$Q$517&lt;&gt;"",ROW($3:$517),518),ROW(B47)))&amp;""</f>
        <v>警报术</v>
      </c>
      <c r="AC48" s="394" t="str">
        <f>IFERROR(IF(AND($Q49&lt;&gt;"",IF(法术查询!$J$4="",1,INDEX($R49:$Z49,1,VLOOKUP(法术查询!$J$4,$AF$2:$AG$10,2,0)))&lt;&gt;"",IF(法术查询!$J$5="",1,$P49=VLOOKUP(法术查询!$J$5,$AH$2:$AI$11,2,0)),IF(法术查询!$J$6="",1,IF(法术查询!$J$6=$E49,1,0)),IF(法术查询!$J$7="",1,SEARCH(法术查询!$J$7,$F49)),IF(法术查询!$J$8="",1,SEARCH(法术查询!$J$8,G49)),IF(法术查询!$J$9="",1,SEARCH(法术查询!$J$9,N49)),IF(法术查询!$J$10="",1,IF(法术查询!$J$10=$AF$11,IF($M49=1,1,0),IF($M49="",1,0))),IF(法术查询!$J$11="",1,IF(法术查询!$J$11=$AF$11,IF($D49=1,1,0),IF($D49="",1,0))),IF(法术查询!$J$12="",1,SEARCH(法术查询!$J$12,$B49&amp;$C49&amp;$O49)),IF(法术查询!$J$13="",1,SEARCH(法术查询!$J$13,$B49&amp;$C49&amp;$O49)),IF(法术查询!$J$14="",1,SEARCH(法术查询!$J$14,$B49&amp;$C49&amp;$O49)),IF(法术查询!$J$16="",1,IF(法术查询!$J$16=$AF$11,IF($H49=1,1,0),IF($H49="",1,0))),IF(法术查询!$J$17="",1,IF(法术查询!$J$17=$AF$11,IF($I49=1,1,0),IF($I49="",1,0))),IF(法术查询!$J$18="",1,IF(法术查询!$J$18=$AF$11,IF($J49&lt;&gt;"",1,0),IF($J49="",1,0))),IF(法术查询!$J$19="",1,IF(法术查询!$J$19=$AF$11,IF($L49&lt;&gt;"",1,0),IF($L49="",1,0)))),$B49,""),"")</f>
        <v/>
      </c>
      <c r="AD48" s="180" t="str">
        <f t="array" ref="AD48">INDEX(AC:AC,SMALL(IF($AC$2:$AC$516&lt;&gt;"",ROW($2:$516),517),ROW(AC47)))&amp;""</f>
        <v/>
      </c>
      <c r="AE48" s="198" t="str">
        <f t="shared" si="3"/>
        <v/>
      </c>
      <c r="AF48" s="118" t="str">
        <f>IF(OR(法术查询!J4=U2,法术查询!J4=V2),"","戏法")</f>
        <v>戏法</v>
      </c>
      <c r="AG48" s="198" t="str">
        <f t="array" ref="AG48">INDEX(AF:AF,SMALL(IF($AF$48:$AF$57&lt;&gt;"",ROW($48:$57),58),ROW(AG1)))&amp;""</f>
        <v>戏法</v>
      </c>
      <c r="AH48" s="118" t="s">
        <v>1471</v>
      </c>
      <c r="AI48" s="198" t="str">
        <f t="array" ref="AI48">INDEX(AH:AH,SMALL(IF($AH$48:$AH$56&lt;&gt;"",ROW($48:$56),57),ROW(AI1)))&amp;""</f>
        <v>吟游诗人</v>
      </c>
      <c r="AJ48" s="250">
        <v>47</v>
      </c>
      <c r="AK48" s="180" t="str">
        <f>IF(法术书!V54="","",法术书!V54)</f>
        <v/>
      </c>
      <c r="AL48" s="119" t="str">
        <f t="array" ref="AL48">IFERROR(INDEX(AK$1:AK$301,SMALL(IF(MATCH(AK48,AK$1:AK$301,0)=ROW(AK48),ROW(AK$1:AK$301),999),ROW(AK48))),"")</f>
        <v/>
      </c>
      <c r="AM48" s="120" t="str">
        <f t="array" ref="AM48">INDEX(AL:AL,SMALL(IF($AL$2:$AL$301&lt;&gt;"",ROW($2:$301),302),ROW(AL47)))&amp;""</f>
        <v/>
      </c>
    </row>
    <row r="49" spans="1:39" ht="14.4" customHeight="1" x14ac:dyDescent="0.25">
      <c r="A49" s="250">
        <v>47</v>
      </c>
      <c r="B49" s="119" t="s">
        <v>6542</v>
      </c>
      <c r="C49" s="119" t="s">
        <v>6543</v>
      </c>
      <c r="D49" s="180">
        <v>1</v>
      </c>
      <c r="E49" s="440" t="s">
        <v>6290</v>
      </c>
      <c r="F49" s="180" t="s">
        <v>6349</v>
      </c>
      <c r="G49" s="180" t="s">
        <v>6313</v>
      </c>
      <c r="H49" s="180">
        <v>1</v>
      </c>
      <c r="I49" s="180">
        <v>1</v>
      </c>
      <c r="J49" s="180">
        <v>1</v>
      </c>
      <c r="K49" s="119" t="s">
        <v>6544</v>
      </c>
      <c r="L49" s="119"/>
      <c r="N49" s="180" t="s">
        <v>6388</v>
      </c>
      <c r="O49" s="119" t="s">
        <v>6545</v>
      </c>
      <c r="P49" s="119">
        <v>1</v>
      </c>
      <c r="Q49" s="119" t="s">
        <v>242</v>
      </c>
      <c r="V49" s="180">
        <v>1</v>
      </c>
      <c r="X49" s="180">
        <v>1</v>
      </c>
      <c r="Z49" s="180">
        <v>9</v>
      </c>
      <c r="AA49" s="120" t="s">
        <v>6546</v>
      </c>
      <c r="AB49" s="250" t="str">
        <f t="array" ref="AB49">INDEX(B:B,SMALL(IF($Q$3:$Q$517&lt;&gt;"",ROW($3:$517),518),ROW(B48)))&amp;""</f>
        <v>化兽为友</v>
      </c>
      <c r="AC49" s="394" t="str">
        <f>IFERROR(IF(AND($Q50&lt;&gt;"",IF(法术查询!$J$4="",1,INDEX($R50:$Z50,1,VLOOKUP(法术查询!$J$4,$AF$2:$AG$10,2,0)))&lt;&gt;"",IF(法术查询!$J$5="",1,$P50=VLOOKUP(法术查询!$J$5,$AH$2:$AI$11,2,0)),IF(法术查询!$J$6="",1,IF(法术查询!$J$6=$E50,1,0)),IF(法术查询!$J$7="",1,SEARCH(法术查询!$J$7,$F50)),IF(法术查询!$J$8="",1,SEARCH(法术查询!$J$8,G50)),IF(法术查询!$J$9="",1,SEARCH(法术查询!$J$9,N50)),IF(法术查询!$J$10="",1,IF(法术查询!$J$10=$AF$11,IF($M50=1,1,0),IF($M50="",1,0))),IF(法术查询!$J$11="",1,IF(法术查询!$J$11=$AF$11,IF($D50=1,1,0),IF($D50="",1,0))),IF(法术查询!$J$12="",1,SEARCH(法术查询!$J$12,$B50&amp;$C50&amp;$O50)),IF(法术查询!$J$13="",1,SEARCH(法术查询!$J$13,$B50&amp;$C50&amp;$O50)),IF(法术查询!$J$14="",1,SEARCH(法术查询!$J$14,$B50&amp;$C50&amp;$O50)),IF(法术查询!$J$16="",1,IF(法术查询!$J$16=$AF$11,IF($H50=1,1,0),IF($H50="",1,0))),IF(法术查询!$J$17="",1,IF(法术查询!$J$17=$AF$11,IF($I50=1,1,0),IF($I50="",1,0))),IF(法术查询!$J$18="",1,IF(法术查询!$J$18=$AF$11,IF($J50&lt;&gt;"",1,0),IF($J50="",1,0))),IF(法术查询!$J$19="",1,IF(法术查询!$J$19=$AF$11,IF($L50&lt;&gt;"",1,0),IF($L50="",1,0)))),$B50,""),"")</f>
        <v/>
      </c>
      <c r="AD49" s="180" t="str">
        <f t="array" ref="AD49">INDEX(AC:AC,SMALL(IF($AC$2:$AC$516&lt;&gt;"",ROW($2:$516),517),ROW(AC48)))&amp;""</f>
        <v/>
      </c>
      <c r="AE49" s="198" t="str">
        <f t="shared" si="3"/>
        <v/>
      </c>
      <c r="AF49" s="118" t="s">
        <v>6287</v>
      </c>
      <c r="AG49" s="198" t="str">
        <f t="array" ref="AG49">INDEX(AF:AF,SMALL(IF($AF$48:$AF$57&lt;&gt;"",ROW($48:$57),58),ROW(AG2)))&amp;""</f>
        <v>一环</v>
      </c>
      <c r="AH49" s="118" t="s">
        <v>1501</v>
      </c>
      <c r="AI49" s="198" t="str">
        <f t="array" ref="AI49">INDEX(AH:AH,SMALL(IF($AH$48:$AH$56&lt;&gt;"",ROW($48:$56),57),ROW(AI2)))&amp;""</f>
        <v>牧师</v>
      </c>
      <c r="AJ49" s="250">
        <v>48</v>
      </c>
      <c r="AK49" s="180" t="str">
        <f>IF(法术书!V55="","",法术书!V55)</f>
        <v/>
      </c>
      <c r="AL49" s="119" t="str">
        <f t="array" ref="AL49">IFERROR(INDEX(AK$1:AK$301,SMALL(IF(MATCH(AK49,AK$1:AK$301,0)=ROW(AK49),ROW(AK$1:AK$301),999),ROW(AK49))),"")</f>
        <v/>
      </c>
      <c r="AM49" s="120" t="str">
        <f t="array" ref="AM49">INDEX(AL:AL,SMALL(IF($AL$2:$AL$301&lt;&gt;"",ROW($2:$301),302),ROW(AL48)))&amp;""</f>
        <v/>
      </c>
    </row>
    <row r="50" spans="1:39" ht="14.4" customHeight="1" x14ac:dyDescent="0.25">
      <c r="A50" s="250">
        <v>48</v>
      </c>
      <c r="B50" s="119" t="s">
        <v>6547</v>
      </c>
      <c r="C50" s="119" t="s">
        <v>6548</v>
      </c>
      <c r="E50" s="379" t="s">
        <v>6328</v>
      </c>
      <c r="F50" s="180" t="s">
        <v>6282</v>
      </c>
      <c r="G50" s="180" t="s">
        <v>6313</v>
      </c>
      <c r="H50" s="180">
        <v>1</v>
      </c>
      <c r="I50" s="180">
        <v>1</v>
      </c>
      <c r="J50" s="180">
        <v>1</v>
      </c>
      <c r="K50" s="119" t="s">
        <v>6549</v>
      </c>
      <c r="L50" s="119"/>
      <c r="N50" s="180" t="s">
        <v>6399</v>
      </c>
      <c r="O50" s="119" t="s">
        <v>6550</v>
      </c>
      <c r="P50" s="119">
        <v>1</v>
      </c>
      <c r="Q50" s="119" t="s">
        <v>242</v>
      </c>
      <c r="R50" s="180">
        <v>1</v>
      </c>
      <c r="T50" s="180">
        <v>1</v>
      </c>
      <c r="V50" s="180">
        <v>1</v>
      </c>
      <c r="AA50" s="120" t="s">
        <v>6551</v>
      </c>
      <c r="AB50" s="250" t="str">
        <f t="array" ref="AB50">INDEX(B:B,SMALL(IF($Q$3:$Q$517&lt;&gt;"",ROW($3:$517),518),ROW(B49)))&amp;""</f>
        <v>艾嘉西斯之铠</v>
      </c>
      <c r="AC50" s="394" t="str">
        <f>IFERROR(IF(AND($Q51&lt;&gt;"",IF(法术查询!$J$4="",1,INDEX($R51:$Z51,1,VLOOKUP(法术查询!$J$4,$AF$2:$AG$10,2,0)))&lt;&gt;"",IF(法术查询!$J$5="",1,$P51=VLOOKUP(法术查询!$J$5,$AH$2:$AI$11,2,0)),IF(法术查询!$J$6="",1,IF(法术查询!$J$6=$E51,1,0)),IF(法术查询!$J$7="",1,SEARCH(法术查询!$J$7,$F51)),IF(法术查询!$J$8="",1,SEARCH(法术查询!$J$8,G51)),IF(法术查询!$J$9="",1,SEARCH(法术查询!$J$9,N51)),IF(法术查询!$J$10="",1,IF(法术查询!$J$10=$AF$11,IF($M51=1,1,0),IF($M51="",1,0))),IF(法术查询!$J$11="",1,IF(法术查询!$J$11=$AF$11,IF($D51=1,1,0),IF($D51="",1,0))),IF(法术查询!$J$12="",1,SEARCH(法术查询!$J$12,$B51&amp;$C51&amp;$O51)),IF(法术查询!$J$13="",1,SEARCH(法术查询!$J$13,$B51&amp;$C51&amp;$O51)),IF(法术查询!$J$14="",1,SEARCH(法术查询!$J$14,$B51&amp;$C51&amp;$O51)),IF(法术查询!$J$16="",1,IF(法术查询!$J$16=$AF$11,IF($H51=1,1,0),IF($H51="",1,0))),IF(法术查询!$J$17="",1,IF(法术查询!$J$17=$AF$11,IF($I51=1,1,0),IF($I51="",1,0))),IF(法术查询!$J$18="",1,IF(法术查询!$J$18=$AF$11,IF($J51&lt;&gt;"",1,0),IF($J51="",1,0))),IF(法术查询!$J$19="",1,IF(法术查询!$J$19=$AF$11,IF($L51&lt;&gt;"",1,0),IF($L51="",1,0)))),$B51,""),"")</f>
        <v/>
      </c>
      <c r="AD50" s="180" t="str">
        <f t="array" ref="AD50">INDEX(AC:AC,SMALL(IF($AC$2:$AC$516&lt;&gt;"",ROW($2:$516),517),ROW(AC49)))&amp;""</f>
        <v/>
      </c>
      <c r="AE50" s="198" t="str">
        <f t="shared" si="3"/>
        <v/>
      </c>
      <c r="AF50" s="118" t="s">
        <v>6294</v>
      </c>
      <c r="AG50" s="198" t="str">
        <f t="array" ref="AG50">INDEX(AF:AF,SMALL(IF($AF$48:$AF$57&lt;&gt;"",ROW($48:$57),58),ROW(AG3)))&amp;""</f>
        <v>二环</v>
      </c>
      <c r="AH50" s="118" t="s">
        <v>1531</v>
      </c>
      <c r="AI50" s="198" t="str">
        <f t="array" ref="AI50">INDEX(AH:AH,SMALL(IF($AH$48:$AH$56&lt;&gt;"",ROW($48:$56),57),ROW(AI3)))&amp;""</f>
        <v>德鲁伊</v>
      </c>
      <c r="AJ50" s="250">
        <v>49</v>
      </c>
      <c r="AK50" s="180" t="str">
        <f>IF(法术书!V56="","",法术书!V56)</f>
        <v/>
      </c>
      <c r="AL50" s="119" t="str">
        <f t="array" ref="AL50">IFERROR(INDEX(AK$1:AK$301,SMALL(IF(MATCH(AK50,AK$1:AK$301,0)=ROW(AK50),ROW(AK$1:AK$301),999),ROW(AK50))),"")</f>
        <v/>
      </c>
      <c r="AM50" s="120" t="str">
        <f t="array" ref="AM50">INDEX(AL:AL,SMALL(IF($AL$2:$AL$301&lt;&gt;"",ROW($2:$301),302),ROW(AL49)))&amp;""</f>
        <v/>
      </c>
    </row>
    <row r="51" spans="1:39" ht="14.4" customHeight="1" x14ac:dyDescent="0.25">
      <c r="A51" s="250">
        <v>49</v>
      </c>
      <c r="B51" s="119" t="s">
        <v>6552</v>
      </c>
      <c r="C51" s="119" t="s">
        <v>6553</v>
      </c>
      <c r="E51" s="440" t="s">
        <v>6290</v>
      </c>
      <c r="F51" s="180" t="s">
        <v>6282</v>
      </c>
      <c r="G51" s="180" t="s">
        <v>6291</v>
      </c>
      <c r="H51" s="180">
        <v>1</v>
      </c>
      <c r="I51" s="180">
        <v>1</v>
      </c>
      <c r="J51" s="180">
        <v>1</v>
      </c>
      <c r="K51" s="119" t="s">
        <v>6554</v>
      </c>
      <c r="L51" s="119"/>
      <c r="N51" s="180" t="s">
        <v>6344</v>
      </c>
      <c r="O51" s="119" t="s">
        <v>6555</v>
      </c>
      <c r="P51" s="119">
        <v>1</v>
      </c>
      <c r="Q51" s="119" t="s">
        <v>242</v>
      </c>
      <c r="Y51" s="180">
        <v>1</v>
      </c>
      <c r="AA51" s="120" t="s">
        <v>6556</v>
      </c>
      <c r="AB51" s="250" t="str">
        <f t="array" ref="AB51">INDEX(B:B,SMALL(IF($Q$3:$Q$517&lt;&gt;"",ROW($3:$517),518),ROW(B50)))&amp;""</f>
        <v>哈达之臂</v>
      </c>
      <c r="AC51" s="394" t="str">
        <f>IFERROR(IF(AND($Q52&lt;&gt;"",IF(法术查询!$J$4="",1,INDEX($R52:$Z52,1,VLOOKUP(法术查询!$J$4,$AF$2:$AG$10,2,0)))&lt;&gt;"",IF(法术查询!$J$5="",1,$P52=VLOOKUP(法术查询!$J$5,$AH$2:$AI$11,2,0)),IF(法术查询!$J$6="",1,IF(法术查询!$J$6=$E52,1,0)),IF(法术查询!$J$7="",1,SEARCH(法术查询!$J$7,$F52)),IF(法术查询!$J$8="",1,SEARCH(法术查询!$J$8,G52)),IF(法术查询!$J$9="",1,SEARCH(法术查询!$J$9,N52)),IF(法术查询!$J$10="",1,IF(法术查询!$J$10=$AF$11,IF($M52=1,1,0),IF($M52="",1,0))),IF(法术查询!$J$11="",1,IF(法术查询!$J$11=$AF$11,IF($D52=1,1,0),IF($D52="",1,0))),IF(法术查询!$J$12="",1,SEARCH(法术查询!$J$12,$B52&amp;$C52&amp;$O52)),IF(法术查询!$J$13="",1,SEARCH(法术查询!$J$13,$B52&amp;$C52&amp;$O52)),IF(法术查询!$J$14="",1,SEARCH(法术查询!$J$14,$B52&amp;$C52&amp;$O52)),IF(法术查询!$J$16="",1,IF(法术查询!$J$16=$AF$11,IF($H52=1,1,0),IF($H52="",1,0))),IF(法术查询!$J$17="",1,IF(法术查询!$J$17=$AF$11,IF($I52=1,1,0),IF($I52="",1,0))),IF(法术查询!$J$18="",1,IF(法术查询!$J$18=$AF$11,IF($J52&lt;&gt;"",1,0),IF($J52="",1,0))),IF(法术查询!$J$19="",1,IF(法术查询!$J$19=$AF$11,IF($L52&lt;&gt;"",1,0),IF($L52="",1,0)))),$B52,""),"")</f>
        <v/>
      </c>
      <c r="AD51" s="180" t="str">
        <f t="array" ref="AD51">INDEX(AC:AC,SMALL(IF($AC$2:$AC$516&lt;&gt;"",ROW($2:$516),517),ROW(AC50)))&amp;""</f>
        <v/>
      </c>
      <c r="AE51" s="198" t="str">
        <f t="shared" si="3"/>
        <v/>
      </c>
      <c r="AF51" s="118" t="s">
        <v>6301</v>
      </c>
      <c r="AG51" s="198" t="str">
        <f t="array" ref="AG51">INDEX(AF:AF,SMALL(IF($AF$48:$AF$57&lt;&gt;"",ROW($48:$57),58),ROW(AG4)))&amp;""</f>
        <v>三环</v>
      </c>
      <c r="AH51" s="118" t="str">
        <f>IF(OR(法术查询!J5=AH2,COUNTIF(AH8:AH11,法术查询!J5)),"","圣武士")</f>
        <v>圣武士</v>
      </c>
      <c r="AI51" s="198" t="str">
        <f t="array" ref="AI51">INDEX(AH:AH,SMALL(IF($AH$48:$AH$56&lt;&gt;"",ROW($48:$56),57),ROW(AI4)))&amp;""</f>
        <v>圣武士</v>
      </c>
      <c r="AJ51" s="250">
        <v>50</v>
      </c>
      <c r="AK51" s="180" t="str">
        <f>IF(法术书!V57="","",法术书!V57)</f>
        <v/>
      </c>
      <c r="AL51" s="119" t="str">
        <f t="array" ref="AL51">IFERROR(INDEX(AK$1:AK$301,SMALL(IF(MATCH(AK51,AK$1:AK$301,0)=ROW(AK51),ROW(AK$1:AK$301),999),ROW(AK51))),"")</f>
        <v/>
      </c>
      <c r="AM51" s="120" t="str">
        <f t="array" ref="AM51">INDEX(AL:AL,SMALL(IF($AL$2:$AL$301&lt;&gt;"",ROW($2:$301),302),ROW(AL50)))&amp;""</f>
        <v/>
      </c>
    </row>
    <row r="52" spans="1:39" ht="14.4" customHeight="1" x14ac:dyDescent="0.25">
      <c r="A52" s="250">
        <v>50</v>
      </c>
      <c r="B52" s="119" t="s">
        <v>6557</v>
      </c>
      <c r="C52" s="119" t="s">
        <v>6558</v>
      </c>
      <c r="E52" s="378" t="s">
        <v>6281</v>
      </c>
      <c r="F52" s="180" t="s">
        <v>6282</v>
      </c>
      <c r="G52" s="180" t="s">
        <v>6479</v>
      </c>
      <c r="H52" s="180">
        <v>1</v>
      </c>
      <c r="I52" s="180">
        <v>1</v>
      </c>
      <c r="N52" s="180" t="s">
        <v>6284</v>
      </c>
      <c r="O52" s="119" t="s">
        <v>6559</v>
      </c>
      <c r="P52" s="119">
        <v>1</v>
      </c>
      <c r="Q52" s="119" t="s">
        <v>242</v>
      </c>
      <c r="Y52" s="180">
        <v>1</v>
      </c>
      <c r="AA52" s="198" t="s">
        <v>3409</v>
      </c>
      <c r="AB52" s="250" t="str">
        <f t="array" ref="AB52">INDEX(B:B,SMALL(IF($Q$3:$Q$517&lt;&gt;"",ROW($3:$517),518),ROW(B51)))&amp;""</f>
        <v>灾祸术</v>
      </c>
      <c r="AC52" s="394" t="str">
        <f>IFERROR(IF(AND($Q53&lt;&gt;"",IF(法术查询!$J$4="",1,INDEX($R53:$Z53,1,VLOOKUP(法术查询!$J$4,$AF$2:$AG$10,2,0)))&lt;&gt;"",IF(法术查询!$J$5="",1,$P53=VLOOKUP(法术查询!$J$5,$AH$2:$AI$11,2,0)),IF(法术查询!$J$6="",1,IF(法术查询!$J$6=$E53,1,0)),IF(法术查询!$J$7="",1,SEARCH(法术查询!$J$7,$F53)),IF(法术查询!$J$8="",1,SEARCH(法术查询!$J$8,G53)),IF(法术查询!$J$9="",1,SEARCH(法术查询!$J$9,N53)),IF(法术查询!$J$10="",1,IF(法术查询!$J$10=$AF$11,IF($M53=1,1,0),IF($M53="",1,0))),IF(法术查询!$J$11="",1,IF(法术查询!$J$11=$AF$11,IF($D53=1,1,0),IF($D53="",1,0))),IF(法术查询!$J$12="",1,SEARCH(法术查询!$J$12,$B53&amp;$C53&amp;$O53)),IF(法术查询!$J$13="",1,SEARCH(法术查询!$J$13,$B53&amp;$C53&amp;$O53)),IF(法术查询!$J$14="",1,SEARCH(法术查询!$J$14,$B53&amp;$C53&amp;$O53)),IF(法术查询!$J$16="",1,IF(法术查询!$J$16=$AF$11,IF($H53=1,1,0),IF($H53="",1,0))),IF(法术查询!$J$17="",1,IF(法术查询!$J$17=$AF$11,IF($I53=1,1,0),IF($I53="",1,0))),IF(法术查询!$J$18="",1,IF(法术查询!$J$18=$AF$11,IF($J53&lt;&gt;"",1,0),IF($J53="",1,0))),IF(法术查询!$J$19="",1,IF(法术查询!$J$19=$AF$11,IF($L53&lt;&gt;"",1,0),IF($L53="",1,0)))),$B53,""),"")</f>
        <v/>
      </c>
      <c r="AD52" s="180" t="str">
        <f t="array" ref="AD52">INDEX(AC:AC,SMALL(IF($AC$2:$AC$516&lt;&gt;"",ROW($2:$516),517),ROW(AC51)))&amp;""</f>
        <v/>
      </c>
      <c r="AE52" s="198" t="str">
        <f t="shared" si="3"/>
        <v/>
      </c>
      <c r="AF52" s="118" t="s">
        <v>6309</v>
      </c>
      <c r="AG52" s="198" t="str">
        <f t="array" ref="AG52">INDEX(AF:AF,SMALL(IF($AF$48:$AF$57&lt;&gt;"",ROW($48:$57),58),ROW(AG5)))&amp;""</f>
        <v>四环</v>
      </c>
      <c r="AH52" s="118" t="str">
        <f>IF(OR(法术查询!J5=AH2,COUNTIF(AH8:AH11,法术查询!J5)),"","游侠")</f>
        <v>游侠</v>
      </c>
      <c r="AI52" s="198" t="str">
        <f t="array" ref="AI52">INDEX(AH:AH,SMALL(IF($AH$48:$AH$56&lt;&gt;"",ROW($48:$56),57),ROW(AI5)))&amp;""</f>
        <v>游侠</v>
      </c>
      <c r="AJ52" s="250">
        <v>51</v>
      </c>
      <c r="AK52" s="180" t="str">
        <f>IF(法术书!Y8="","",法术书!Y8)</f>
        <v/>
      </c>
      <c r="AL52" s="119" t="str">
        <f t="array" ref="AL52">IFERROR(INDEX(AK$1:AK$301,SMALL(IF(MATCH(AK52,AK$1:AK$301,0)=ROW(AK52),ROW(AK$1:AK$301),999),ROW(AK52))),"")</f>
        <v/>
      </c>
      <c r="AM52" s="120" t="str">
        <f t="array" ref="AM52">INDEX(AL:AL,SMALL(IF($AL$2:$AL$301&lt;&gt;"",ROW($2:$301),302),ROW(AL51)))&amp;""</f>
        <v/>
      </c>
    </row>
    <row r="53" spans="1:39" ht="14.4" customHeight="1" x14ac:dyDescent="0.25">
      <c r="A53" s="250">
        <v>51</v>
      </c>
      <c r="B53" s="119" t="s">
        <v>6560</v>
      </c>
      <c r="C53" s="119" t="s">
        <v>6561</v>
      </c>
      <c r="E53" s="379" t="s">
        <v>6328</v>
      </c>
      <c r="F53" s="180" t="s">
        <v>6282</v>
      </c>
      <c r="G53" s="180" t="s">
        <v>6313</v>
      </c>
      <c r="H53" s="180">
        <v>1</v>
      </c>
      <c r="I53" s="180">
        <v>1</v>
      </c>
      <c r="J53" s="180">
        <v>1</v>
      </c>
      <c r="K53" s="119" t="s">
        <v>6562</v>
      </c>
      <c r="L53" s="119"/>
      <c r="M53" s="180">
        <v>1</v>
      </c>
      <c r="N53" s="180" t="s">
        <v>6306</v>
      </c>
      <c r="O53" s="119" t="s">
        <v>6563</v>
      </c>
      <c r="P53" s="119">
        <v>1</v>
      </c>
      <c r="Q53" s="119" t="s">
        <v>242</v>
      </c>
      <c r="R53" s="180">
        <v>1</v>
      </c>
      <c r="S53" s="180">
        <v>1</v>
      </c>
      <c r="AA53" s="120" t="s">
        <v>6564</v>
      </c>
      <c r="AB53" s="250" t="str">
        <f t="array" ref="AB53">INDEX(B:B,SMALL(IF($Q$3:$Q$517&lt;&gt;"",ROW($3:$517),518),ROW(B52)))&amp;""</f>
        <v>祝福术</v>
      </c>
      <c r="AC53" s="394" t="str">
        <f>IFERROR(IF(AND($Q54&lt;&gt;"",IF(法术查询!$J$4="",1,INDEX($R54:$Z54,1,VLOOKUP(法术查询!$J$4,$AF$2:$AG$10,2,0)))&lt;&gt;"",IF(法术查询!$J$5="",1,$P54=VLOOKUP(法术查询!$J$5,$AH$2:$AI$11,2,0)),IF(法术查询!$J$6="",1,IF(法术查询!$J$6=$E54,1,0)),IF(法术查询!$J$7="",1,SEARCH(法术查询!$J$7,$F54)),IF(法术查询!$J$8="",1,SEARCH(法术查询!$J$8,G54)),IF(法术查询!$J$9="",1,SEARCH(法术查询!$J$9,N54)),IF(法术查询!$J$10="",1,IF(法术查询!$J$10=$AF$11,IF($M54=1,1,0),IF($M54="",1,0))),IF(法术查询!$J$11="",1,IF(法术查询!$J$11=$AF$11,IF($D54=1,1,0),IF($D54="",1,0))),IF(法术查询!$J$12="",1,SEARCH(法术查询!$J$12,$B54&amp;$C54&amp;$O54)),IF(法术查询!$J$13="",1,SEARCH(法术查询!$J$13,$B54&amp;$C54&amp;$O54)),IF(法术查询!$J$14="",1,SEARCH(法术查询!$J$14,$B54&amp;$C54&amp;$O54)),IF(法术查询!$J$16="",1,IF(法术查询!$J$16=$AF$11,IF($H54=1,1,0),IF($H54="",1,0))),IF(法术查询!$J$17="",1,IF(法术查询!$J$17=$AF$11,IF($I54=1,1,0),IF($I54="",1,0))),IF(法术查询!$J$18="",1,IF(法术查询!$J$18=$AF$11,IF($J54&lt;&gt;"",1,0),IF($J54="",1,0))),IF(法术查询!$J$19="",1,IF(法术查询!$J$19=$AF$11,IF($L54&lt;&gt;"",1,0),IF($L54="",1,0)))),$B54,""),"")</f>
        <v/>
      </c>
      <c r="AD53" s="180" t="str">
        <f t="array" ref="AD53">INDEX(AC:AC,SMALL(IF($AC$2:$AC$516&lt;&gt;"",ROW($2:$516),517),ROW(AC52)))&amp;""</f>
        <v/>
      </c>
      <c r="AE53" s="198" t="str">
        <f t="shared" si="3"/>
        <v/>
      </c>
      <c r="AF53" s="118" t="s">
        <v>6316</v>
      </c>
      <c r="AG53" s="198" t="str">
        <f t="array" ref="AG53">INDEX(AF:AF,SMALL(IF($AF$48:$AF$57&lt;&gt;"",ROW($48:$57),58),ROW(AG6)))&amp;""</f>
        <v>五环</v>
      </c>
      <c r="AH53" s="118" t="s">
        <v>1642</v>
      </c>
      <c r="AI53" s="198" t="str">
        <f t="array" ref="AI53">INDEX(AH:AH,SMALL(IF($AH$48:$AH$56&lt;&gt;"",ROW($48:$56),57),ROW(AI6)))&amp;""</f>
        <v>术士</v>
      </c>
      <c r="AJ53" s="250">
        <v>52</v>
      </c>
      <c r="AK53" s="180" t="str">
        <f>IF(法术书!Y9="","",法术书!Y9)</f>
        <v/>
      </c>
      <c r="AL53" s="119" t="str">
        <f t="array" ref="AL53">IFERROR(INDEX(AK$1:AK$301,SMALL(IF(MATCH(AK53,AK$1:AK$301,0)=ROW(AK53),ROW(AK$1:AK$301),999),ROW(AK53))),"")</f>
        <v/>
      </c>
      <c r="AM53" s="120" t="str">
        <f t="array" ref="AM53">INDEX(AL:AL,SMALL(IF($AL$2:$AL$301&lt;&gt;"",ROW($2:$301),302),ROW(AL52)))&amp;""</f>
        <v/>
      </c>
    </row>
    <row r="54" spans="1:39" ht="14.4" customHeight="1" x14ac:dyDescent="0.25">
      <c r="A54" s="250">
        <v>52</v>
      </c>
      <c r="B54" s="119" t="s">
        <v>6565</v>
      </c>
      <c r="C54" s="119" t="s">
        <v>6566</v>
      </c>
      <c r="E54" s="379" t="s">
        <v>6328</v>
      </c>
      <c r="F54" s="180" t="s">
        <v>6282</v>
      </c>
      <c r="G54" s="180" t="s">
        <v>6313</v>
      </c>
      <c r="H54" s="180">
        <v>1</v>
      </c>
      <c r="I54" s="180">
        <v>1</v>
      </c>
      <c r="J54" s="180">
        <v>1</v>
      </c>
      <c r="K54" s="119" t="s">
        <v>6567</v>
      </c>
      <c r="L54" s="119"/>
      <c r="M54" s="180">
        <v>1</v>
      </c>
      <c r="N54" s="180" t="s">
        <v>6306</v>
      </c>
      <c r="O54" s="119" t="s">
        <v>6568</v>
      </c>
      <c r="P54" s="119">
        <v>1</v>
      </c>
      <c r="Q54" s="119" t="s">
        <v>242</v>
      </c>
      <c r="S54" s="180">
        <v>1</v>
      </c>
      <c r="U54" s="180">
        <v>1</v>
      </c>
      <c r="AA54" s="120" t="s">
        <v>6569</v>
      </c>
      <c r="AB54" s="250" t="str">
        <f t="array" ref="AB54">INDEX(B:B,SMALL(IF($Q$3:$Q$517&lt;&gt;"",ROW($3:$517),518),ROW(B53)))&amp;""</f>
        <v>燃烧之手</v>
      </c>
      <c r="AC54" s="394" t="str">
        <f>IFERROR(IF(AND($Q55&lt;&gt;"",IF(法术查询!$J$4="",1,INDEX($R55:$Z55,1,VLOOKUP(法术查询!$J$4,$AF$2:$AG$10,2,0)))&lt;&gt;"",IF(法术查询!$J$5="",1,$P55=VLOOKUP(法术查询!$J$5,$AH$2:$AI$11,2,0)),IF(法术查询!$J$6="",1,IF(法术查询!$J$6=$E55,1,0)),IF(法术查询!$J$7="",1,SEARCH(法术查询!$J$7,$F55)),IF(法术查询!$J$8="",1,SEARCH(法术查询!$J$8,G55)),IF(法术查询!$J$9="",1,SEARCH(法术查询!$J$9,N55)),IF(法术查询!$J$10="",1,IF(法术查询!$J$10=$AF$11,IF($M55=1,1,0),IF($M55="",1,0))),IF(法术查询!$J$11="",1,IF(法术查询!$J$11=$AF$11,IF($D55=1,1,0),IF($D55="",1,0))),IF(法术查询!$J$12="",1,SEARCH(法术查询!$J$12,$B55&amp;$C55&amp;$O55)),IF(法术查询!$J$13="",1,SEARCH(法术查询!$J$13,$B55&amp;$C55&amp;$O55)),IF(法术查询!$J$14="",1,SEARCH(法术查询!$J$14,$B55&amp;$C55&amp;$O55)),IF(法术查询!$J$16="",1,IF(法术查询!$J$16=$AF$11,IF($H55=1,1,0),IF($H55="",1,0))),IF(法术查询!$J$17="",1,IF(法术查询!$J$17=$AF$11,IF($I55=1,1,0),IF($I55="",1,0))),IF(法术查询!$J$18="",1,IF(法术查询!$J$18=$AF$11,IF($J55&lt;&gt;"",1,0),IF($J55="",1,0))),IF(法术查询!$J$19="",1,IF(法术查询!$J$19=$AF$11,IF($L55&lt;&gt;"",1,0),IF($L55="",1,0)))),$B55,""),"")</f>
        <v/>
      </c>
      <c r="AD54" s="180" t="str">
        <f t="array" ref="AD54">INDEX(AC:AC,SMALL(IF($AC$2:$AC$516&lt;&gt;"",ROW($2:$516),517),ROW(AC53)))&amp;""</f>
        <v/>
      </c>
      <c r="AE54" s="198" t="str">
        <f t="shared" si="3"/>
        <v/>
      </c>
      <c r="AF54" s="118" t="str">
        <f>IF(OR(法术查询!J4=U2,法术查询!J4=V2,法术查询!J4=Z2),"","六环")</f>
        <v>六环</v>
      </c>
      <c r="AG54" s="198" t="str">
        <f t="array" ref="AG54">INDEX(AF:AF,SMALL(IF($AF$48:$AF$57&lt;&gt;"",ROW($48:$57),58),ROW(AG7)))&amp;""</f>
        <v>六环</v>
      </c>
      <c r="AH54" s="118" t="s">
        <v>1655</v>
      </c>
      <c r="AI54" s="198" t="str">
        <f t="array" ref="AI54">INDEX(AH:AH,SMALL(IF($AH$48:$AH$56&lt;&gt;"",ROW($48:$56),57),ROW(AI7)))&amp;""</f>
        <v>法师</v>
      </c>
      <c r="AJ54" s="250">
        <v>53</v>
      </c>
      <c r="AK54" s="180" t="str">
        <f>IF(法术书!Y10="","",法术书!Y10)</f>
        <v/>
      </c>
      <c r="AL54" s="119" t="str">
        <f t="array" ref="AL54">IFERROR(INDEX(AK$1:AK$301,SMALL(IF(MATCH(AK54,AK$1:AK$301,0)=ROW(AK54),ROW(AK$1:AK$301),999),ROW(AK54))),"")</f>
        <v/>
      </c>
      <c r="AM54" s="120" t="str">
        <f t="array" ref="AM54">INDEX(AL:AL,SMALL(IF($AL$2:$AL$301&lt;&gt;"",ROW($2:$301),302),ROW(AL53)))&amp;""</f>
        <v/>
      </c>
    </row>
    <row r="55" spans="1:39" ht="14.4" customHeight="1" x14ac:dyDescent="0.25">
      <c r="A55" s="250">
        <v>53</v>
      </c>
      <c r="B55" s="119" t="s">
        <v>6570</v>
      </c>
      <c r="C55" s="119" t="s">
        <v>6571</v>
      </c>
      <c r="E55" s="434" t="s">
        <v>6304</v>
      </c>
      <c r="F55" s="180" t="s">
        <v>6282</v>
      </c>
      <c r="G55" s="180" t="s">
        <v>6494</v>
      </c>
      <c r="H55" s="180">
        <v>1</v>
      </c>
      <c r="I55" s="180">
        <v>1</v>
      </c>
      <c r="N55" s="180" t="s">
        <v>6284</v>
      </c>
      <c r="O55" s="119" t="s">
        <v>6572</v>
      </c>
      <c r="P55" s="119">
        <v>1</v>
      </c>
      <c r="Q55" s="119" t="s">
        <v>242</v>
      </c>
      <c r="W55" s="180">
        <v>1</v>
      </c>
      <c r="X55" s="180">
        <v>1</v>
      </c>
      <c r="AA55" s="120" t="s">
        <v>6573</v>
      </c>
      <c r="AB55" s="250" t="str">
        <f t="array" ref="AB55">INDEX(B:B,SMALL(IF($Q$3:$Q$517&lt;&gt;"",ROW($3:$517),518),ROW(B54)))&amp;""</f>
        <v>魅惑人类</v>
      </c>
      <c r="AC55" s="394" t="str">
        <f>IFERROR(IF(AND($Q56&lt;&gt;"",IF(法术查询!$J$4="",1,INDEX($R56:$Z56,1,VLOOKUP(法术查询!$J$4,$AF$2:$AG$10,2,0)))&lt;&gt;"",IF(法术查询!$J$5="",1,$P56=VLOOKUP(法术查询!$J$5,$AH$2:$AI$11,2,0)),IF(法术查询!$J$6="",1,IF(法术查询!$J$6=$E56,1,0)),IF(法术查询!$J$7="",1,SEARCH(法术查询!$J$7,$F56)),IF(法术查询!$J$8="",1,SEARCH(法术查询!$J$8,G56)),IF(法术查询!$J$9="",1,SEARCH(法术查询!$J$9,N56)),IF(法术查询!$J$10="",1,IF(法术查询!$J$10=$AF$11,IF($M56=1,1,0),IF($M56="",1,0))),IF(法术查询!$J$11="",1,IF(法术查询!$J$11=$AF$11,IF($D56=1,1,0),IF($D56="",1,0))),IF(法术查询!$J$12="",1,SEARCH(法术查询!$J$12,$B56&amp;$C56&amp;$O56)),IF(法术查询!$J$13="",1,SEARCH(法术查询!$J$13,$B56&amp;$C56&amp;$O56)),IF(法术查询!$J$14="",1,SEARCH(法术查询!$J$14,$B56&amp;$C56&amp;$O56)),IF(法术查询!$J$16="",1,IF(法术查询!$J$16=$AF$11,IF($H56=1,1,0),IF($H56="",1,0))),IF(法术查询!$J$17="",1,IF(法术查询!$J$17=$AF$11,IF($I56=1,1,0),IF($I56="",1,0))),IF(法术查询!$J$18="",1,IF(法术查询!$J$18=$AF$11,IF($J56&lt;&gt;"",1,0),IF($J56="",1,0))),IF(法术查询!$J$19="",1,IF(法术查询!$J$19=$AF$11,IF($L56&lt;&gt;"",1,0),IF($L56="",1,0)))),$B56,""),"")</f>
        <v/>
      </c>
      <c r="AD55" s="180" t="str">
        <f t="array" ref="AD55">INDEX(AC:AC,SMALL(IF($AC$2:$AC$516&lt;&gt;"",ROW($2:$516),517),ROW(AC54)))&amp;""</f>
        <v/>
      </c>
      <c r="AE55" s="198" t="str">
        <f t="shared" si="3"/>
        <v/>
      </c>
      <c r="AF55" s="118" t="str">
        <f>IF(OR(法术查询!J4=U2,法术查询!J4=V2,法术查询!J4=Z2),"","七环")</f>
        <v>七环</v>
      </c>
      <c r="AG55" s="198" t="str">
        <f t="array" ref="AG55">INDEX(AF:AF,SMALL(IF($AF$48:$AF$57&lt;&gt;"",ROW($48:$57),58),ROW(AG8)))&amp;""</f>
        <v>七环</v>
      </c>
      <c r="AH55" s="118" t="s">
        <v>1650</v>
      </c>
      <c r="AI55" s="198" t="str">
        <f t="array" ref="AI55">INDEX(AH:AH,SMALL(IF($AH$48:$AH$56&lt;&gt;"",ROW($48:$56),57),ROW(AI8)))&amp;""</f>
        <v>邪术师</v>
      </c>
      <c r="AJ55" s="250">
        <v>54</v>
      </c>
      <c r="AK55" s="180" t="str">
        <f>IF(法术书!Y11="","",法术书!Y11)</f>
        <v/>
      </c>
      <c r="AL55" s="119" t="str">
        <f t="array" ref="AL55">IFERROR(INDEX(AK$1:AK$301,SMALL(IF(MATCH(AK55,AK$1:AK$301,0)=ROW(AK55),ROW(AK$1:AK$301),999),ROW(AK55))),"")</f>
        <v/>
      </c>
      <c r="AM55" s="120" t="str">
        <f t="array" ref="AM55">INDEX(AL:AL,SMALL(IF($AL$2:$AL$301&lt;&gt;"",ROW($2:$301),302),ROW(AL54)))&amp;""</f>
        <v/>
      </c>
    </row>
    <row r="56" spans="1:39" ht="14.4" customHeight="1" x14ac:dyDescent="0.25">
      <c r="A56" s="250">
        <v>54</v>
      </c>
      <c r="B56" s="119" t="s">
        <v>6574</v>
      </c>
      <c r="C56" s="119" t="s">
        <v>6575</v>
      </c>
      <c r="E56" s="379" t="s">
        <v>6328</v>
      </c>
      <c r="F56" s="180" t="s">
        <v>6282</v>
      </c>
      <c r="G56" s="180" t="s">
        <v>6313</v>
      </c>
      <c r="H56" s="180">
        <v>1</v>
      </c>
      <c r="I56" s="180">
        <v>1</v>
      </c>
      <c r="N56" s="180" t="s">
        <v>6344</v>
      </c>
      <c r="O56" s="119" t="s">
        <v>6576</v>
      </c>
      <c r="P56" s="119">
        <v>1</v>
      </c>
      <c r="Q56" s="119" t="s">
        <v>242</v>
      </c>
      <c r="R56" s="180">
        <v>1</v>
      </c>
      <c r="T56" s="180">
        <v>1</v>
      </c>
      <c r="W56" s="180">
        <v>1</v>
      </c>
      <c r="X56" s="180">
        <v>1</v>
      </c>
      <c r="Y56" s="180">
        <v>1</v>
      </c>
      <c r="AA56" s="120" t="s">
        <v>6577</v>
      </c>
      <c r="AB56" s="250" t="str">
        <f t="array" ref="AB56">INDEX(B:B,SMALL(IF($Q$3:$Q$517&lt;&gt;"",ROW($3:$517),518),ROW(B55)))&amp;""</f>
        <v>繁彩球</v>
      </c>
      <c r="AC56" s="394" t="str">
        <f>IFERROR(IF(AND($Q57&lt;&gt;"",IF(法术查询!$J$4="",1,INDEX($R57:$Z57,1,VLOOKUP(法术查询!$J$4,$AF$2:$AG$10,2,0)))&lt;&gt;"",IF(法术查询!$J$5="",1,$P57=VLOOKUP(法术查询!$J$5,$AH$2:$AI$11,2,0)),IF(法术查询!$J$6="",1,IF(法术查询!$J$6=$E57,1,0)),IF(法术查询!$J$7="",1,SEARCH(法术查询!$J$7,$F57)),IF(法术查询!$J$8="",1,SEARCH(法术查询!$J$8,G57)),IF(法术查询!$J$9="",1,SEARCH(法术查询!$J$9,N57)),IF(法术查询!$J$10="",1,IF(法术查询!$J$10=$AF$11,IF($M57=1,1,0),IF($M57="",1,0))),IF(法术查询!$J$11="",1,IF(法术查询!$J$11=$AF$11,IF($D57=1,1,0),IF($D57="",1,0))),IF(法术查询!$J$12="",1,SEARCH(法术查询!$J$12,$B57&amp;$C57&amp;$O57)),IF(法术查询!$J$13="",1,SEARCH(法术查询!$J$13,$B57&amp;$C57&amp;$O57)),IF(法术查询!$J$14="",1,SEARCH(法术查询!$J$14,$B57&amp;$C57&amp;$O57)),IF(法术查询!$J$16="",1,IF(法术查询!$J$16=$AF$11,IF($H57=1,1,0),IF($H57="",1,0))),IF(法术查询!$J$17="",1,IF(法术查询!$J$17=$AF$11,IF($I57=1,1,0),IF($I57="",1,0))),IF(法术查询!$J$18="",1,IF(法术查询!$J$18=$AF$11,IF($J57&lt;&gt;"",1,0),IF($J57="",1,0))),IF(法术查询!$J$19="",1,IF(法术查询!$J$19=$AF$11,IF($L57&lt;&gt;"",1,0),IF($L57="",1,0)))),$B57,""),"")</f>
        <v/>
      </c>
      <c r="AD56" s="180" t="str">
        <f t="array" ref="AD56">INDEX(AC:AC,SMALL(IF($AC$2:$AC$516&lt;&gt;"",ROW($2:$516),517),ROW(AC55)))&amp;""</f>
        <v/>
      </c>
      <c r="AE56" s="198" t="str">
        <f t="shared" si="3"/>
        <v/>
      </c>
      <c r="AF56" s="118" t="str">
        <f>IF(OR(法术查询!J4=U2,法术查询!J4=V2,法术查询!J4=Z2),"","八环")</f>
        <v>八环</v>
      </c>
      <c r="AG56" s="198" t="str">
        <f t="array" ref="AG56">INDEX(AF:AF,SMALL(IF($AF$48:$AF$57&lt;&gt;"",ROW($48:$57),58),ROW(AG9)))&amp;""</f>
        <v>八环</v>
      </c>
      <c r="AH56" s="128" t="str">
        <f>IF(COUNTIF(AH8:AH11,法术查询!J5),"",IF(OR(综合数据!B10=TRUE,综合数据!B14=TRUE),"奇械师",""))</f>
        <v>奇械师</v>
      </c>
      <c r="AI56" s="280" t="str">
        <f t="array" ref="AI56">INDEX(AH:AH,SMALL(IF($AH$48:$AH$56&lt;&gt;"",ROW($48:$56),57),ROW(AI9)))&amp;""</f>
        <v>奇械师</v>
      </c>
      <c r="AJ56" s="250">
        <v>55</v>
      </c>
      <c r="AK56" s="180" t="str">
        <f>IF(法术书!Y12="","",法术书!Y12)</f>
        <v/>
      </c>
      <c r="AL56" s="119" t="str">
        <f t="array" ref="AL56">IFERROR(INDEX(AK$1:AK$301,SMALL(IF(MATCH(AK56,AK$1:AK$301,0)=ROW(AK56),ROW(AK$1:AK$301),999),ROW(AK56))),"")</f>
        <v/>
      </c>
      <c r="AM56" s="120" t="str">
        <f t="array" ref="AM56">INDEX(AL:AL,SMALL(IF($AL$2:$AL$301&lt;&gt;"",ROW($2:$301),302),ROW(AL55)))&amp;""</f>
        <v/>
      </c>
    </row>
    <row r="57" spans="1:39" ht="14.4" customHeight="1" x14ac:dyDescent="0.25">
      <c r="A57" s="250">
        <v>55</v>
      </c>
      <c r="B57" s="119" t="s">
        <v>6578</v>
      </c>
      <c r="C57" s="119" t="s">
        <v>6579</v>
      </c>
      <c r="E57" s="434" t="s">
        <v>6304</v>
      </c>
      <c r="F57" s="180" t="s">
        <v>6282</v>
      </c>
      <c r="G57" s="180" t="s">
        <v>6400</v>
      </c>
      <c r="H57" s="180">
        <v>1</v>
      </c>
      <c r="I57" s="180">
        <v>1</v>
      </c>
      <c r="J57" s="180">
        <v>1</v>
      </c>
      <c r="K57" s="119" t="s">
        <v>6580</v>
      </c>
      <c r="L57" s="119"/>
      <c r="N57" s="180" t="s">
        <v>6284</v>
      </c>
      <c r="O57" s="119" t="s">
        <v>6581</v>
      </c>
      <c r="P57" s="119">
        <v>1</v>
      </c>
      <c r="Q57" s="119" t="s">
        <v>242</v>
      </c>
      <c r="W57" s="180">
        <v>1</v>
      </c>
      <c r="X57" s="180">
        <v>1</v>
      </c>
      <c r="AA57" s="120" t="s">
        <v>6582</v>
      </c>
      <c r="AB57" s="250" t="str">
        <f t="array" ref="AB57">INDEX(B:B,SMALL(IF($Q$3:$Q$517&lt;&gt;"",ROW($3:$517),518),ROW(B56)))&amp;""</f>
        <v>七彩喷射</v>
      </c>
      <c r="AC57" s="394" t="str">
        <f>IFERROR(IF(AND($Q58&lt;&gt;"",IF(法术查询!$J$4="",1,INDEX($R58:$Z58,1,VLOOKUP(法术查询!$J$4,$AF$2:$AG$10,2,0)))&lt;&gt;"",IF(法术查询!$J$5="",1,$P58=VLOOKUP(法术查询!$J$5,$AH$2:$AI$11,2,0)),IF(法术查询!$J$6="",1,IF(法术查询!$J$6=$E58,1,0)),IF(法术查询!$J$7="",1,SEARCH(法术查询!$J$7,$F58)),IF(法术查询!$J$8="",1,SEARCH(法术查询!$J$8,G58)),IF(法术查询!$J$9="",1,SEARCH(法术查询!$J$9,N58)),IF(法术查询!$J$10="",1,IF(法术查询!$J$10=$AF$11,IF($M58=1,1,0),IF($M58="",1,0))),IF(法术查询!$J$11="",1,IF(法术查询!$J$11=$AF$11,IF($D58=1,1,0),IF($D58="",1,0))),IF(法术查询!$J$12="",1,SEARCH(法术查询!$J$12,$B58&amp;$C58&amp;$O58)),IF(法术查询!$J$13="",1,SEARCH(法术查询!$J$13,$B58&amp;$C58&amp;$O58)),IF(法术查询!$J$14="",1,SEARCH(法术查询!$J$14,$B58&amp;$C58&amp;$O58)),IF(法术查询!$J$16="",1,IF(法术查询!$J$16=$AF$11,IF($H58=1,1,0),IF($H58="",1,0))),IF(法术查询!$J$17="",1,IF(法术查询!$J$17=$AF$11,IF($I58=1,1,0),IF($I58="",1,0))),IF(法术查询!$J$18="",1,IF(法术查询!$J$18=$AF$11,IF($J58&lt;&gt;"",1,0),IF($J58="",1,0))),IF(法术查询!$J$19="",1,IF(法术查询!$J$19=$AF$11,IF($L58&lt;&gt;"",1,0),IF($L58="",1,0)))),$B58,""),"")</f>
        <v/>
      </c>
      <c r="AD57" s="180" t="str">
        <f t="array" ref="AD57">INDEX(AC:AC,SMALL(IF($AC$2:$AC$516&lt;&gt;"",ROW($2:$516),517),ROW(AC56)))&amp;""</f>
        <v/>
      </c>
      <c r="AE57" s="198" t="str">
        <f t="shared" si="3"/>
        <v/>
      </c>
      <c r="AF57" s="128" t="str">
        <f>IF(OR(法术查询!J4=U2,法术查询!J4=V2,法术查询!J4=Z2),"","九环")</f>
        <v>九环</v>
      </c>
      <c r="AG57" s="280" t="str">
        <f t="array" ref="AG57">INDEX(AF:AF,SMALL(IF($AF$48:$AF$57&lt;&gt;"",ROW($48:$57),58),ROW(AG10)))&amp;""</f>
        <v>九环</v>
      </c>
      <c r="AJ57" s="250">
        <v>56</v>
      </c>
      <c r="AK57" s="180" t="str">
        <f>IF(法术书!Y13="","",法术书!Y13)</f>
        <v/>
      </c>
      <c r="AL57" s="119" t="str">
        <f t="array" ref="AL57">IFERROR(INDEX(AK$1:AK$301,SMALL(IF(MATCH(AK57,AK$1:AK$301,0)=ROW(AK57),ROW(AK$1:AK$301),999),ROW(AK57))),"")</f>
        <v/>
      </c>
      <c r="AM57" s="120" t="str">
        <f t="array" ref="AM57">INDEX(AL:AL,SMALL(IF($AL$2:$AL$301&lt;&gt;"",ROW($2:$301),302),ROW(AL56)))&amp;""</f>
        <v/>
      </c>
    </row>
    <row r="58" spans="1:39" ht="14.4" customHeight="1" x14ac:dyDescent="0.25">
      <c r="A58" s="250">
        <v>56</v>
      </c>
      <c r="B58" s="119" t="s">
        <v>6583</v>
      </c>
      <c r="C58" s="119" t="s">
        <v>6584</v>
      </c>
      <c r="E58" s="285" t="s">
        <v>6366</v>
      </c>
      <c r="F58" s="180" t="s">
        <v>6282</v>
      </c>
      <c r="G58" s="180" t="s">
        <v>6494</v>
      </c>
      <c r="H58" s="180">
        <v>1</v>
      </c>
      <c r="I58" s="180">
        <v>1</v>
      </c>
      <c r="J58" s="180">
        <v>1</v>
      </c>
      <c r="K58" s="119" t="s">
        <v>6585</v>
      </c>
      <c r="L58" s="119"/>
      <c r="N58" s="180" t="s">
        <v>6292</v>
      </c>
      <c r="O58" s="119" t="s">
        <v>6586</v>
      </c>
      <c r="P58" s="119">
        <v>1</v>
      </c>
      <c r="Q58" s="119" t="s">
        <v>242</v>
      </c>
      <c r="R58" s="180" t="str">
        <f>IF(综合数据!$B$14=TRUE,"13","")</f>
        <v>13</v>
      </c>
      <c r="W58" s="180">
        <v>1</v>
      </c>
      <c r="X58" s="180">
        <v>1</v>
      </c>
      <c r="AA58" s="198"/>
      <c r="AB58" s="250" t="str">
        <f t="array" ref="AB58">INDEX(B:B,SMALL(IF($Q$3:$Q$517&lt;&gt;"",ROW($3:$517),518),ROW(B57)))&amp;""</f>
        <v>命令术</v>
      </c>
      <c r="AC58" s="394" t="str">
        <f>IFERROR(IF(AND($Q59&lt;&gt;"",IF(法术查询!$J$4="",1,INDEX($R59:$Z59,1,VLOOKUP(法术查询!$J$4,$AF$2:$AG$10,2,0)))&lt;&gt;"",IF(法术查询!$J$5="",1,$P59=VLOOKUP(法术查询!$J$5,$AH$2:$AI$11,2,0)),IF(法术查询!$J$6="",1,IF(法术查询!$J$6=$E59,1,0)),IF(法术查询!$J$7="",1,SEARCH(法术查询!$J$7,$F59)),IF(法术查询!$J$8="",1,SEARCH(法术查询!$J$8,G59)),IF(法术查询!$J$9="",1,SEARCH(法术查询!$J$9,N59)),IF(法术查询!$J$10="",1,IF(法术查询!$J$10=$AF$11,IF($M59=1,1,0),IF($M59="",1,0))),IF(法术查询!$J$11="",1,IF(法术查询!$J$11=$AF$11,IF($D59=1,1,0),IF($D59="",1,0))),IF(法术查询!$J$12="",1,SEARCH(法术查询!$J$12,$B59&amp;$C59&amp;$O59)),IF(法术查询!$J$13="",1,SEARCH(法术查询!$J$13,$B59&amp;$C59&amp;$O59)),IF(法术查询!$J$14="",1,SEARCH(法术查询!$J$14,$B59&amp;$C59&amp;$O59)),IF(法术查询!$J$16="",1,IF(法术查询!$J$16=$AF$11,IF($H59=1,1,0),IF($H59="",1,0))),IF(法术查询!$J$17="",1,IF(法术查询!$J$17=$AF$11,IF($I59=1,1,0),IF($I59="",1,0))),IF(法术查询!$J$18="",1,IF(法术查询!$J$18=$AF$11,IF($J59&lt;&gt;"",1,0),IF($J59="",1,0))),IF(法术查询!$J$19="",1,IF(法术查询!$J$19=$AF$11,IF($L59&lt;&gt;"",1,0),IF($L59="",1,0)))),$B59,""),"")</f>
        <v/>
      </c>
      <c r="AD58" s="180" t="str">
        <f t="array" ref="AD58">INDEX(AC:AC,SMALL(IF($AC$2:$AC$516&lt;&gt;"",ROW($2:$516),517),ROW(AC57)))&amp;""</f>
        <v/>
      </c>
      <c r="AE58" s="198" t="str">
        <f t="shared" si="3"/>
        <v/>
      </c>
      <c r="AJ58" s="250">
        <v>57</v>
      </c>
      <c r="AK58" s="180" t="str">
        <f>IF(法术书!Y14="","",法术书!Y14)</f>
        <v/>
      </c>
      <c r="AL58" s="119" t="str">
        <f t="array" ref="AL58">IFERROR(INDEX(AK$1:AK$301,SMALL(IF(MATCH(AK58,AK$1:AK$301,0)=ROW(AK58),ROW(AK$1:AK$301),999),ROW(AK58))),"")</f>
        <v/>
      </c>
      <c r="AM58" s="120" t="str">
        <f t="array" ref="AM58">INDEX(AL:AL,SMALL(IF($AL$2:$AL$301&lt;&gt;"",ROW($2:$301),302),ROW(AL57)))&amp;""</f>
        <v/>
      </c>
    </row>
    <row r="59" spans="1:39" ht="14.4" customHeight="1" x14ac:dyDescent="0.25">
      <c r="A59" s="250">
        <v>57</v>
      </c>
      <c r="B59" s="119" t="s">
        <v>6587</v>
      </c>
      <c r="C59" s="119" t="s">
        <v>6588</v>
      </c>
      <c r="E59" s="379" t="s">
        <v>6328</v>
      </c>
      <c r="F59" s="180" t="s">
        <v>6282</v>
      </c>
      <c r="G59" s="180" t="s">
        <v>6283</v>
      </c>
      <c r="H59" s="180">
        <v>1</v>
      </c>
      <c r="N59" s="180" t="s">
        <v>6292</v>
      </c>
      <c r="O59" s="119" t="s">
        <v>6589</v>
      </c>
      <c r="P59" s="119">
        <v>1</v>
      </c>
      <c r="Q59" s="119" t="s">
        <v>242</v>
      </c>
      <c r="R59" s="180" t="str">
        <f>IF(综合数据!$B$14=TRUE,"13","")</f>
        <v>13</v>
      </c>
      <c r="S59" s="180">
        <v>1</v>
      </c>
      <c r="U59" s="180">
        <v>1</v>
      </c>
      <c r="AA59" s="120" t="s">
        <v>6590</v>
      </c>
      <c r="AB59" s="250" t="str">
        <f t="array" ref="AB59">INDEX(B:B,SMALL(IF($Q$3:$Q$517&lt;&gt;"",ROW($3:$517),518),ROW(B58)))&amp;""</f>
        <v>强令对决</v>
      </c>
      <c r="AC59" s="394" t="str">
        <f>IFERROR(IF(AND($Q60&lt;&gt;"",IF(法术查询!$J$4="",1,INDEX($R60:$Z60,1,VLOOKUP(法术查询!$J$4,$AF$2:$AG$10,2,0)))&lt;&gt;"",IF(法术查询!$J$5="",1,$P60=VLOOKUP(法术查询!$J$5,$AH$2:$AI$11,2,0)),IF(法术查询!$J$6="",1,IF(法术查询!$J$6=$E60,1,0)),IF(法术查询!$J$7="",1,SEARCH(法术查询!$J$7,$F60)),IF(法术查询!$J$8="",1,SEARCH(法术查询!$J$8,G60)),IF(法术查询!$J$9="",1,SEARCH(法术查询!$J$9,N60)),IF(法术查询!$J$10="",1,IF(法术查询!$J$10=$AF$11,IF($M60=1,1,0),IF($M60="",1,0))),IF(法术查询!$J$11="",1,IF(法术查询!$J$11=$AF$11,IF($D60=1,1,0),IF($D60="",1,0))),IF(法术查询!$J$12="",1,SEARCH(法术查询!$J$12,$B60&amp;$C60&amp;$O60)),IF(法术查询!$J$13="",1,SEARCH(法术查询!$J$13,$B60&amp;$C60&amp;$O60)),IF(法术查询!$J$14="",1,SEARCH(法术查询!$J$14,$B60&amp;$C60&amp;$O60)),IF(法术查询!$J$16="",1,IF(法术查询!$J$16=$AF$11,IF($H60=1,1,0),IF($H60="",1,0))),IF(法术查询!$J$17="",1,IF(法术查询!$J$17=$AF$11,IF($I60=1,1,0),IF($I60="",1,0))),IF(法术查询!$J$18="",1,IF(法术查询!$J$18=$AF$11,IF($J60&lt;&gt;"",1,0),IF($J60="",1,0))),IF(法术查询!$J$19="",1,IF(法术查询!$J$19=$AF$11,IF($L60&lt;&gt;"",1,0),IF($L60="",1,0)))),$B60,""),"")</f>
        <v/>
      </c>
      <c r="AD59" s="180" t="str">
        <f t="array" ref="AD59">INDEX(AC:AC,SMALL(IF($AC$2:$AC$516&lt;&gt;"",ROW($2:$516),517),ROW(AC58)))&amp;""</f>
        <v/>
      </c>
      <c r="AE59" s="198" t="str">
        <f t="shared" si="3"/>
        <v/>
      </c>
      <c r="AJ59" s="250">
        <v>58</v>
      </c>
      <c r="AK59" s="180" t="str">
        <f>IF(法术书!Y15="","",法术书!Y15)</f>
        <v/>
      </c>
      <c r="AL59" s="119" t="str">
        <f t="array" ref="AL59">IFERROR(INDEX(AK$1:AK$301,SMALL(IF(MATCH(AK59,AK$1:AK$301,0)=ROW(AK59),ROW(AK$1:AK$301),999),ROW(AK59))),"")</f>
        <v/>
      </c>
      <c r="AM59" s="120" t="str">
        <f t="array" ref="AM59">INDEX(AL:AL,SMALL(IF($AL$2:$AL$301&lt;&gt;"",ROW($2:$301),302),ROW(AL58)))&amp;""</f>
        <v/>
      </c>
    </row>
    <row r="60" spans="1:39" ht="14.4" customHeight="1" x14ac:dyDescent="0.25">
      <c r="A60" s="250">
        <v>58</v>
      </c>
      <c r="B60" s="119" t="s">
        <v>6591</v>
      </c>
      <c r="C60" s="119" t="s">
        <v>6592</v>
      </c>
      <c r="E60" s="379" t="s">
        <v>6328</v>
      </c>
      <c r="F60" s="180" t="s">
        <v>6352</v>
      </c>
      <c r="G60" s="180" t="s">
        <v>6313</v>
      </c>
      <c r="H60" s="180">
        <v>1</v>
      </c>
      <c r="M60" s="180">
        <v>1</v>
      </c>
      <c r="N60" s="180" t="s">
        <v>6306</v>
      </c>
      <c r="O60" s="119" t="s">
        <v>6593</v>
      </c>
      <c r="P60" s="119">
        <v>1</v>
      </c>
      <c r="Q60" s="119" t="s">
        <v>242</v>
      </c>
      <c r="U60" s="180">
        <v>1</v>
      </c>
      <c r="AA60" s="120" t="s">
        <v>6594</v>
      </c>
      <c r="AB60" s="250" t="str">
        <f t="array" ref="AB60">INDEX(B:B,SMALL(IF($Q$3:$Q$517&lt;&gt;"",ROW($3:$517),518),ROW(B59)))&amp;""</f>
        <v>通晓语言</v>
      </c>
      <c r="AC60" s="394" t="str">
        <f>IFERROR(IF(AND($Q61&lt;&gt;"",IF(法术查询!$J$4="",1,INDEX($R61:$Z61,1,VLOOKUP(法术查询!$J$4,$AF$2:$AG$10,2,0)))&lt;&gt;"",IF(法术查询!$J$5="",1,$P61=VLOOKUP(法术查询!$J$5,$AH$2:$AI$11,2,0)),IF(法术查询!$J$6="",1,IF(法术查询!$J$6=$E61,1,0)),IF(法术查询!$J$7="",1,SEARCH(法术查询!$J$7,$F61)),IF(法术查询!$J$8="",1,SEARCH(法术查询!$J$8,G61)),IF(法术查询!$J$9="",1,SEARCH(法术查询!$J$9,N61)),IF(法术查询!$J$10="",1,IF(法术查询!$J$10=$AF$11,IF($M61=1,1,0),IF($M61="",1,0))),IF(法术查询!$J$11="",1,IF(法术查询!$J$11=$AF$11,IF($D61=1,1,0),IF($D61="",1,0))),IF(法术查询!$J$12="",1,SEARCH(法术查询!$J$12,$B61&amp;$C61&amp;$O61)),IF(法术查询!$J$13="",1,SEARCH(法术查询!$J$13,$B61&amp;$C61&amp;$O61)),IF(法术查询!$J$14="",1,SEARCH(法术查询!$J$14,$B61&amp;$C61&amp;$O61)),IF(法术查询!$J$16="",1,IF(法术查询!$J$16=$AF$11,IF($H61=1,1,0),IF($H61="",1,0))),IF(法术查询!$J$17="",1,IF(法术查询!$J$17=$AF$11,IF($I61=1,1,0),IF($I61="",1,0))),IF(法术查询!$J$18="",1,IF(法术查询!$J$18=$AF$11,IF($J61&lt;&gt;"",1,0),IF($J61="",1,0))),IF(法术查询!$J$19="",1,IF(法术查询!$J$19=$AF$11,IF($L61&lt;&gt;"",1,0),IF($L61="",1,0)))),$B61,""),"")</f>
        <v/>
      </c>
      <c r="AD60" s="180" t="str">
        <f t="array" ref="AD60">INDEX(AC:AC,SMALL(IF($AC$2:$AC$516&lt;&gt;"",ROW($2:$516),517),ROW(AC59)))&amp;""</f>
        <v/>
      </c>
      <c r="AE60" s="198" t="str">
        <f t="shared" si="3"/>
        <v/>
      </c>
      <c r="AJ60" s="250">
        <v>59</v>
      </c>
      <c r="AK60" s="180" t="str">
        <f>IF(法术书!Y16="","",法术书!Y16)</f>
        <v/>
      </c>
      <c r="AL60" s="119" t="str">
        <f t="array" ref="AL60">IFERROR(INDEX(AK$1:AK$301,SMALL(IF(MATCH(AK60,AK$1:AK$301,0)=ROW(AK60),ROW(AK$1:AK$301),999),ROW(AK60))),"")</f>
        <v/>
      </c>
      <c r="AM60" s="120" t="str">
        <f t="array" ref="AM60">INDEX(AL:AL,SMALL(IF($AL$2:$AL$301&lt;&gt;"",ROW($2:$301),302),ROW(AL59)))&amp;""</f>
        <v/>
      </c>
    </row>
    <row r="61" spans="1:39" ht="14.4" customHeight="1" x14ac:dyDescent="0.25">
      <c r="A61" s="250">
        <v>59</v>
      </c>
      <c r="B61" s="119" t="s">
        <v>6595</v>
      </c>
      <c r="C61" s="119" t="s">
        <v>6596</v>
      </c>
      <c r="D61" s="180">
        <v>1</v>
      </c>
      <c r="E61" s="438" t="s">
        <v>6335</v>
      </c>
      <c r="F61" s="180" t="s">
        <v>6282</v>
      </c>
      <c r="G61" s="180" t="s">
        <v>6291</v>
      </c>
      <c r="H61" s="180">
        <v>1</v>
      </c>
      <c r="I61" s="180">
        <v>1</v>
      </c>
      <c r="J61" s="180">
        <v>1</v>
      </c>
      <c r="K61" s="119" t="s">
        <v>6597</v>
      </c>
      <c r="L61" s="119"/>
      <c r="N61" s="180" t="s">
        <v>6344</v>
      </c>
      <c r="O61" s="119" t="s">
        <v>6598</v>
      </c>
      <c r="P61" s="119">
        <v>1</v>
      </c>
      <c r="Q61" s="119" t="s">
        <v>242</v>
      </c>
      <c r="R61" s="180">
        <v>1</v>
      </c>
      <c r="W61" s="180">
        <v>1</v>
      </c>
      <c r="X61" s="180">
        <v>1</v>
      </c>
      <c r="Y61" s="180">
        <v>1</v>
      </c>
      <c r="AA61" s="120" t="s">
        <v>6599</v>
      </c>
      <c r="AB61" s="250" t="str">
        <f t="array" ref="AB61">INDEX(B:B,SMALL(IF($Q$3:$Q$517&lt;&gt;"",ROW($3:$517),518),ROW(B60)))&amp;""</f>
        <v>造水/枯水术</v>
      </c>
      <c r="AC61" s="394" t="str">
        <f>IFERROR(IF(AND($Q62&lt;&gt;"",IF(法术查询!$J$4="",1,INDEX($R62:$Z62,1,VLOOKUP(法术查询!$J$4,$AF$2:$AG$10,2,0)))&lt;&gt;"",IF(法术查询!$J$5="",1,$P62=VLOOKUP(法术查询!$J$5,$AH$2:$AI$11,2,0)),IF(法术查询!$J$6="",1,IF(法术查询!$J$6=$E62,1,0)),IF(法术查询!$J$7="",1,SEARCH(法术查询!$J$7,$F62)),IF(法术查询!$J$8="",1,SEARCH(法术查询!$J$8,G62)),IF(法术查询!$J$9="",1,SEARCH(法术查询!$J$9,N62)),IF(法术查询!$J$10="",1,IF(法术查询!$J$10=$AF$11,IF($M62=1,1,0),IF($M62="",1,0))),IF(法术查询!$J$11="",1,IF(法术查询!$J$11=$AF$11,IF($D62=1,1,0),IF($D62="",1,0))),IF(法术查询!$J$12="",1,SEARCH(法术查询!$J$12,$B62&amp;$C62&amp;$O62)),IF(法术查询!$J$13="",1,SEARCH(法术查询!$J$13,$B62&amp;$C62&amp;$O62)),IF(法术查询!$J$14="",1,SEARCH(法术查询!$J$14,$B62&amp;$C62&amp;$O62)),IF(法术查询!$J$16="",1,IF(法术查询!$J$16=$AF$11,IF($H62=1,1,0),IF($H62="",1,0))),IF(法术查询!$J$17="",1,IF(法术查询!$J$17=$AF$11,IF($I62=1,1,0),IF($I62="",1,0))),IF(法术查询!$J$18="",1,IF(法术查询!$J$18=$AF$11,IF($J62&lt;&gt;"",1,0),IF($J62="",1,0))),IF(法术查询!$J$19="",1,IF(法术查询!$J$19=$AF$11,IF($L62&lt;&gt;"",1,0),IF($L62="",1,0)))),$B62,""),"")</f>
        <v/>
      </c>
      <c r="AD61" s="180" t="str">
        <f t="array" ref="AD61">INDEX(AC:AC,SMALL(IF($AC$2:$AC$516&lt;&gt;"",ROW($2:$516),517),ROW(AC60)))&amp;""</f>
        <v/>
      </c>
      <c r="AE61" s="198" t="str">
        <f t="shared" si="3"/>
        <v/>
      </c>
      <c r="AJ61" s="250">
        <v>60</v>
      </c>
      <c r="AK61" s="180" t="str">
        <f>IF(法术书!Y17="","",法术书!Y17)</f>
        <v/>
      </c>
      <c r="AL61" s="119" t="str">
        <f t="array" ref="AL61">IFERROR(INDEX(AK$1:AK$301,SMALL(IF(MATCH(AK61,AK$1:AK$301,0)=ROW(AK61),ROW(AK$1:AK$301),999),ROW(AK61))),"")</f>
        <v/>
      </c>
      <c r="AM61" s="120" t="str">
        <f t="array" ref="AM61">INDEX(AL:AL,SMALL(IF($AL$2:$AL$301&lt;&gt;"",ROW($2:$301),302),ROW(AL60)))&amp;""</f>
        <v/>
      </c>
    </row>
    <row r="62" spans="1:39" ht="14.4" customHeight="1" x14ac:dyDescent="0.25">
      <c r="A62" s="250">
        <v>60</v>
      </c>
      <c r="B62" s="119" t="s">
        <v>6600</v>
      </c>
      <c r="C62" s="119" t="s">
        <v>6601</v>
      </c>
      <c r="E62" s="435" t="s">
        <v>6312</v>
      </c>
      <c r="F62" s="180" t="s">
        <v>6282</v>
      </c>
      <c r="G62" s="180" t="s">
        <v>6313</v>
      </c>
      <c r="H62" s="180">
        <v>1</v>
      </c>
      <c r="I62" s="180">
        <v>1</v>
      </c>
      <c r="J62" s="180">
        <v>1</v>
      </c>
      <c r="K62" s="119" t="s">
        <v>6602</v>
      </c>
      <c r="L62" s="119"/>
      <c r="N62" s="180" t="s">
        <v>6284</v>
      </c>
      <c r="O62" s="119" t="s">
        <v>6603</v>
      </c>
      <c r="P62" s="119">
        <v>1</v>
      </c>
      <c r="Q62" s="119" t="s">
        <v>242</v>
      </c>
      <c r="S62" s="180">
        <v>1</v>
      </c>
      <c r="T62" s="180">
        <v>1</v>
      </c>
      <c r="AA62" s="120" t="s">
        <v>6604</v>
      </c>
      <c r="AB62" s="250" t="str">
        <f t="array" ref="AB62">INDEX(B:B,SMALL(IF($Q$3:$Q$517&lt;&gt;"",ROW($3:$517),518),ROW(B61)))&amp;""</f>
        <v>疗伤术</v>
      </c>
      <c r="AC62" s="394" t="str">
        <f>IFERROR(IF(AND($Q63&lt;&gt;"",IF(法术查询!$J$4="",1,INDEX($R63:$Z63,1,VLOOKUP(法术查询!$J$4,$AF$2:$AG$10,2,0)))&lt;&gt;"",IF(法术查询!$J$5="",1,$P63=VLOOKUP(法术查询!$J$5,$AH$2:$AI$11,2,0)),IF(法术查询!$J$6="",1,IF(法术查询!$J$6=$E63,1,0)),IF(法术查询!$J$7="",1,SEARCH(法术查询!$J$7,$F63)),IF(法术查询!$J$8="",1,SEARCH(法术查询!$J$8,G63)),IF(法术查询!$J$9="",1,SEARCH(法术查询!$J$9,N63)),IF(法术查询!$J$10="",1,IF(法术查询!$J$10=$AF$11,IF($M63=1,1,0),IF($M63="",1,0))),IF(法术查询!$J$11="",1,IF(法术查询!$J$11=$AF$11,IF($D63=1,1,0),IF($D63="",1,0))),IF(法术查询!$J$12="",1,SEARCH(法术查询!$J$12,$B63&amp;$C63&amp;$O63)),IF(法术查询!$J$13="",1,SEARCH(法术查询!$J$13,$B63&amp;$C63&amp;$O63)),IF(法术查询!$J$14="",1,SEARCH(法术查询!$J$14,$B63&amp;$C63&amp;$O63)),IF(法术查询!$J$16="",1,IF(法术查询!$J$16=$AF$11,IF($H63=1,1,0),IF($H63="",1,0))),IF(法术查询!$J$17="",1,IF(法术查询!$J$17=$AF$11,IF($I63=1,1,0),IF($I63="",1,0))),IF(法术查询!$J$18="",1,IF(法术查询!$J$18=$AF$11,IF($J63&lt;&gt;"",1,0),IF($J63="",1,0))),IF(法术查询!$J$19="",1,IF(法术查询!$J$19=$AF$11,IF($L63&lt;&gt;"",1,0),IF($L63="",1,0)))),$B63,""),"")</f>
        <v/>
      </c>
      <c r="AD62" s="180" t="str">
        <f t="array" ref="AD62">INDEX(AC:AC,SMALL(IF($AC$2:$AC$516&lt;&gt;"",ROW($2:$516),517),ROW(AC61)))&amp;""</f>
        <v/>
      </c>
      <c r="AE62" s="198" t="str">
        <f t="shared" si="3"/>
        <v/>
      </c>
      <c r="AJ62" s="250">
        <v>61</v>
      </c>
      <c r="AK62" s="180" t="str">
        <f>IF(法术书!Y18="","",法术书!Y18)</f>
        <v/>
      </c>
      <c r="AL62" s="119" t="str">
        <f t="array" ref="AL62">IFERROR(INDEX(AK$1:AK$301,SMALL(IF(MATCH(AK62,AK$1:AK$301,0)=ROW(AK62),ROW(AK$1:AK$301),999),ROW(AK62))),"")</f>
        <v/>
      </c>
      <c r="AM62" s="120" t="str">
        <f t="array" ref="AM62">INDEX(AL:AL,SMALL(IF($AL$2:$AL$301&lt;&gt;"",ROW($2:$301),302),ROW(AL61)))&amp;""</f>
        <v/>
      </c>
    </row>
    <row r="63" spans="1:39" ht="14.4" customHeight="1" x14ac:dyDescent="0.25">
      <c r="A63" s="250">
        <v>61</v>
      </c>
      <c r="B63" s="119" t="s">
        <v>6605</v>
      </c>
      <c r="C63" s="119" t="s">
        <v>6606</v>
      </c>
      <c r="E63" s="434" t="s">
        <v>6304</v>
      </c>
      <c r="F63" s="180" t="s">
        <v>6282</v>
      </c>
      <c r="G63" s="180" t="s">
        <v>3682</v>
      </c>
      <c r="H63" s="180">
        <v>1</v>
      </c>
      <c r="I63" s="180">
        <v>1</v>
      </c>
      <c r="N63" s="180" t="s">
        <v>6284</v>
      </c>
      <c r="O63" s="119" t="s">
        <v>6607</v>
      </c>
      <c r="P63" s="119">
        <v>1</v>
      </c>
      <c r="Q63" s="119" t="s">
        <v>242</v>
      </c>
      <c r="R63" s="180">
        <v>1</v>
      </c>
      <c r="S63" s="180">
        <v>1</v>
      </c>
      <c r="T63" s="180">
        <v>1</v>
      </c>
      <c r="U63" s="180">
        <v>1</v>
      </c>
      <c r="V63" s="180">
        <v>1</v>
      </c>
      <c r="Z63" s="180">
        <v>9</v>
      </c>
      <c r="AA63" s="120" t="s">
        <v>6608</v>
      </c>
      <c r="AB63" s="250" t="str">
        <f t="array" ref="AB63">INDEX(B:B,SMALL(IF($Q$3:$Q$517&lt;&gt;"",ROW($3:$517),518),ROW(B62)))&amp;""</f>
        <v>侦测善恶</v>
      </c>
      <c r="AC63" s="394" t="str">
        <f>IFERROR(IF(AND($Q64&lt;&gt;"",IF(法术查询!$J$4="",1,INDEX($R64:$Z64,1,VLOOKUP(法术查询!$J$4,$AF$2:$AG$10,2,0)))&lt;&gt;"",IF(法术查询!$J$5="",1,$P64=VLOOKUP(法术查询!$J$5,$AH$2:$AI$11,2,0)),IF(法术查询!$J$6="",1,IF(法术查询!$J$6=$E64,1,0)),IF(法术查询!$J$7="",1,SEARCH(法术查询!$J$7,$F64)),IF(法术查询!$J$8="",1,SEARCH(法术查询!$J$8,G64)),IF(法术查询!$J$9="",1,SEARCH(法术查询!$J$9,N64)),IF(法术查询!$J$10="",1,IF(法术查询!$J$10=$AF$11,IF($M64=1,1,0),IF($M64="",1,0))),IF(法术查询!$J$11="",1,IF(法术查询!$J$11=$AF$11,IF($D64=1,1,0),IF($D64="",1,0))),IF(法术查询!$J$12="",1,SEARCH(法术查询!$J$12,$B64&amp;$C64&amp;$O64)),IF(法术查询!$J$13="",1,SEARCH(法术查询!$J$13,$B64&amp;$C64&amp;$O64)),IF(法术查询!$J$14="",1,SEARCH(法术查询!$J$14,$B64&amp;$C64&amp;$O64)),IF(法术查询!$J$16="",1,IF(法术查询!$J$16=$AF$11,IF($H64=1,1,0),IF($H64="",1,0))),IF(法术查询!$J$17="",1,IF(法术查询!$J$17=$AF$11,IF($I64=1,1,0),IF($I64="",1,0))),IF(法术查询!$J$18="",1,IF(法术查询!$J$18=$AF$11,IF($J64&lt;&gt;"",1,0),IF($J64="",1,0))),IF(法术查询!$J$19="",1,IF(法术查询!$J$19=$AF$11,IF($L64&lt;&gt;"",1,0),IF($L64="",1,0)))),$B64,""),"")</f>
        <v/>
      </c>
      <c r="AD63" s="180" t="str">
        <f t="array" ref="AD63">INDEX(AC:AC,SMALL(IF($AC$2:$AC$516&lt;&gt;"",ROW($2:$516),517),ROW(AC62)))&amp;""</f>
        <v/>
      </c>
      <c r="AE63" s="198" t="str">
        <f t="shared" si="3"/>
        <v/>
      </c>
      <c r="AJ63" s="250">
        <v>62</v>
      </c>
      <c r="AK63" s="180" t="str">
        <f>IF(法术书!Y19="","",法术书!Y19)</f>
        <v/>
      </c>
      <c r="AL63" s="119" t="str">
        <f t="array" ref="AL63">IFERROR(INDEX(AK$1:AK$301,SMALL(IF(MATCH(AK63,AK$1:AK$301,0)=ROW(AK63),ROW(AK$1:AK$301),999),ROW(AK63))),"")</f>
        <v/>
      </c>
      <c r="AM63" s="120" t="str">
        <f t="array" ref="AM63">INDEX(AL:AL,SMALL(IF($AL$2:$AL$301&lt;&gt;"",ROW($2:$301),302),ROW(AL62)))&amp;""</f>
        <v/>
      </c>
    </row>
    <row r="64" spans="1:39" ht="14.4" customHeight="1" x14ac:dyDescent="0.25">
      <c r="A64" s="250">
        <v>62</v>
      </c>
      <c r="B64" s="119" t="s">
        <v>6609</v>
      </c>
      <c r="C64" s="119" t="s">
        <v>6610</v>
      </c>
      <c r="E64" s="438" t="s">
        <v>6335</v>
      </c>
      <c r="F64" s="180" t="s">
        <v>6282</v>
      </c>
      <c r="G64" s="180" t="s">
        <v>6291</v>
      </c>
      <c r="H64" s="180">
        <v>1</v>
      </c>
      <c r="I64" s="180">
        <v>1</v>
      </c>
      <c r="M64" s="180">
        <v>1</v>
      </c>
      <c r="N64" s="180" t="s">
        <v>6471</v>
      </c>
      <c r="O64" s="119" t="s">
        <v>6611</v>
      </c>
      <c r="P64" s="119">
        <v>1</v>
      </c>
      <c r="Q64" s="119" t="s">
        <v>242</v>
      </c>
      <c r="S64" s="180">
        <v>1</v>
      </c>
      <c r="U64" s="180">
        <v>1</v>
      </c>
      <c r="AA64" s="120" t="s">
        <v>6612</v>
      </c>
      <c r="AB64" s="250" t="str">
        <f t="array" ref="AB64">INDEX(B:B,SMALL(IF($Q$3:$Q$517&lt;&gt;"",ROW($3:$517),518),ROW(B63)))&amp;""</f>
        <v>侦测魔法</v>
      </c>
      <c r="AC64" s="394" t="str">
        <f>IFERROR(IF(AND($Q65&lt;&gt;"",IF(法术查询!$J$4="",1,INDEX($R65:$Z65,1,VLOOKUP(法术查询!$J$4,$AF$2:$AG$10,2,0)))&lt;&gt;"",IF(法术查询!$J$5="",1,$P65=VLOOKUP(法术查询!$J$5,$AH$2:$AI$11,2,0)),IF(法术查询!$J$6="",1,IF(法术查询!$J$6=$E65,1,0)),IF(法术查询!$J$7="",1,SEARCH(法术查询!$J$7,$F65)),IF(法术查询!$J$8="",1,SEARCH(法术查询!$J$8,G65)),IF(法术查询!$J$9="",1,SEARCH(法术查询!$J$9,N65)),IF(法术查询!$J$10="",1,IF(法术查询!$J$10=$AF$11,IF($M65=1,1,0),IF($M65="",1,0))),IF(法术查询!$J$11="",1,IF(法术查询!$J$11=$AF$11,IF($D65=1,1,0),IF($D65="",1,0))),IF(法术查询!$J$12="",1,SEARCH(法术查询!$J$12,$B65&amp;$C65&amp;$O65)),IF(法术查询!$J$13="",1,SEARCH(法术查询!$J$13,$B65&amp;$C65&amp;$O65)),IF(法术查询!$J$14="",1,SEARCH(法术查询!$J$14,$B65&amp;$C65&amp;$O65)),IF(法术查询!$J$16="",1,IF(法术查询!$J$16=$AF$11,IF($H65=1,1,0),IF($H65="",1,0))),IF(法术查询!$J$17="",1,IF(法术查询!$J$17=$AF$11,IF($I65=1,1,0),IF($I65="",1,0))),IF(法术查询!$J$18="",1,IF(法术查询!$J$18=$AF$11,IF($J65&lt;&gt;"",1,0),IF($J65="",1,0))),IF(法术查询!$J$19="",1,IF(法术查询!$J$19=$AF$11,IF($L65&lt;&gt;"",1,0),IF($L65="",1,0)))),$B65,""),"")</f>
        <v/>
      </c>
      <c r="AD64" s="180" t="str">
        <f t="array" ref="AD64">INDEX(AC:AC,SMALL(IF($AC$2:$AC$516&lt;&gt;"",ROW($2:$516),517),ROW(AC63)))&amp;""</f>
        <v/>
      </c>
      <c r="AE64" s="198" t="str">
        <f t="shared" si="3"/>
        <v/>
      </c>
      <c r="AJ64" s="250">
        <v>63</v>
      </c>
      <c r="AK64" s="180" t="str">
        <f>IF(法术书!Y20="","",法术书!Y20)</f>
        <v/>
      </c>
      <c r="AL64" s="119" t="str">
        <f t="array" ref="AL64">IFERROR(INDEX(AK$1:AK$301,SMALL(IF(MATCH(AK64,AK$1:AK$301,0)=ROW(AK64),ROW(AK$1:AK$301),999),ROW(AK64))),"")</f>
        <v/>
      </c>
      <c r="AM64" s="120" t="str">
        <f t="array" ref="AM64">INDEX(AL:AL,SMALL(IF($AL$2:$AL$301&lt;&gt;"",ROW($2:$301),302),ROW(AL63)))&amp;""</f>
        <v/>
      </c>
    </row>
    <row r="65" spans="1:39" ht="14.4" customHeight="1" x14ac:dyDescent="0.25">
      <c r="A65" s="250">
        <v>63</v>
      </c>
      <c r="B65" s="119" t="s">
        <v>6613</v>
      </c>
      <c r="C65" s="119" t="s">
        <v>6614</v>
      </c>
      <c r="D65" s="180">
        <v>1</v>
      </c>
      <c r="E65" s="438" t="s">
        <v>6335</v>
      </c>
      <c r="F65" s="180" t="s">
        <v>6282</v>
      </c>
      <c r="G65" s="180" t="s">
        <v>6291</v>
      </c>
      <c r="H65" s="180">
        <v>1</v>
      </c>
      <c r="I65" s="180">
        <v>1</v>
      </c>
      <c r="M65" s="180">
        <v>1</v>
      </c>
      <c r="N65" s="180" t="s">
        <v>6471</v>
      </c>
      <c r="O65" s="119" t="s">
        <v>6615</v>
      </c>
      <c r="P65" s="119">
        <v>1</v>
      </c>
      <c r="Q65" s="119" t="s">
        <v>242</v>
      </c>
      <c r="R65" s="180">
        <v>1</v>
      </c>
      <c r="S65" s="180">
        <v>1</v>
      </c>
      <c r="T65" s="180">
        <v>1</v>
      </c>
      <c r="U65" s="180">
        <v>1</v>
      </c>
      <c r="V65" s="180">
        <v>1</v>
      </c>
      <c r="W65" s="180">
        <v>1</v>
      </c>
      <c r="X65" s="180">
        <v>1</v>
      </c>
      <c r="Z65" s="180">
        <v>9</v>
      </c>
      <c r="AA65" s="120" t="s">
        <v>6616</v>
      </c>
      <c r="AB65" s="250" t="str">
        <f t="array" ref="AB65">INDEX(B:B,SMALL(IF($Q$3:$Q$517&lt;&gt;"",ROW($3:$517),518),ROW(B64)))&amp;""</f>
        <v>侦测毒性和疾病</v>
      </c>
      <c r="AC65" s="394" t="str">
        <f>IFERROR(IF(AND($Q66&lt;&gt;"",IF(法术查询!$J$4="",1,INDEX($R66:$Z66,1,VLOOKUP(法术查询!$J$4,$AF$2:$AG$10,2,0)))&lt;&gt;"",IF(法术查询!$J$5="",1,$P66=VLOOKUP(法术查询!$J$5,$AH$2:$AI$11,2,0)),IF(法术查询!$J$6="",1,IF(法术查询!$J$6=$E66,1,0)),IF(法术查询!$J$7="",1,SEARCH(法术查询!$J$7,$F66)),IF(法术查询!$J$8="",1,SEARCH(法术查询!$J$8,G66)),IF(法术查询!$J$9="",1,SEARCH(法术查询!$J$9,N66)),IF(法术查询!$J$10="",1,IF(法术查询!$J$10=$AF$11,IF($M66=1,1,0),IF($M66="",1,0))),IF(法术查询!$J$11="",1,IF(法术查询!$J$11=$AF$11,IF($D66=1,1,0),IF($D66="",1,0))),IF(法术查询!$J$12="",1,SEARCH(法术查询!$J$12,$B66&amp;$C66&amp;$O66)),IF(法术查询!$J$13="",1,SEARCH(法术查询!$J$13,$B66&amp;$C66&amp;$O66)),IF(法术查询!$J$14="",1,SEARCH(法术查询!$J$14,$B66&amp;$C66&amp;$O66)),IF(法术查询!$J$16="",1,IF(法术查询!$J$16=$AF$11,IF($H66=1,1,0),IF($H66="",1,0))),IF(法术查询!$J$17="",1,IF(法术查询!$J$17=$AF$11,IF($I66=1,1,0),IF($I66="",1,0))),IF(法术查询!$J$18="",1,IF(法术查询!$J$18=$AF$11,IF($J66&lt;&gt;"",1,0),IF($J66="",1,0))),IF(法术查询!$J$19="",1,IF(法术查询!$J$19=$AF$11,IF($L66&lt;&gt;"",1,0),IF($L66="",1,0)))),$B66,""),"")</f>
        <v/>
      </c>
      <c r="AD65" s="180" t="str">
        <f t="array" ref="AD65">INDEX(AC:AC,SMALL(IF($AC$2:$AC$516&lt;&gt;"",ROW($2:$516),517),ROW(AC64)))&amp;""</f>
        <v/>
      </c>
      <c r="AE65" s="198" t="str">
        <f t="shared" si="3"/>
        <v/>
      </c>
      <c r="AJ65" s="250">
        <v>64</v>
      </c>
      <c r="AK65" s="180" t="str">
        <f>IF(法术书!Y21="","",法术书!Y21)</f>
        <v/>
      </c>
      <c r="AL65" s="119" t="str">
        <f t="array" ref="AL65">IFERROR(INDEX(AK$1:AK$301,SMALL(IF(MATCH(AK65,AK$1:AK$301,0)=ROW(AK65),ROW(AK$1:AK$301),999),ROW(AK65))),"")</f>
        <v/>
      </c>
      <c r="AM65" s="120" t="str">
        <f t="array" ref="AM65">INDEX(AL:AL,SMALL(IF($AL$2:$AL$301&lt;&gt;"",ROW($2:$301),302),ROW(AL64)))&amp;""</f>
        <v/>
      </c>
    </row>
    <row r="66" spans="1:39" ht="14.4" customHeight="1" x14ac:dyDescent="0.25">
      <c r="A66" s="250">
        <v>64</v>
      </c>
      <c r="B66" s="119" t="s">
        <v>6617</v>
      </c>
      <c r="C66" s="119" t="s">
        <v>6618</v>
      </c>
      <c r="D66" s="180">
        <v>1</v>
      </c>
      <c r="E66" s="438" t="s">
        <v>6335</v>
      </c>
      <c r="F66" s="180" t="s">
        <v>6282</v>
      </c>
      <c r="G66" s="180" t="s">
        <v>6291</v>
      </c>
      <c r="H66" s="180">
        <v>1</v>
      </c>
      <c r="I66" s="180">
        <v>1</v>
      </c>
      <c r="J66" s="180">
        <v>1</v>
      </c>
      <c r="K66" s="119" t="s">
        <v>6619</v>
      </c>
      <c r="L66" s="119"/>
      <c r="M66" s="180">
        <v>1</v>
      </c>
      <c r="N66" s="180" t="s">
        <v>6471</v>
      </c>
      <c r="O66" s="119" t="s">
        <v>6620</v>
      </c>
      <c r="P66" s="119">
        <v>1</v>
      </c>
      <c r="Q66" s="119" t="s">
        <v>242</v>
      </c>
      <c r="S66" s="180">
        <v>1</v>
      </c>
      <c r="T66" s="180">
        <v>1</v>
      </c>
      <c r="U66" s="180">
        <v>1</v>
      </c>
      <c r="V66" s="180">
        <v>1</v>
      </c>
      <c r="AA66" s="120" t="s">
        <v>6621</v>
      </c>
      <c r="AB66" s="250" t="str">
        <f t="array" ref="AB66">INDEX(B:B,SMALL(IF($Q$3:$Q$517&lt;&gt;"",ROW($3:$517),518),ROW(B65)))&amp;""</f>
        <v>易容术</v>
      </c>
      <c r="AC66" s="394" t="str">
        <f>IFERROR(IF(AND($Q67&lt;&gt;"",IF(法术查询!$J$4="",1,INDEX($R67:$Z67,1,VLOOKUP(法术查询!$J$4,$AF$2:$AG$10,2,0)))&lt;&gt;"",IF(法术查询!$J$5="",1,$P67=VLOOKUP(法术查询!$J$5,$AH$2:$AI$11,2,0)),IF(法术查询!$J$6="",1,IF(法术查询!$J$6=$E67,1,0)),IF(法术查询!$J$7="",1,SEARCH(法术查询!$J$7,$F67)),IF(法术查询!$J$8="",1,SEARCH(法术查询!$J$8,G67)),IF(法术查询!$J$9="",1,SEARCH(法术查询!$J$9,N67)),IF(法术查询!$J$10="",1,IF(法术查询!$J$10=$AF$11,IF($M67=1,1,0),IF($M67="",1,0))),IF(法术查询!$J$11="",1,IF(法术查询!$J$11=$AF$11,IF($D67=1,1,0),IF($D67="",1,0))),IF(法术查询!$J$12="",1,SEARCH(法术查询!$J$12,$B67&amp;$C67&amp;$O67)),IF(法术查询!$J$13="",1,SEARCH(法术查询!$J$13,$B67&amp;$C67&amp;$O67)),IF(法术查询!$J$14="",1,SEARCH(法术查询!$J$14,$B67&amp;$C67&amp;$O67)),IF(法术查询!$J$16="",1,IF(法术查询!$J$16=$AF$11,IF($H67=1,1,0),IF($H67="",1,0))),IF(法术查询!$J$17="",1,IF(法术查询!$J$17=$AF$11,IF($I67=1,1,0),IF($I67="",1,0))),IF(法术查询!$J$18="",1,IF(法术查询!$J$18=$AF$11,IF($J67&lt;&gt;"",1,0),IF($J67="",1,0))),IF(法术查询!$J$19="",1,IF(法术查询!$J$19=$AF$11,IF($L67&lt;&gt;"",1,0),IF($L67="",1,0)))),$B67,""),"")</f>
        <v/>
      </c>
      <c r="AD66" s="180" t="str">
        <f t="array" ref="AD66">INDEX(AC:AC,SMALL(IF($AC$2:$AC$516&lt;&gt;"",ROW($2:$516),517),ROW(AC65)))&amp;""</f>
        <v/>
      </c>
      <c r="AE66" s="198" t="str">
        <f t="shared" si="3"/>
        <v/>
      </c>
      <c r="AJ66" s="250">
        <v>65</v>
      </c>
      <c r="AK66" s="180" t="str">
        <f>IF(法术书!Y22="","",法术书!Y22)</f>
        <v/>
      </c>
      <c r="AL66" s="119" t="str">
        <f t="array" ref="AL66">IFERROR(INDEX(AK$1:AK$301,SMALL(IF(MATCH(AK66,AK$1:AK$301,0)=ROW(AK66),ROW(AK$1:AK$301),999),ROW(AK66))),"")</f>
        <v/>
      </c>
      <c r="AM66" s="120" t="str">
        <f t="array" ref="AM66">INDEX(AL:AL,SMALL(IF($AL$2:$AL$301&lt;&gt;"",ROW($2:$301),302),ROW(AL65)))&amp;""</f>
        <v/>
      </c>
    </row>
    <row r="67" spans="1:39" ht="14.4" customHeight="1" x14ac:dyDescent="0.25">
      <c r="A67" s="250">
        <v>65</v>
      </c>
      <c r="B67" s="119" t="s">
        <v>6622</v>
      </c>
      <c r="C67" s="119" t="s">
        <v>6623</v>
      </c>
      <c r="E67" s="285" t="s">
        <v>6366</v>
      </c>
      <c r="F67" s="180" t="s">
        <v>6282</v>
      </c>
      <c r="G67" s="180" t="s">
        <v>6291</v>
      </c>
      <c r="H67" s="180">
        <v>1</v>
      </c>
      <c r="I67" s="180">
        <v>1</v>
      </c>
      <c r="N67" s="180" t="s">
        <v>6344</v>
      </c>
      <c r="O67" s="119" t="s">
        <v>6624</v>
      </c>
      <c r="P67" s="119">
        <v>1</v>
      </c>
      <c r="Q67" s="119" t="s">
        <v>242</v>
      </c>
      <c r="R67" s="180">
        <v>1</v>
      </c>
      <c r="W67" s="180">
        <v>1</v>
      </c>
      <c r="X67" s="180">
        <v>1</v>
      </c>
      <c r="Z67" s="180">
        <v>9</v>
      </c>
      <c r="AA67" s="120" t="s">
        <v>6625</v>
      </c>
      <c r="AB67" s="250" t="str">
        <f t="array" ref="AB67">INDEX(B:B,SMALL(IF($Q$3:$Q$517&lt;&gt;"",ROW($3:$517),518),ROW(B66)))&amp;""</f>
        <v>不谐低语</v>
      </c>
      <c r="AC67" s="394" t="str">
        <f>IFERROR(IF(AND($Q68&lt;&gt;"",IF(法术查询!$J$4="",1,INDEX($R68:$Z68,1,VLOOKUP(法术查询!$J$4,$AF$2:$AG$10,2,0)))&lt;&gt;"",IF(法术查询!$J$5="",1,$P68=VLOOKUP(法术查询!$J$5,$AH$2:$AI$11,2,0)),IF(法术查询!$J$6="",1,IF(法术查询!$J$6=$E68,1,0)),IF(法术查询!$J$7="",1,SEARCH(法术查询!$J$7,$F68)),IF(法术查询!$J$8="",1,SEARCH(法术查询!$J$8,G68)),IF(法术查询!$J$9="",1,SEARCH(法术查询!$J$9,N68)),IF(法术查询!$J$10="",1,IF(法术查询!$J$10=$AF$11,IF($M68=1,1,0),IF($M68="",1,0))),IF(法术查询!$J$11="",1,IF(法术查询!$J$11=$AF$11,IF($D68=1,1,0),IF($D68="",1,0))),IF(法术查询!$J$12="",1,SEARCH(法术查询!$J$12,$B68&amp;$C68&amp;$O68)),IF(法术查询!$J$13="",1,SEARCH(法术查询!$J$13,$B68&amp;$C68&amp;$O68)),IF(法术查询!$J$14="",1,SEARCH(法术查询!$J$14,$B68&amp;$C68&amp;$O68)),IF(法术查询!$J$16="",1,IF(法术查询!$J$16=$AF$11,IF($H68=1,1,0),IF($H68="",1,0))),IF(法术查询!$J$17="",1,IF(法术查询!$J$17=$AF$11,IF($I68=1,1,0),IF($I68="",1,0))),IF(法术查询!$J$18="",1,IF(法术查询!$J$18=$AF$11,IF($J68&lt;&gt;"",1,0),IF($J68="",1,0))),IF(法术查询!$J$19="",1,IF(法术查询!$J$19=$AF$11,IF($L68&lt;&gt;"",1,0),IF($L68="",1,0)))),$B68,""),"")</f>
        <v/>
      </c>
      <c r="AD67" s="180" t="str">
        <f t="array" ref="AD67">INDEX(AC:AC,SMALL(IF($AC$2:$AC$516&lt;&gt;"",ROW($2:$516),517),ROW(AC66)))&amp;""</f>
        <v/>
      </c>
      <c r="AE67" s="198" t="str">
        <f t="shared" ref="AE67:AE130" si="5">IF(AD67="","",VLOOKUP(AD67,B:C,2,0))</f>
        <v/>
      </c>
      <c r="AJ67" s="250">
        <v>66</v>
      </c>
      <c r="AK67" s="180" t="str">
        <f>IF(法术书!Y23="","",法术书!Y23)</f>
        <v/>
      </c>
      <c r="AL67" s="119" t="str">
        <f t="array" ref="AL67">IFERROR(INDEX(AK$1:AK$301,SMALL(IF(MATCH(AK67,AK$1:AK$301,0)=ROW(AK67),ROW(AK$1:AK$301),999),ROW(AK67))),"")</f>
        <v/>
      </c>
      <c r="AM67" s="120" t="str">
        <f t="array" ref="AM67">INDEX(AL:AL,SMALL(IF($AL$2:$AL$301&lt;&gt;"",ROW($2:$301),302),ROW(AL66)))&amp;""</f>
        <v/>
      </c>
    </row>
    <row r="68" spans="1:39" ht="14.4" customHeight="1" x14ac:dyDescent="0.25">
      <c r="A68" s="250">
        <v>66</v>
      </c>
      <c r="B68" s="119" t="s">
        <v>6626</v>
      </c>
      <c r="C68" s="119" t="s">
        <v>6627</v>
      </c>
      <c r="E68" s="379" t="s">
        <v>6328</v>
      </c>
      <c r="F68" s="180" t="s">
        <v>6282</v>
      </c>
      <c r="G68" s="180" t="s">
        <v>6283</v>
      </c>
      <c r="H68" s="180">
        <v>1</v>
      </c>
      <c r="N68" s="180" t="s">
        <v>6284</v>
      </c>
      <c r="O68" s="119" t="s">
        <v>6628</v>
      </c>
      <c r="P68" s="119">
        <v>1</v>
      </c>
      <c r="Q68" s="119" t="s">
        <v>242</v>
      </c>
      <c r="R68" s="180">
        <v>1</v>
      </c>
      <c r="AA68" s="120" t="s">
        <v>6629</v>
      </c>
      <c r="AB68" s="250" t="str">
        <f t="array" ref="AB68">INDEX(B:B,SMALL(IF($Q$3:$Q$517&lt;&gt;"",ROW($3:$517),518),ROW(B67)))&amp;""</f>
        <v>神恩</v>
      </c>
      <c r="AC68" s="394" t="str">
        <f>IFERROR(IF(AND($Q69&lt;&gt;"",IF(法术查询!$J$4="",1,INDEX($R69:$Z69,1,VLOOKUP(法术查询!$J$4,$AF$2:$AG$10,2,0)))&lt;&gt;"",IF(法术查询!$J$5="",1,$P69=VLOOKUP(法术查询!$J$5,$AH$2:$AI$11,2,0)),IF(法术查询!$J$6="",1,IF(法术查询!$J$6=$E69,1,0)),IF(法术查询!$J$7="",1,SEARCH(法术查询!$J$7,$F69)),IF(法术查询!$J$8="",1,SEARCH(法术查询!$J$8,G69)),IF(法术查询!$J$9="",1,SEARCH(法术查询!$J$9,N69)),IF(法术查询!$J$10="",1,IF(法术查询!$J$10=$AF$11,IF($M69=1,1,0),IF($M69="",1,0))),IF(法术查询!$J$11="",1,IF(法术查询!$J$11=$AF$11,IF($D69=1,1,0),IF($D69="",1,0))),IF(法术查询!$J$12="",1,SEARCH(法术查询!$J$12,$B69&amp;$C69&amp;$O69)),IF(法术查询!$J$13="",1,SEARCH(法术查询!$J$13,$B69&amp;$C69&amp;$O69)),IF(法术查询!$J$14="",1,SEARCH(法术查询!$J$14,$B69&amp;$C69&amp;$O69)),IF(法术查询!$J$16="",1,IF(法术查询!$J$16=$AF$11,IF($H69=1,1,0),IF($H69="",1,0))),IF(法术查询!$J$17="",1,IF(法术查询!$J$17=$AF$11,IF($I69=1,1,0),IF($I69="",1,0))),IF(法术查询!$J$18="",1,IF(法术查询!$J$18=$AF$11,IF($J69&lt;&gt;"",1,0),IF($J69="",1,0))),IF(法术查询!$J$19="",1,IF(法术查询!$J$19=$AF$11,IF($L69&lt;&gt;"",1,0),IF($L69="",1,0)))),$B69,""),"")</f>
        <v/>
      </c>
      <c r="AD68" s="180" t="str">
        <f t="array" ref="AD68">INDEX(AC:AC,SMALL(IF($AC$2:$AC$516&lt;&gt;"",ROW($2:$516),517),ROW(AC67)))&amp;""</f>
        <v/>
      </c>
      <c r="AE68" s="198" t="str">
        <f t="shared" si="5"/>
        <v/>
      </c>
      <c r="AJ68" s="250">
        <v>67</v>
      </c>
      <c r="AK68" s="180" t="str">
        <f>IF(法术书!Y24="","",法术书!Y24)</f>
        <v/>
      </c>
      <c r="AL68" s="119" t="str">
        <f t="array" ref="AL68">IFERROR(INDEX(AK$1:AK$301,SMALL(IF(MATCH(AK68,AK$1:AK$301,0)=ROW(AK68),ROW(AK$1:AK$301),999),ROW(AK68))),"")</f>
        <v/>
      </c>
      <c r="AM68" s="120" t="str">
        <f t="array" ref="AM68">INDEX(AL:AL,SMALL(IF($AL$2:$AL$301&lt;&gt;"",ROW($2:$301),302),ROW(AL67)))&amp;""</f>
        <v/>
      </c>
    </row>
    <row r="69" spans="1:39" ht="14.4" customHeight="1" x14ac:dyDescent="0.25">
      <c r="A69" s="250">
        <v>67</v>
      </c>
      <c r="B69" s="119" t="s">
        <v>6630</v>
      </c>
      <c r="C69" s="119" t="s">
        <v>6631</v>
      </c>
      <c r="E69" s="434" t="s">
        <v>6304</v>
      </c>
      <c r="F69" s="180" t="s">
        <v>6352</v>
      </c>
      <c r="G69" s="180" t="s">
        <v>6291</v>
      </c>
      <c r="H69" s="180">
        <v>1</v>
      </c>
      <c r="I69" s="180">
        <v>1</v>
      </c>
      <c r="M69" s="180">
        <v>1</v>
      </c>
      <c r="N69" s="180" t="s">
        <v>6306</v>
      </c>
      <c r="O69" s="119" t="s">
        <v>6632</v>
      </c>
      <c r="P69" s="119">
        <v>1</v>
      </c>
      <c r="Q69" s="119" t="s">
        <v>242</v>
      </c>
      <c r="U69" s="180">
        <v>1</v>
      </c>
      <c r="AA69" s="120" t="s">
        <v>6633</v>
      </c>
      <c r="AB69" s="250" t="str">
        <f t="array" ref="AB69">INDEX(B:B,SMALL(IF($Q$3:$Q$517&lt;&gt;"",ROW($3:$517),518),ROW(B68)))&amp;""</f>
        <v>诱捕打击</v>
      </c>
      <c r="AC69" s="394" t="str">
        <f>IFERROR(IF(AND($Q70&lt;&gt;"",IF(法术查询!$J$4="",1,INDEX($R70:$Z70,1,VLOOKUP(法术查询!$J$4,$AF$2:$AG$10,2,0)))&lt;&gt;"",IF(法术查询!$J$5="",1,$P70=VLOOKUP(法术查询!$J$5,$AH$2:$AI$11,2,0)),IF(法术查询!$J$6="",1,IF(法术查询!$J$6=$E70,1,0)),IF(法术查询!$J$7="",1,SEARCH(法术查询!$J$7,$F70)),IF(法术查询!$J$8="",1,SEARCH(法术查询!$J$8,G70)),IF(法术查询!$J$9="",1,SEARCH(法术查询!$J$9,N70)),IF(法术查询!$J$10="",1,IF(法术查询!$J$10=$AF$11,IF($M70=1,1,0),IF($M70="",1,0))),IF(法术查询!$J$11="",1,IF(法术查询!$J$11=$AF$11,IF($D70=1,1,0),IF($D70="",1,0))),IF(法术查询!$J$12="",1,SEARCH(法术查询!$J$12,$B70&amp;$C70&amp;$O70)),IF(法术查询!$J$13="",1,SEARCH(法术查询!$J$13,$B70&amp;$C70&amp;$O70)),IF(法术查询!$J$14="",1,SEARCH(法术查询!$J$14,$B70&amp;$C70&amp;$O70)),IF(法术查询!$J$16="",1,IF(法术查询!$J$16=$AF$11,IF($H70=1,1,0),IF($H70="",1,0))),IF(法术查询!$J$17="",1,IF(法术查询!$J$17=$AF$11,IF($I70=1,1,0),IF($I70="",1,0))),IF(法术查询!$J$18="",1,IF(法术查询!$J$18=$AF$11,IF($J70&lt;&gt;"",1,0),IF($J70="",1,0))),IF(法术查询!$J$19="",1,IF(法术查询!$J$19=$AF$11,IF($L70&lt;&gt;"",1,0),IF($L70="",1,0)))),$B70,""),"")</f>
        <v/>
      </c>
      <c r="AD69" s="180" t="str">
        <f t="array" ref="AD69">INDEX(AC:AC,SMALL(IF($AC$2:$AC$516&lt;&gt;"",ROW($2:$516),517),ROW(AC68)))&amp;""</f>
        <v/>
      </c>
      <c r="AE69" s="198" t="str">
        <f t="shared" si="5"/>
        <v/>
      </c>
      <c r="AJ69" s="250">
        <v>68</v>
      </c>
      <c r="AK69" s="180" t="str">
        <f>IF(法术书!Y25="","",法术书!Y25)</f>
        <v/>
      </c>
      <c r="AL69" s="119" t="str">
        <f t="array" ref="AL69">IFERROR(INDEX(AK$1:AK$301,SMALL(IF(MATCH(AK69,AK$1:AK$301,0)=ROW(AK69),ROW(AK$1:AK$301),999),ROW(AK69))),"")</f>
        <v/>
      </c>
      <c r="AM69" s="120" t="str">
        <f t="array" ref="AM69">INDEX(AL:AL,SMALL(IF($AL$2:$AL$301&lt;&gt;"",ROW($2:$301),302),ROW(AL68)))&amp;""</f>
        <v/>
      </c>
    </row>
    <row r="70" spans="1:39" ht="14.4" customHeight="1" x14ac:dyDescent="0.25">
      <c r="A70" s="250">
        <v>68</v>
      </c>
      <c r="B70" s="119" t="s">
        <v>6634</v>
      </c>
      <c r="C70" s="119" t="s">
        <v>6635</v>
      </c>
      <c r="E70" s="378" t="s">
        <v>6281</v>
      </c>
      <c r="F70" s="180" t="s">
        <v>6352</v>
      </c>
      <c r="G70" s="180" t="s">
        <v>6291</v>
      </c>
      <c r="H70" s="180">
        <v>1</v>
      </c>
      <c r="M70" s="180">
        <v>1</v>
      </c>
      <c r="N70" s="180" t="s">
        <v>6306</v>
      </c>
      <c r="O70" s="119" t="s">
        <v>6636</v>
      </c>
      <c r="P70" s="119">
        <v>1</v>
      </c>
      <c r="Q70" s="119" t="s">
        <v>242</v>
      </c>
      <c r="V70" s="180">
        <v>1</v>
      </c>
      <c r="AA70" s="120" t="s">
        <v>6637</v>
      </c>
      <c r="AB70" s="250" t="str">
        <f t="array" ref="AB70">INDEX(B:B,SMALL(IF($Q$3:$Q$517&lt;&gt;"",ROW($3:$517),518),ROW(B69)))&amp;""</f>
        <v>纠缠术</v>
      </c>
      <c r="AC70" s="394" t="str">
        <f>IFERROR(IF(AND($Q71&lt;&gt;"",IF(法术查询!$J$4="",1,INDEX($R71:$Z71,1,VLOOKUP(法术查询!$J$4,$AF$2:$AG$10,2,0)))&lt;&gt;"",IF(法术查询!$J$5="",1,$P71=VLOOKUP(法术查询!$J$5,$AH$2:$AI$11,2,0)),IF(法术查询!$J$6="",1,IF(法术查询!$J$6=$E71,1,0)),IF(法术查询!$J$7="",1,SEARCH(法术查询!$J$7,$F71)),IF(法术查询!$J$8="",1,SEARCH(法术查询!$J$8,G71)),IF(法术查询!$J$9="",1,SEARCH(法术查询!$J$9,N71)),IF(法术查询!$J$10="",1,IF(法术查询!$J$10=$AF$11,IF($M71=1,1,0),IF($M71="",1,0))),IF(法术查询!$J$11="",1,IF(法术查询!$J$11=$AF$11,IF($D71=1,1,0),IF($D71="",1,0))),IF(法术查询!$J$12="",1,SEARCH(法术查询!$J$12,$B71&amp;$C71&amp;$O71)),IF(法术查询!$J$13="",1,SEARCH(法术查询!$J$13,$B71&amp;$C71&amp;$O71)),IF(法术查询!$J$14="",1,SEARCH(法术查询!$J$14,$B71&amp;$C71&amp;$O71)),IF(法术查询!$J$16="",1,IF(法术查询!$J$16=$AF$11,IF($H71=1,1,0),IF($H71="",1,0))),IF(法术查询!$J$17="",1,IF(法术查询!$J$17=$AF$11,IF($I71=1,1,0),IF($I71="",1,0))),IF(法术查询!$J$18="",1,IF(法术查询!$J$18=$AF$11,IF($J71&lt;&gt;"",1,0),IF($J71="",1,0))),IF(法术查询!$J$19="",1,IF(法术查询!$J$19=$AF$11,IF($L71&lt;&gt;"",1,0),IF($L71="",1,0)))),$B71,""),"")</f>
        <v/>
      </c>
      <c r="AD70" s="180" t="str">
        <f t="array" ref="AD70">INDEX(AC:AC,SMALL(IF($AC$2:$AC$516&lt;&gt;"",ROW($2:$516),517),ROW(AC69)))&amp;""</f>
        <v/>
      </c>
      <c r="AE70" s="198" t="str">
        <f t="shared" si="5"/>
        <v/>
      </c>
      <c r="AJ70" s="250">
        <v>69</v>
      </c>
      <c r="AK70" s="180" t="str">
        <f>IF(法术书!Y26="","",法术书!Y26)</f>
        <v/>
      </c>
      <c r="AL70" s="119" t="str">
        <f t="array" ref="AL70">IFERROR(INDEX(AK$1:AK$301,SMALL(IF(MATCH(AK70,AK$1:AK$301,0)=ROW(AK70),ROW(AK$1:AK$301),999),ROW(AK70))),"")</f>
        <v/>
      </c>
      <c r="AM70" s="120" t="str">
        <f t="array" ref="AM70">INDEX(AL:AL,SMALL(IF($AL$2:$AL$301&lt;&gt;"",ROW($2:$301),302),ROW(AL69)))&amp;""</f>
        <v/>
      </c>
    </row>
    <row r="71" spans="1:39" ht="14.4" customHeight="1" x14ac:dyDescent="0.25">
      <c r="A71" s="250">
        <v>69</v>
      </c>
      <c r="B71" s="119" t="s">
        <v>6638</v>
      </c>
      <c r="C71" s="119" t="s">
        <v>6639</v>
      </c>
      <c r="E71" s="378" t="s">
        <v>6281</v>
      </c>
      <c r="F71" s="180" t="s">
        <v>6282</v>
      </c>
      <c r="G71" s="180" t="s">
        <v>6400</v>
      </c>
      <c r="H71" s="180">
        <v>1</v>
      </c>
      <c r="I71" s="180">
        <v>1</v>
      </c>
      <c r="M71" s="180">
        <v>1</v>
      </c>
      <c r="N71" s="180" t="s">
        <v>6306</v>
      </c>
      <c r="O71" s="119" t="s">
        <v>6640</v>
      </c>
      <c r="P71" s="119">
        <v>1</v>
      </c>
      <c r="Q71" s="119" t="s">
        <v>242</v>
      </c>
      <c r="T71" s="180">
        <v>1</v>
      </c>
      <c r="V71" s="180" t="str">
        <f>IF(综合数据!$B$14=TRUE,"13","")</f>
        <v>13</v>
      </c>
      <c r="AA71" s="120" t="s">
        <v>6641</v>
      </c>
      <c r="AB71" s="250" t="str">
        <f t="array" ref="AB71">INDEX(B:B,SMALL(IF($Q$3:$Q$517&lt;&gt;"",ROW($3:$517),518),ROW(B70)))&amp;""</f>
        <v>脚底抹油</v>
      </c>
      <c r="AC71" s="394" t="str">
        <f>IFERROR(IF(AND($Q72&lt;&gt;"",IF(法术查询!$J$4="",1,INDEX($R72:$Z72,1,VLOOKUP(法术查询!$J$4,$AF$2:$AG$10,2,0)))&lt;&gt;"",IF(法术查询!$J$5="",1,$P72=VLOOKUP(法术查询!$J$5,$AH$2:$AI$11,2,0)),IF(法术查询!$J$6="",1,IF(法术查询!$J$6=$E72,1,0)),IF(法术查询!$J$7="",1,SEARCH(法术查询!$J$7,$F72)),IF(法术查询!$J$8="",1,SEARCH(法术查询!$J$8,G72)),IF(法术查询!$J$9="",1,SEARCH(法术查询!$J$9,N72)),IF(法术查询!$J$10="",1,IF(法术查询!$J$10=$AF$11,IF($M72=1,1,0),IF($M72="",1,0))),IF(法术查询!$J$11="",1,IF(法术查询!$J$11=$AF$11,IF($D72=1,1,0),IF($D72="",1,0))),IF(法术查询!$J$12="",1,SEARCH(法术查询!$J$12,$B72&amp;$C72&amp;$O72)),IF(法术查询!$J$13="",1,SEARCH(法术查询!$J$13,$B72&amp;$C72&amp;$O72)),IF(法术查询!$J$14="",1,SEARCH(法术查询!$J$14,$B72&amp;$C72&amp;$O72)),IF(法术查询!$J$16="",1,IF(法术查询!$J$16=$AF$11,IF($H72=1,1,0),IF($H72="",1,0))),IF(法术查询!$J$17="",1,IF(法术查询!$J$17=$AF$11,IF($I72=1,1,0),IF($I72="",1,0))),IF(法术查询!$J$18="",1,IF(法术查询!$J$18=$AF$11,IF($J72&lt;&gt;"",1,0),IF($J72="",1,0))),IF(法术查询!$J$19="",1,IF(法术查询!$J$19=$AF$11,IF($L72&lt;&gt;"",1,0),IF($L72="",1,0)))),$B72,""),"")</f>
        <v/>
      </c>
      <c r="AD71" s="180" t="str">
        <f t="array" ref="AD71">INDEX(AC:AC,SMALL(IF($AC$2:$AC$516&lt;&gt;"",ROW($2:$516),517),ROW(AC70)))&amp;""</f>
        <v/>
      </c>
      <c r="AE71" s="198" t="str">
        <f t="shared" si="5"/>
        <v/>
      </c>
      <c r="AJ71" s="250">
        <v>70</v>
      </c>
      <c r="AK71" s="180" t="str">
        <f>IF(法术书!Y27="","",法术书!Y27)</f>
        <v/>
      </c>
      <c r="AL71" s="119" t="str">
        <f t="array" ref="AL71">IFERROR(INDEX(AK$1:AK$301,SMALL(IF(MATCH(AK71,AK$1:AK$301,0)=ROW(AK71),ROW(AK$1:AK$301),999),ROW(AK71))),"")</f>
        <v/>
      </c>
      <c r="AM71" s="120" t="str">
        <f t="array" ref="AM71">INDEX(AL:AL,SMALL(IF($AL$2:$AL$301&lt;&gt;"",ROW($2:$301),302),ROW(AL70)))&amp;""</f>
        <v/>
      </c>
    </row>
    <row r="72" spans="1:39" ht="14.4" customHeight="1" x14ac:dyDescent="0.25">
      <c r="A72" s="250">
        <v>70</v>
      </c>
      <c r="B72" s="119" t="s">
        <v>6642</v>
      </c>
      <c r="C72" s="119" t="s">
        <v>6643</v>
      </c>
      <c r="E72" s="435" t="s">
        <v>6312</v>
      </c>
      <c r="F72" s="180" t="s">
        <v>6352</v>
      </c>
      <c r="G72" s="180" t="s">
        <v>6291</v>
      </c>
      <c r="H72" s="180">
        <v>1</v>
      </c>
      <c r="I72" s="180">
        <v>1</v>
      </c>
      <c r="M72" s="180">
        <v>1</v>
      </c>
      <c r="N72" s="180" t="s">
        <v>6471</v>
      </c>
      <c r="O72" s="119" t="s">
        <v>6644</v>
      </c>
      <c r="P72" s="119">
        <v>1</v>
      </c>
      <c r="Q72" s="119" t="s">
        <v>242</v>
      </c>
      <c r="W72" s="180">
        <v>1</v>
      </c>
      <c r="X72" s="180">
        <v>1</v>
      </c>
      <c r="Y72" s="180">
        <v>1</v>
      </c>
      <c r="Z72" s="180">
        <v>9</v>
      </c>
      <c r="AA72" s="120" t="s">
        <v>6645</v>
      </c>
      <c r="AB72" s="250" t="str">
        <f t="array" ref="AB72">INDEX(B:B,SMALL(IF($Q$3:$Q$517&lt;&gt;"",ROW($3:$517),518),ROW(B71)))&amp;""</f>
        <v>妖火</v>
      </c>
      <c r="AC72" s="394" t="str">
        <f>IFERROR(IF(AND($Q73&lt;&gt;"",IF(法术查询!$J$4="",1,INDEX($R73:$Z73,1,VLOOKUP(法术查询!$J$4,$AF$2:$AG$10,2,0)))&lt;&gt;"",IF(法术查询!$J$5="",1,$P73=VLOOKUP(法术查询!$J$5,$AH$2:$AI$11,2,0)),IF(法术查询!$J$6="",1,IF(法术查询!$J$6=$E73,1,0)),IF(法术查询!$J$7="",1,SEARCH(法术查询!$J$7,$F73)),IF(法术查询!$J$8="",1,SEARCH(法术查询!$J$8,G73)),IF(法术查询!$J$9="",1,SEARCH(法术查询!$J$9,N73)),IF(法术查询!$J$10="",1,IF(法术查询!$J$10=$AF$11,IF($M73=1,1,0),IF($M73="",1,0))),IF(法术查询!$J$11="",1,IF(法术查询!$J$11=$AF$11,IF($D73=1,1,0),IF($D73="",1,0))),IF(法术查询!$J$12="",1,SEARCH(法术查询!$J$12,$B73&amp;$C73&amp;$O73)),IF(法术查询!$J$13="",1,SEARCH(法术查询!$J$13,$B73&amp;$C73&amp;$O73)),IF(法术查询!$J$14="",1,SEARCH(法术查询!$J$14,$B73&amp;$C73&amp;$O73)),IF(法术查询!$J$16="",1,IF(法术查询!$J$16=$AF$11,IF($H73=1,1,0),IF($H73="",1,0))),IF(法术查询!$J$17="",1,IF(法术查询!$J$17=$AF$11,IF($I73=1,1,0),IF($I73="",1,0))),IF(法术查询!$J$18="",1,IF(法术查询!$J$18=$AF$11,IF($J73&lt;&gt;"",1,0),IF($J73="",1,0))),IF(法术查询!$J$19="",1,IF(法术查询!$J$19=$AF$11,IF($L73&lt;&gt;"",1,0),IF($L73="",1,0)))),$B73,""),"")</f>
        <v/>
      </c>
      <c r="AD72" s="180" t="str">
        <f t="array" ref="AD72">INDEX(AC:AC,SMALL(IF($AC$2:$AC$516&lt;&gt;"",ROW($2:$516),517),ROW(AC71)))&amp;""</f>
        <v/>
      </c>
      <c r="AE72" s="198" t="str">
        <f t="shared" si="5"/>
        <v/>
      </c>
      <c r="AJ72" s="250">
        <v>71</v>
      </c>
      <c r="AK72" s="180" t="str">
        <f>IF(法术书!Y28="","",法术书!Y28)</f>
        <v/>
      </c>
      <c r="AL72" s="119" t="str">
        <f t="array" ref="AL72">IFERROR(INDEX(AK$1:AK$301,SMALL(IF(MATCH(AK72,AK$1:AK$301,0)=ROW(AK72),ROW(AK$1:AK$301),999),ROW(AK72))),"")</f>
        <v/>
      </c>
      <c r="AM72" s="120" t="str">
        <f t="array" ref="AM72">INDEX(AL:AL,SMALL(IF($AL$2:$AL$301&lt;&gt;"",ROW($2:$301),302),ROW(AL71)))&amp;""</f>
        <v/>
      </c>
    </row>
    <row r="73" spans="1:39" ht="14.4" customHeight="1" x14ac:dyDescent="0.25">
      <c r="A73" s="250">
        <v>71</v>
      </c>
      <c r="B73" s="119" t="s">
        <v>6646</v>
      </c>
      <c r="C73" s="119" t="s">
        <v>6647</v>
      </c>
      <c r="E73" s="434" t="s">
        <v>6304</v>
      </c>
      <c r="F73" s="180" t="s">
        <v>6282</v>
      </c>
      <c r="G73" s="180" t="s">
        <v>6283</v>
      </c>
      <c r="H73" s="180">
        <v>1</v>
      </c>
      <c r="M73" s="180">
        <v>1</v>
      </c>
      <c r="N73" s="180" t="s">
        <v>6306</v>
      </c>
      <c r="O73" s="119" t="s">
        <v>6648</v>
      </c>
      <c r="P73" s="119">
        <v>1</v>
      </c>
      <c r="Q73" s="119" t="s">
        <v>242</v>
      </c>
      <c r="R73" s="180">
        <v>1</v>
      </c>
      <c r="T73" s="180">
        <v>1</v>
      </c>
      <c r="Z73" s="180">
        <v>9</v>
      </c>
      <c r="AA73" s="120" t="s">
        <v>6649</v>
      </c>
      <c r="AB73" s="250" t="str">
        <f t="array" ref="AB73">INDEX(B:B,SMALL(IF($Q$3:$Q$517&lt;&gt;"",ROW($3:$517),518),ROW(B72)))&amp;""</f>
        <v>虚假生命</v>
      </c>
      <c r="AC73" s="394" t="str">
        <f>IFERROR(IF(AND($Q74&lt;&gt;"",IF(法术查询!$J$4="",1,INDEX($R74:$Z74,1,VLOOKUP(法术查询!$J$4,$AF$2:$AG$10,2,0)))&lt;&gt;"",IF(法术查询!$J$5="",1,$P74=VLOOKUP(法术查询!$J$5,$AH$2:$AI$11,2,0)),IF(法术查询!$J$6="",1,IF(法术查询!$J$6=$E74,1,0)),IF(法术查询!$J$7="",1,SEARCH(法术查询!$J$7,$F74)),IF(法术查询!$J$8="",1,SEARCH(法术查询!$J$8,G74)),IF(法术查询!$J$9="",1,SEARCH(法术查询!$J$9,N74)),IF(法术查询!$J$10="",1,IF(法术查询!$J$10=$AF$11,IF($M74=1,1,0),IF($M74="",1,0))),IF(法术查询!$J$11="",1,IF(法术查询!$J$11=$AF$11,IF($D74=1,1,0),IF($D74="",1,0))),IF(法术查询!$J$12="",1,SEARCH(法术查询!$J$12,$B74&amp;$C74&amp;$O74)),IF(法术查询!$J$13="",1,SEARCH(法术查询!$J$13,$B74&amp;$C74&amp;$O74)),IF(法术查询!$J$14="",1,SEARCH(法术查询!$J$14,$B74&amp;$C74&amp;$O74)),IF(法术查询!$J$16="",1,IF(法术查询!$J$16=$AF$11,IF($H74=1,1,0),IF($H74="",1,0))),IF(法术查询!$J$17="",1,IF(法术查询!$J$17=$AF$11,IF($I74=1,1,0),IF($I74="",1,0))),IF(法术查询!$J$18="",1,IF(法术查询!$J$18=$AF$11,IF($J74&lt;&gt;"",1,0),IF($J74="",1,0))),IF(法术查询!$J$19="",1,IF(法术查询!$J$19=$AF$11,IF($L74&lt;&gt;"",1,0),IF($L74="",1,0)))),$B74,""),"")</f>
        <v/>
      </c>
      <c r="AD73" s="180" t="str">
        <f t="array" ref="AD73">INDEX(AC:AC,SMALL(IF($AC$2:$AC$516&lt;&gt;"",ROW($2:$516),517),ROW(AC72)))&amp;""</f>
        <v/>
      </c>
      <c r="AE73" s="198" t="str">
        <f t="shared" si="5"/>
        <v/>
      </c>
      <c r="AJ73" s="250">
        <v>72</v>
      </c>
      <c r="AK73" s="180" t="str">
        <f>IF(法术书!Y29="","",法术书!Y29)</f>
        <v/>
      </c>
      <c r="AL73" s="119" t="str">
        <f t="array" ref="AL73">IFERROR(INDEX(AK$1:AK$301,SMALL(IF(MATCH(AK73,AK$1:AK$301,0)=ROW(AK73),ROW(AK$1:AK$301),999),ROW(AK73))),"")</f>
        <v/>
      </c>
      <c r="AM73" s="120" t="str">
        <f t="array" ref="AM73">INDEX(AL:AL,SMALL(IF($AL$2:$AL$301&lt;&gt;"",ROW($2:$301),302),ROW(AL72)))&amp;""</f>
        <v/>
      </c>
    </row>
    <row r="74" spans="1:39" ht="14.4" customHeight="1" x14ac:dyDescent="0.25">
      <c r="A74" s="250">
        <v>72</v>
      </c>
      <c r="B74" s="119" t="s">
        <v>6650</v>
      </c>
      <c r="C74" s="119" t="s">
        <v>6651</v>
      </c>
      <c r="E74" s="441" t="s">
        <v>6297</v>
      </c>
      <c r="F74" s="180" t="s">
        <v>6282</v>
      </c>
      <c r="G74" s="180" t="s">
        <v>6291</v>
      </c>
      <c r="H74" s="180">
        <v>1</v>
      </c>
      <c r="I74" s="180">
        <v>1</v>
      </c>
      <c r="J74" s="180">
        <v>1</v>
      </c>
      <c r="K74" s="119" t="s">
        <v>6652</v>
      </c>
      <c r="L74" s="119"/>
      <c r="N74" s="180" t="s">
        <v>6344</v>
      </c>
      <c r="O74" s="119" t="s">
        <v>6653</v>
      </c>
      <c r="P74" s="119">
        <v>1</v>
      </c>
      <c r="Q74" s="119" t="s">
        <v>242</v>
      </c>
      <c r="W74" s="180">
        <v>1</v>
      </c>
      <c r="X74" s="180">
        <v>1</v>
      </c>
      <c r="Z74" s="180">
        <v>9</v>
      </c>
      <c r="AA74" s="120" t="s">
        <v>6654</v>
      </c>
      <c r="AB74" s="250" t="str">
        <f t="array" ref="AB74">INDEX(B:B,SMALL(IF($Q$3:$Q$517&lt;&gt;"",ROW($3:$517),518),ROW(B73)))&amp;""</f>
        <v>羽落术</v>
      </c>
      <c r="AC74" s="394" t="str">
        <f>IFERROR(IF(AND($Q75&lt;&gt;"",IF(法术查询!$J$4="",1,INDEX($R75:$Z75,1,VLOOKUP(法术查询!$J$4,$AF$2:$AG$10,2,0)))&lt;&gt;"",IF(法术查询!$J$5="",1,$P75=VLOOKUP(法术查询!$J$5,$AH$2:$AI$11,2,0)),IF(法术查询!$J$6="",1,IF(法术查询!$J$6=$E75,1,0)),IF(法术查询!$J$7="",1,SEARCH(法术查询!$J$7,$F75)),IF(法术查询!$J$8="",1,SEARCH(法术查询!$J$8,G75)),IF(法术查询!$J$9="",1,SEARCH(法术查询!$J$9,N75)),IF(法术查询!$J$10="",1,IF(法术查询!$J$10=$AF$11,IF($M75=1,1,0),IF($M75="",1,0))),IF(法术查询!$J$11="",1,IF(法术查询!$J$11=$AF$11,IF($D75=1,1,0),IF($D75="",1,0))),IF(法术查询!$J$12="",1,SEARCH(法术查询!$J$12,$B75&amp;$C75&amp;$O75)),IF(法术查询!$J$13="",1,SEARCH(法术查询!$J$13,$B75&amp;$C75&amp;$O75)),IF(法术查询!$J$14="",1,SEARCH(法术查询!$J$14,$B75&amp;$C75&amp;$O75)),IF(法术查询!$J$16="",1,IF(法术查询!$J$16=$AF$11,IF($H75=1,1,0),IF($H75="",1,0))),IF(法术查询!$J$17="",1,IF(法术查询!$J$17=$AF$11,IF($I75=1,1,0),IF($I75="",1,0))),IF(法术查询!$J$18="",1,IF(法术查询!$J$18=$AF$11,IF($J75&lt;&gt;"",1,0),IF($J75="",1,0))),IF(法术查询!$J$19="",1,IF(法术查询!$J$19=$AF$11,IF($L75&lt;&gt;"",1,0),IF($L75="",1,0)))),$B75,""),"")</f>
        <v/>
      </c>
      <c r="AD74" s="180" t="str">
        <f t="array" ref="AD74">INDEX(AC:AC,SMALL(IF($AC$2:$AC$516&lt;&gt;"",ROW($2:$516),517),ROW(AC73)))&amp;""</f>
        <v/>
      </c>
      <c r="AE74" s="198" t="str">
        <f t="shared" si="5"/>
        <v/>
      </c>
      <c r="AJ74" s="250">
        <v>73</v>
      </c>
      <c r="AK74" s="180" t="str">
        <f>IF(法术书!Y30="","",法术书!Y30)</f>
        <v/>
      </c>
      <c r="AL74" s="119" t="str">
        <f t="array" ref="AL74">IFERROR(INDEX(AK$1:AK$301,SMALL(IF(MATCH(AK74,AK$1:AK$301,0)=ROW(AK74),ROW(AK$1:AK$301),999),ROW(AK74))),"")</f>
        <v/>
      </c>
      <c r="AM74" s="120" t="str">
        <f t="array" ref="AM74">INDEX(AL:AL,SMALL(IF($AL$2:$AL$301&lt;&gt;"",ROW($2:$301),302),ROW(AL73)))&amp;""</f>
        <v/>
      </c>
    </row>
    <row r="75" spans="1:39" ht="14.4" customHeight="1" x14ac:dyDescent="0.25">
      <c r="A75" s="250">
        <v>73</v>
      </c>
      <c r="B75" s="119" t="s">
        <v>6655</v>
      </c>
      <c r="C75" s="119" t="s">
        <v>6656</v>
      </c>
      <c r="E75" s="435" t="s">
        <v>6312</v>
      </c>
      <c r="F75" s="180" t="s">
        <v>6412</v>
      </c>
      <c r="G75" s="180" t="s">
        <v>6283</v>
      </c>
      <c r="H75" s="180">
        <v>1</v>
      </c>
      <c r="J75" s="180">
        <v>1</v>
      </c>
      <c r="K75" s="119" t="s">
        <v>6657</v>
      </c>
      <c r="L75" s="119"/>
      <c r="N75" s="180" t="s">
        <v>6349</v>
      </c>
      <c r="O75" s="119" t="s">
        <v>6658</v>
      </c>
      <c r="P75" s="119">
        <v>1</v>
      </c>
      <c r="Q75" s="119" t="s">
        <v>242</v>
      </c>
      <c r="R75" s="180">
        <v>1</v>
      </c>
      <c r="W75" s="180">
        <v>1</v>
      </c>
      <c r="X75" s="180">
        <v>1</v>
      </c>
      <c r="Z75" s="180">
        <v>9</v>
      </c>
      <c r="AA75" s="120" t="s">
        <v>6659</v>
      </c>
      <c r="AB75" s="250" t="str">
        <f t="array" ref="AB75">INDEX(B:B,SMALL(IF($Q$3:$Q$517&lt;&gt;"",ROW($3:$517),518),ROW(B74)))&amp;""</f>
        <v>获得魔宠</v>
      </c>
      <c r="AC75" s="394" t="str">
        <f>IFERROR(IF(AND($Q76&lt;&gt;"",IF(法术查询!$J$4="",1,INDEX($R76:$Z76,1,VLOOKUP(法术查询!$J$4,$AF$2:$AG$10,2,0)))&lt;&gt;"",IF(法术查询!$J$5="",1,$P76=VLOOKUP(法术查询!$J$5,$AH$2:$AI$11,2,0)),IF(法术查询!$J$6="",1,IF(法术查询!$J$6=$E76,1,0)),IF(法术查询!$J$7="",1,SEARCH(法术查询!$J$7,$F76)),IF(法术查询!$J$8="",1,SEARCH(法术查询!$J$8,G76)),IF(法术查询!$J$9="",1,SEARCH(法术查询!$J$9,N76)),IF(法术查询!$J$10="",1,IF(法术查询!$J$10=$AF$11,IF($M76=1,1,0),IF($M76="",1,0))),IF(法术查询!$J$11="",1,IF(法术查询!$J$11=$AF$11,IF($D76=1,1,0),IF($D76="",1,0))),IF(法术查询!$J$12="",1,SEARCH(法术查询!$J$12,$B76&amp;$C76&amp;$O76)),IF(法术查询!$J$13="",1,SEARCH(法术查询!$J$13,$B76&amp;$C76&amp;$O76)),IF(法术查询!$J$14="",1,SEARCH(法术查询!$J$14,$B76&amp;$C76&amp;$O76)),IF(法术查询!$J$16="",1,IF(法术查询!$J$16=$AF$11,IF($H76=1,1,0),IF($H76="",1,0))),IF(法术查询!$J$17="",1,IF(法术查询!$J$17=$AF$11,IF($I76=1,1,0),IF($I76="",1,0))),IF(法术查询!$J$18="",1,IF(法术查询!$J$18=$AF$11,IF($J76&lt;&gt;"",1,0),IF($J76="",1,0))),IF(法术查询!$J$19="",1,IF(法术查询!$J$19=$AF$11,IF($L76&lt;&gt;"",1,0),IF($L76="",1,0)))),$B76,""),"")</f>
        <v/>
      </c>
      <c r="AD75" s="180" t="str">
        <f t="array" ref="AD75">INDEX(AC:AC,SMALL(IF($AC$2:$AC$516&lt;&gt;"",ROW($2:$516),517),ROW(AC74)))&amp;""</f>
        <v/>
      </c>
      <c r="AE75" s="198" t="str">
        <f t="shared" si="5"/>
        <v/>
      </c>
      <c r="AJ75" s="250">
        <v>74</v>
      </c>
      <c r="AK75" s="180" t="str">
        <f>IF(法术书!Y31="","",法术书!Y31)</f>
        <v/>
      </c>
      <c r="AL75" s="119" t="str">
        <f t="array" ref="AL75">IFERROR(INDEX(AK$1:AK$301,SMALL(IF(MATCH(AK75,AK$1:AK$301,0)=ROW(AK75),ROW(AK$1:AK$301),999),ROW(AK75))),"")</f>
        <v/>
      </c>
      <c r="AM75" s="120" t="str">
        <f t="array" ref="AM75">INDEX(AL:AL,SMALL(IF($AL$2:$AL$301&lt;&gt;"",ROW($2:$301),302),ROW(AL74)))&amp;""</f>
        <v/>
      </c>
    </row>
    <row r="76" spans="1:39" ht="14.4" customHeight="1" x14ac:dyDescent="0.25">
      <c r="A76" s="250">
        <v>74</v>
      </c>
      <c r="B76" s="119" t="s">
        <v>6660</v>
      </c>
      <c r="C76" s="119" t="s">
        <v>6661</v>
      </c>
      <c r="D76" s="180">
        <v>1</v>
      </c>
      <c r="E76" s="378" t="s">
        <v>6281</v>
      </c>
      <c r="F76" s="180" t="s">
        <v>6344</v>
      </c>
      <c r="G76" s="180" t="s">
        <v>6370</v>
      </c>
      <c r="H76" s="180">
        <v>1</v>
      </c>
      <c r="I76" s="180">
        <v>1</v>
      </c>
      <c r="J76" s="180">
        <v>1</v>
      </c>
      <c r="L76" s="119" t="s">
        <v>6662</v>
      </c>
      <c r="N76" s="180" t="s">
        <v>6284</v>
      </c>
      <c r="O76" s="119" t="s">
        <v>6663</v>
      </c>
      <c r="P76" s="119">
        <v>1</v>
      </c>
      <c r="Q76" s="119" t="s">
        <v>242</v>
      </c>
      <c r="X76" s="180">
        <v>1</v>
      </c>
      <c r="AA76" s="120" t="s">
        <v>6664</v>
      </c>
      <c r="AB76" s="250" t="str">
        <f t="array" ref="AB76">INDEX(B:B,SMALL(IF($Q$3:$Q$517&lt;&gt;"",ROW($3:$517),518),ROW(B75)))&amp;""</f>
        <v>云雾术</v>
      </c>
      <c r="AC76" s="394" t="str">
        <f>IFERROR(IF(AND($Q77&lt;&gt;"",IF(法术查询!$J$4="",1,INDEX($R77:$Z77,1,VLOOKUP(法术查询!$J$4,$AF$2:$AG$10,2,0)))&lt;&gt;"",IF(法术查询!$J$5="",1,$P77=VLOOKUP(法术查询!$J$5,$AH$2:$AI$11,2,0)),IF(法术查询!$J$6="",1,IF(法术查询!$J$6=$E77,1,0)),IF(法术查询!$J$7="",1,SEARCH(法术查询!$J$7,$F77)),IF(法术查询!$J$8="",1,SEARCH(法术查询!$J$8,G77)),IF(法术查询!$J$9="",1,SEARCH(法术查询!$J$9,N77)),IF(法术查询!$J$10="",1,IF(法术查询!$J$10=$AF$11,IF($M77=1,1,0),IF($M77="",1,0))),IF(法术查询!$J$11="",1,IF(法术查询!$J$11=$AF$11,IF($D77=1,1,0),IF($D77="",1,0))),IF(法术查询!$J$12="",1,SEARCH(法术查询!$J$12,$B77&amp;$C77&amp;$O77)),IF(法术查询!$J$13="",1,SEARCH(法术查询!$J$13,$B77&amp;$C77&amp;$O77)),IF(法术查询!$J$14="",1,SEARCH(法术查询!$J$14,$B77&amp;$C77&amp;$O77)),IF(法术查询!$J$16="",1,IF(法术查询!$J$16=$AF$11,IF($H77=1,1,0),IF($H77="",1,0))),IF(法术查询!$J$17="",1,IF(法术查询!$J$17=$AF$11,IF($I77=1,1,0),IF($I77="",1,0))),IF(法术查询!$J$18="",1,IF(法术查询!$J$18=$AF$11,IF($J77&lt;&gt;"",1,0),IF($J77="",1,0))),IF(法术查询!$J$19="",1,IF(法术查询!$J$19=$AF$11,IF($L77&lt;&gt;"",1,0),IF($L77="",1,0)))),$B77,""),"")</f>
        <v/>
      </c>
      <c r="AD76" s="180" t="str">
        <f t="array" ref="AD76">INDEX(AC:AC,SMALL(IF($AC$2:$AC$516&lt;&gt;"",ROW($2:$516),517),ROW(AC75)))&amp;""</f>
        <v/>
      </c>
      <c r="AE76" s="198" t="str">
        <f t="shared" si="5"/>
        <v/>
      </c>
      <c r="AJ76" s="250">
        <v>75</v>
      </c>
      <c r="AK76" s="180" t="str">
        <f>IF(法术书!Y32="","",法术书!Y32)</f>
        <v/>
      </c>
      <c r="AL76" s="119" t="str">
        <f t="array" ref="AL76">IFERROR(INDEX(AK$1:AK$301,SMALL(IF(MATCH(AK76,AK$1:AK$301,0)=ROW(AK76),ROW(AK$1:AK$301),999),ROW(AK76))),"")</f>
        <v/>
      </c>
      <c r="AM76" s="120" t="str">
        <f t="array" ref="AM76">INDEX(AL:AL,SMALL(IF($AL$2:$AL$301&lt;&gt;"",ROW($2:$301),302),ROW(AL75)))&amp;""</f>
        <v/>
      </c>
    </row>
    <row r="77" spans="1:39" ht="14.4" customHeight="1" x14ac:dyDescent="0.25">
      <c r="A77" s="250">
        <v>75</v>
      </c>
      <c r="B77" s="119" t="s">
        <v>6665</v>
      </c>
      <c r="C77" s="119" t="s">
        <v>6666</v>
      </c>
      <c r="E77" s="378" t="s">
        <v>6281</v>
      </c>
      <c r="F77" s="180" t="s">
        <v>6282</v>
      </c>
      <c r="G77" s="180" t="s">
        <v>6298</v>
      </c>
      <c r="H77" s="180">
        <v>1</v>
      </c>
      <c r="I77" s="180">
        <v>1</v>
      </c>
      <c r="M77" s="180">
        <v>1</v>
      </c>
      <c r="N77" s="180" t="s">
        <v>6379</v>
      </c>
      <c r="O77" s="119" t="s">
        <v>6667</v>
      </c>
      <c r="P77" s="119">
        <v>1</v>
      </c>
      <c r="Q77" s="119" t="s">
        <v>242</v>
      </c>
      <c r="T77" s="180">
        <v>1</v>
      </c>
      <c r="V77" s="180">
        <v>1</v>
      </c>
      <c r="W77" s="180">
        <v>1</v>
      </c>
      <c r="X77" s="180">
        <v>1</v>
      </c>
      <c r="AA77" s="120" t="s">
        <v>6668</v>
      </c>
      <c r="AB77" s="250" t="str">
        <f t="array" ref="AB77">INDEX(B:B,SMALL(IF($Q$3:$Q$517&lt;&gt;"",ROW($3:$517),518),ROW(B76)))&amp;""</f>
        <v>神莓术</v>
      </c>
      <c r="AC77" s="394" t="str">
        <f>IFERROR(IF(AND($Q78&lt;&gt;"",IF(法术查询!$J$4="",1,INDEX($R78:$Z78,1,VLOOKUP(法术查询!$J$4,$AF$2:$AG$10,2,0)))&lt;&gt;"",IF(法术查询!$J$5="",1,$P78=VLOOKUP(法术查询!$J$5,$AH$2:$AI$11,2,0)),IF(法术查询!$J$6="",1,IF(法术查询!$J$6=$E78,1,0)),IF(法术查询!$J$7="",1,SEARCH(法术查询!$J$7,$F78)),IF(法术查询!$J$8="",1,SEARCH(法术查询!$J$8,G78)),IF(法术查询!$J$9="",1,SEARCH(法术查询!$J$9,N78)),IF(法术查询!$J$10="",1,IF(法术查询!$J$10=$AF$11,IF($M78=1,1,0),IF($M78="",1,0))),IF(法术查询!$J$11="",1,IF(法术查询!$J$11=$AF$11,IF($D78=1,1,0),IF($D78="",1,0))),IF(法术查询!$J$12="",1,SEARCH(法术查询!$J$12,$B78&amp;$C78&amp;$O78)),IF(法术查询!$J$13="",1,SEARCH(法术查询!$J$13,$B78&amp;$C78&amp;$O78)),IF(法术查询!$J$14="",1,SEARCH(法术查询!$J$14,$B78&amp;$C78&amp;$O78)),IF(法术查询!$J$16="",1,IF(法术查询!$J$16=$AF$11,IF($H78=1,1,0),IF($H78="",1,0))),IF(法术查询!$J$17="",1,IF(法术查询!$J$17=$AF$11,IF($I78=1,1,0),IF($I78="",1,0))),IF(法术查询!$J$18="",1,IF(法术查询!$J$18=$AF$11,IF($J78&lt;&gt;"",1,0),IF($J78="",1,0))),IF(法术查询!$J$19="",1,IF(法术查询!$J$19=$AF$11,IF($L78&lt;&gt;"",1,0),IF($L78="",1,0)))),$B78,""),"")</f>
        <v/>
      </c>
      <c r="AD77" s="180" t="str">
        <f t="array" ref="AD77">INDEX(AC:AC,SMALL(IF($AC$2:$AC$516&lt;&gt;"",ROW($2:$516),517),ROW(AC76)))&amp;""</f>
        <v/>
      </c>
      <c r="AE77" s="198" t="str">
        <f t="shared" si="5"/>
        <v/>
      </c>
      <c r="AJ77" s="250">
        <v>76</v>
      </c>
      <c r="AK77" s="180" t="str">
        <f>IF(法术书!Y33="","",法术书!Y33)</f>
        <v/>
      </c>
      <c r="AL77" s="119" t="str">
        <f t="array" ref="AL77">IFERROR(INDEX(AK$1:AK$301,SMALL(IF(MATCH(AK77,AK$1:AK$301,0)=ROW(AK77),ROW(AK$1:AK$301),999),ROW(AK77))),"")</f>
        <v/>
      </c>
      <c r="AM77" s="120" t="str">
        <f t="array" ref="AM77">INDEX(AL:AL,SMALL(IF($AL$2:$AL$301&lt;&gt;"",ROW($2:$301),302),ROW(AL76)))&amp;""</f>
        <v/>
      </c>
    </row>
    <row r="78" spans="1:39" ht="14.4" customHeight="1" x14ac:dyDescent="0.25">
      <c r="A78" s="250">
        <v>76</v>
      </c>
      <c r="B78" s="119" t="s">
        <v>6669</v>
      </c>
      <c r="C78" s="119" t="s">
        <v>6670</v>
      </c>
      <c r="E78" s="435" t="s">
        <v>6312</v>
      </c>
      <c r="F78" s="180" t="s">
        <v>6282</v>
      </c>
      <c r="G78" s="180" t="s">
        <v>3682</v>
      </c>
      <c r="H78" s="180">
        <v>1</v>
      </c>
      <c r="I78" s="180">
        <v>1</v>
      </c>
      <c r="J78" s="180">
        <v>1</v>
      </c>
      <c r="K78" s="119" t="s">
        <v>6671</v>
      </c>
      <c r="N78" s="180" t="s">
        <v>6284</v>
      </c>
      <c r="O78" s="119" t="s">
        <v>6672</v>
      </c>
      <c r="P78" s="119">
        <v>1</v>
      </c>
      <c r="Q78" s="119" t="s">
        <v>242</v>
      </c>
      <c r="T78" s="180">
        <v>1</v>
      </c>
      <c r="V78" s="180">
        <v>1</v>
      </c>
      <c r="AA78" s="198" t="s">
        <v>761</v>
      </c>
      <c r="AB78" s="250" t="str">
        <f t="array" ref="AB78">INDEX(B:B,SMALL(IF($Q$3:$Q$517&lt;&gt;"",ROW($3:$517),518),ROW(B77)))&amp;""</f>
        <v>油腻术</v>
      </c>
      <c r="AC78" s="394" t="str">
        <f>IFERROR(IF(AND($Q79&lt;&gt;"",IF(法术查询!$J$4="",1,INDEX($R79:$Z79,1,VLOOKUP(法术查询!$J$4,$AF$2:$AG$10,2,0)))&lt;&gt;"",IF(法术查询!$J$5="",1,$P79=VLOOKUP(法术查询!$J$5,$AH$2:$AI$11,2,0)),IF(法术查询!$J$6="",1,IF(法术查询!$J$6=$E79,1,0)),IF(法术查询!$J$7="",1,SEARCH(法术查询!$J$7,$F79)),IF(法术查询!$J$8="",1,SEARCH(法术查询!$J$8,G79)),IF(法术查询!$J$9="",1,SEARCH(法术查询!$J$9,N79)),IF(法术查询!$J$10="",1,IF(法术查询!$J$10=$AF$11,IF($M79=1,1,0),IF($M79="",1,0))),IF(法术查询!$J$11="",1,IF(法术查询!$J$11=$AF$11,IF($D79=1,1,0),IF($D79="",1,0))),IF(法术查询!$J$12="",1,SEARCH(法术查询!$J$12,$B79&amp;$C79&amp;$O79)),IF(法术查询!$J$13="",1,SEARCH(法术查询!$J$13,$B79&amp;$C79&amp;$O79)),IF(法术查询!$J$14="",1,SEARCH(法术查询!$J$14,$B79&amp;$C79&amp;$O79)),IF(法术查询!$J$16="",1,IF(法术查询!$J$16=$AF$11,IF($H79=1,1,0),IF($H79="",1,0))),IF(法术查询!$J$17="",1,IF(法术查询!$J$17=$AF$11,IF($I79=1,1,0),IF($I79="",1,0))),IF(法术查询!$J$18="",1,IF(法术查询!$J$18=$AF$11,IF($J79&lt;&gt;"",1,0),IF($J79="",1,0))),IF(法术查询!$J$19="",1,IF(法术查询!$J$19=$AF$11,IF($L79&lt;&gt;"",1,0),IF($L79="",1,0)))),$B79,""),"")</f>
        <v/>
      </c>
      <c r="AD78" s="180" t="str">
        <f t="array" ref="AD78">INDEX(AC:AC,SMALL(IF($AC$2:$AC$516&lt;&gt;"",ROW($2:$516),517),ROW(AC77)))&amp;""</f>
        <v/>
      </c>
      <c r="AE78" s="198" t="str">
        <f t="shared" si="5"/>
        <v/>
      </c>
      <c r="AJ78" s="250">
        <v>77</v>
      </c>
      <c r="AK78" s="180" t="str">
        <f>IF(法术书!Y34="","",法术书!Y34)</f>
        <v/>
      </c>
      <c r="AL78" s="119" t="str">
        <f t="array" ref="AL78">IFERROR(INDEX(AK$1:AK$301,SMALL(IF(MATCH(AK78,AK$1:AK$301,0)=ROW(AK78),ROW(AK$1:AK$301),999),ROW(AK78))),"")</f>
        <v/>
      </c>
      <c r="AM78" s="120" t="str">
        <f t="array" ref="AM78">INDEX(AL:AL,SMALL(IF($AL$2:$AL$301&lt;&gt;"",ROW($2:$301),302),ROW(AL77)))&amp;""</f>
        <v/>
      </c>
    </row>
    <row r="79" spans="1:39" ht="14.4" customHeight="1" x14ac:dyDescent="0.25">
      <c r="A79" s="250">
        <v>77</v>
      </c>
      <c r="B79" s="119" t="s">
        <v>6673</v>
      </c>
      <c r="C79" s="119" t="s">
        <v>6674</v>
      </c>
      <c r="E79" s="378" t="s">
        <v>6281</v>
      </c>
      <c r="F79" s="180" t="s">
        <v>6282</v>
      </c>
      <c r="G79" s="180" t="s">
        <v>6283</v>
      </c>
      <c r="H79" s="180">
        <v>1</v>
      </c>
      <c r="I79" s="180">
        <v>1</v>
      </c>
      <c r="J79" s="180">
        <v>1</v>
      </c>
      <c r="K79" s="119" t="s">
        <v>6675</v>
      </c>
      <c r="N79" s="180" t="s">
        <v>6349</v>
      </c>
      <c r="O79" s="119" t="s">
        <v>6676</v>
      </c>
      <c r="P79" s="119">
        <v>1</v>
      </c>
      <c r="Q79" s="119" t="s">
        <v>242</v>
      </c>
      <c r="W79" s="180" t="str">
        <f>IF(综合数据!$B$14=TRUE,"13","")</f>
        <v>13</v>
      </c>
      <c r="X79" s="180">
        <v>1</v>
      </c>
      <c r="Z79" s="180">
        <v>9</v>
      </c>
      <c r="AA79" s="198" t="s">
        <v>2368</v>
      </c>
      <c r="AB79" s="250" t="str">
        <f t="array" ref="AB79">INDEX(B:B,SMALL(IF($Q$3:$Q$517&lt;&gt;"",ROW($3:$517),518),ROW(B78)))&amp;""</f>
        <v>曳光弹</v>
      </c>
      <c r="AC79" s="394" t="str">
        <f>IFERROR(IF(AND($Q80&lt;&gt;"",IF(法术查询!$J$4="",1,INDEX($R80:$Z80,1,VLOOKUP(法术查询!$J$4,$AF$2:$AG$10,2,0)))&lt;&gt;"",IF(法术查询!$J$5="",1,$P80=VLOOKUP(法术查询!$J$5,$AH$2:$AI$11,2,0)),IF(法术查询!$J$6="",1,IF(法术查询!$J$6=$E80,1,0)),IF(法术查询!$J$7="",1,SEARCH(法术查询!$J$7,$F80)),IF(法术查询!$J$8="",1,SEARCH(法术查询!$J$8,G80)),IF(法术查询!$J$9="",1,SEARCH(法术查询!$J$9,N80)),IF(法术查询!$J$10="",1,IF(法术查询!$J$10=$AF$11,IF($M80=1,1,0),IF($M80="",1,0))),IF(法术查询!$J$11="",1,IF(法术查询!$J$11=$AF$11,IF($D80=1,1,0),IF($D80="",1,0))),IF(法术查询!$J$12="",1,SEARCH(法术查询!$J$12,$B80&amp;$C80&amp;$O80)),IF(法术查询!$J$13="",1,SEARCH(法术查询!$J$13,$B80&amp;$C80&amp;$O80)),IF(法术查询!$J$14="",1,SEARCH(法术查询!$J$14,$B80&amp;$C80&amp;$O80)),IF(法术查询!$J$16="",1,IF(法术查询!$J$16=$AF$11,IF($H80=1,1,0),IF($H80="",1,0))),IF(法术查询!$J$17="",1,IF(法术查询!$J$17=$AF$11,IF($I80=1,1,0),IF($I80="",1,0))),IF(法术查询!$J$18="",1,IF(法术查询!$J$18=$AF$11,IF($J80&lt;&gt;"",1,0),IF($J80="",1,0))),IF(法术查询!$J$19="",1,IF(法术查询!$J$19=$AF$11,IF($L80&lt;&gt;"",1,0),IF($L80="",1,0)))),$B80,""),"")</f>
        <v/>
      </c>
      <c r="AD79" s="180" t="str">
        <f t="array" ref="AD79">INDEX(AC:AC,SMALL(IF($AC$2:$AC$516&lt;&gt;"",ROW($2:$516),517),ROW(AC78)))&amp;""</f>
        <v/>
      </c>
      <c r="AE79" s="198" t="str">
        <f t="shared" si="5"/>
        <v/>
      </c>
      <c r="AJ79" s="250">
        <v>78</v>
      </c>
      <c r="AK79" s="180" t="str">
        <f>IF(法术书!Y35="","",法术书!Y35)</f>
        <v/>
      </c>
      <c r="AL79" s="119" t="str">
        <f t="array" ref="AL79">IFERROR(INDEX(AK$1:AK$301,SMALL(IF(MATCH(AK79,AK$1:AK$301,0)=ROW(AK79),ROW(AK$1:AK$301),999),ROW(AK79))),"")</f>
        <v/>
      </c>
      <c r="AM79" s="120" t="str">
        <f t="array" ref="AM79">INDEX(AL:AL,SMALL(IF($AL$2:$AL$301&lt;&gt;"",ROW($2:$301),302),ROW(AL78)))&amp;""</f>
        <v/>
      </c>
    </row>
    <row r="80" spans="1:39" ht="14.4" customHeight="1" x14ac:dyDescent="0.25">
      <c r="A80" s="250">
        <v>78</v>
      </c>
      <c r="B80" s="119" t="s">
        <v>6677</v>
      </c>
      <c r="C80" s="119" t="s">
        <v>6678</v>
      </c>
      <c r="E80" s="434" t="s">
        <v>6304</v>
      </c>
      <c r="F80" s="180" t="s">
        <v>6282</v>
      </c>
      <c r="G80" s="180" t="s">
        <v>6298</v>
      </c>
      <c r="H80" s="180">
        <v>1</v>
      </c>
      <c r="I80" s="180">
        <v>1</v>
      </c>
      <c r="N80" s="180" t="s">
        <v>6292</v>
      </c>
      <c r="O80" s="119" t="s">
        <v>6679</v>
      </c>
      <c r="P80" s="119">
        <v>1</v>
      </c>
      <c r="Q80" s="119" t="s">
        <v>242</v>
      </c>
      <c r="S80" s="180">
        <v>1</v>
      </c>
      <c r="AA80" s="120" t="s">
        <v>6680</v>
      </c>
      <c r="AB80" s="250" t="str">
        <f t="array" ref="AB80">INDEX(B:B,SMALL(IF($Q$3:$Q$517&lt;&gt;"",ROW($3:$517),518),ROW(B79)))&amp;""</f>
        <v>棘雹术</v>
      </c>
      <c r="AC80" s="394" t="str">
        <f>IFERROR(IF(AND($Q81&lt;&gt;"",IF(法术查询!$J$4="",1,INDEX($R81:$Z81,1,VLOOKUP(法术查询!$J$4,$AF$2:$AG$10,2,0)))&lt;&gt;"",IF(法术查询!$J$5="",1,$P81=VLOOKUP(法术查询!$J$5,$AH$2:$AI$11,2,0)),IF(法术查询!$J$6="",1,IF(法术查询!$J$6=$E81,1,0)),IF(法术查询!$J$7="",1,SEARCH(法术查询!$J$7,$F81)),IF(法术查询!$J$8="",1,SEARCH(法术查询!$J$8,G81)),IF(法术查询!$J$9="",1,SEARCH(法术查询!$J$9,N81)),IF(法术查询!$J$10="",1,IF(法术查询!$J$10=$AF$11,IF($M81=1,1,0),IF($M81="",1,0))),IF(法术查询!$J$11="",1,IF(法术查询!$J$11=$AF$11,IF($D81=1,1,0),IF($D81="",1,0))),IF(法术查询!$J$12="",1,SEARCH(法术查询!$J$12,$B81&amp;$C81&amp;$O81)),IF(法术查询!$J$13="",1,SEARCH(法术查询!$J$13,$B81&amp;$C81&amp;$O81)),IF(法术查询!$J$14="",1,SEARCH(法术查询!$J$14,$B81&amp;$C81&amp;$O81)),IF(法术查询!$J$16="",1,IF(法术查询!$J$16=$AF$11,IF($H81=1,1,0),IF($H81="",1,0))),IF(法术查询!$J$17="",1,IF(法术查询!$J$17=$AF$11,IF($I81=1,1,0),IF($I81="",1,0))),IF(法术查询!$J$18="",1,IF(法术查询!$J$18=$AF$11,IF($J81&lt;&gt;"",1,0),IF($J81="",1,0))),IF(法术查询!$J$19="",1,IF(法术查询!$J$19=$AF$11,IF($L81&lt;&gt;"",1,0),IF($L81="",1,0)))),$B81,""),"")</f>
        <v/>
      </c>
      <c r="AD80" s="180" t="str">
        <f t="array" ref="AD80">INDEX(AC:AC,SMALL(IF($AC$2:$AC$516&lt;&gt;"",ROW($2:$516),517),ROW(AC79)))&amp;""</f>
        <v/>
      </c>
      <c r="AE80" s="198" t="str">
        <f t="shared" si="5"/>
        <v/>
      </c>
      <c r="AJ80" s="250">
        <v>79</v>
      </c>
      <c r="AK80" s="180" t="str">
        <f>IF(法术书!Y36="","",法术书!Y36)</f>
        <v/>
      </c>
      <c r="AL80" s="119" t="str">
        <f t="array" ref="AL80">IFERROR(INDEX(AK$1:AK$301,SMALL(IF(MATCH(AK80,AK$1:AK$301,0)=ROW(AK80),ROW(AK$1:AK$301),999),ROW(AK80))),"")</f>
        <v/>
      </c>
      <c r="AM80" s="120" t="str">
        <f t="array" ref="AM80">INDEX(AL:AL,SMALL(IF($AL$2:$AL$301&lt;&gt;"",ROW($2:$301),302),ROW(AL79)))&amp;""</f>
        <v/>
      </c>
    </row>
    <row r="81" spans="1:39" ht="14.4" customHeight="1" x14ac:dyDescent="0.25">
      <c r="A81" s="250">
        <v>79</v>
      </c>
      <c r="B81" s="119" t="s">
        <v>6681</v>
      </c>
      <c r="C81" s="119" t="s">
        <v>6682</v>
      </c>
      <c r="E81" s="378" t="s">
        <v>6281</v>
      </c>
      <c r="F81" s="180" t="s">
        <v>6352</v>
      </c>
      <c r="G81" s="180" t="s">
        <v>6291</v>
      </c>
      <c r="H81" s="180">
        <v>1</v>
      </c>
      <c r="M81" s="180">
        <v>1</v>
      </c>
      <c r="N81" s="180" t="s">
        <v>6306</v>
      </c>
      <c r="O81" s="119" t="s">
        <v>6683</v>
      </c>
      <c r="P81" s="119">
        <v>1</v>
      </c>
      <c r="Q81" s="119" t="s">
        <v>242</v>
      </c>
      <c r="V81" s="180">
        <v>1</v>
      </c>
      <c r="AA81" s="198"/>
      <c r="AB81" s="250" t="str">
        <f t="array" ref="AB81">INDEX(B:B,SMALL(IF($Q$3:$Q$517&lt;&gt;"",ROW($3:$517),518),ROW(B80)))&amp;""</f>
        <v>治愈真言</v>
      </c>
      <c r="AC81" s="394" t="str">
        <f>IFERROR(IF(AND($Q82&lt;&gt;"",IF(法术查询!$J$4="",1,INDEX($R82:$Z82,1,VLOOKUP(法术查询!$J$4,$AF$2:$AG$10,2,0)))&lt;&gt;"",IF(法术查询!$J$5="",1,$P82=VLOOKUP(法术查询!$J$5,$AH$2:$AI$11,2,0)),IF(法术查询!$J$6="",1,IF(法术查询!$J$6=$E82,1,0)),IF(法术查询!$J$7="",1,SEARCH(法术查询!$J$7,$F82)),IF(法术查询!$J$8="",1,SEARCH(法术查询!$J$8,G82)),IF(法术查询!$J$9="",1,SEARCH(法术查询!$J$9,N82)),IF(法术查询!$J$10="",1,IF(法术查询!$J$10=$AF$11,IF($M82=1,1,0),IF($M82="",1,0))),IF(法术查询!$J$11="",1,IF(法术查询!$J$11=$AF$11,IF($D82=1,1,0),IF($D82="",1,0))),IF(法术查询!$J$12="",1,SEARCH(法术查询!$J$12,$B82&amp;$C82&amp;$O82)),IF(法术查询!$J$13="",1,SEARCH(法术查询!$J$13,$B82&amp;$C82&amp;$O82)),IF(法术查询!$J$14="",1,SEARCH(法术查询!$J$14,$B82&amp;$C82&amp;$O82)),IF(法术查询!$J$16="",1,IF(法术查询!$J$16=$AF$11,IF($H82=1,1,0),IF($H82="",1,0))),IF(法术查询!$J$17="",1,IF(法术查询!$J$17=$AF$11,IF($I82=1,1,0),IF($I82="",1,0))),IF(法术查询!$J$18="",1,IF(法术查询!$J$18=$AF$11,IF($J82&lt;&gt;"",1,0),IF($J82="",1,0))),IF(法术查询!$J$19="",1,IF(法术查询!$J$19=$AF$11,IF($L82&lt;&gt;"",1,0),IF($L82="",1,0)))),$B82,""),"")</f>
        <v/>
      </c>
      <c r="AD81" s="180" t="str">
        <f t="array" ref="AD81">INDEX(AC:AC,SMALL(IF($AC$2:$AC$516&lt;&gt;"",ROW($2:$516),517),ROW(AC80)))&amp;""</f>
        <v/>
      </c>
      <c r="AE81" s="198" t="str">
        <f t="shared" si="5"/>
        <v/>
      </c>
      <c r="AJ81" s="250">
        <v>80</v>
      </c>
      <c r="AK81" s="180" t="str">
        <f>IF(法术书!Y37="","",法术书!Y37)</f>
        <v/>
      </c>
      <c r="AL81" s="119" t="str">
        <f t="array" ref="AL81">IFERROR(INDEX(AK$1:AK$301,SMALL(IF(MATCH(AK81,AK$1:AK$301,0)=ROW(AK81),ROW(AK$1:AK$301),999),ROW(AK81))),"")</f>
        <v/>
      </c>
      <c r="AM81" s="120" t="str">
        <f t="array" ref="AM81">INDEX(AL:AL,SMALL(IF($AL$2:$AL$301&lt;&gt;"",ROW($2:$301),302),ROW(AL80)))&amp;""</f>
        <v/>
      </c>
    </row>
    <row r="82" spans="1:39" ht="14.4" customHeight="1" x14ac:dyDescent="0.25">
      <c r="A82" s="250">
        <v>80</v>
      </c>
      <c r="B82" s="119" t="s">
        <v>6684</v>
      </c>
      <c r="C82" s="119" t="s">
        <v>6685</v>
      </c>
      <c r="E82" s="434" t="s">
        <v>6304</v>
      </c>
      <c r="F82" s="180" t="s">
        <v>6352</v>
      </c>
      <c r="G82" s="180" t="s">
        <v>6283</v>
      </c>
      <c r="H82" s="180">
        <v>1</v>
      </c>
      <c r="N82" s="180" t="s">
        <v>6284</v>
      </c>
      <c r="O82" s="119" t="s">
        <v>6686</v>
      </c>
      <c r="P82" s="119">
        <v>1</v>
      </c>
      <c r="Q82" s="119" t="s">
        <v>242</v>
      </c>
      <c r="R82" s="180">
        <v>1</v>
      </c>
      <c r="S82" s="180">
        <v>1</v>
      </c>
      <c r="T82" s="180">
        <v>1</v>
      </c>
      <c r="AA82" s="120" t="s">
        <v>6687</v>
      </c>
      <c r="AB82" s="250" t="str">
        <f t="array" ref="AB82">INDEX(B:B,SMALL(IF($Q$3:$Q$517&lt;&gt;"",ROW($3:$517),518),ROW(B81)))&amp;""</f>
        <v>炼狱叱喝</v>
      </c>
      <c r="AC82" s="394" t="str">
        <f>IFERROR(IF(AND($Q83&lt;&gt;"",IF(法术查询!$J$4="",1,INDEX($R83:$Z83,1,VLOOKUP(法术查询!$J$4,$AF$2:$AG$10,2,0)))&lt;&gt;"",IF(法术查询!$J$5="",1,$P83=VLOOKUP(法术查询!$J$5,$AH$2:$AI$11,2,0)),IF(法术查询!$J$6="",1,IF(法术查询!$J$6=$E83,1,0)),IF(法术查询!$J$7="",1,SEARCH(法术查询!$J$7,$F83)),IF(法术查询!$J$8="",1,SEARCH(法术查询!$J$8,G83)),IF(法术查询!$J$9="",1,SEARCH(法术查询!$J$9,N83)),IF(法术查询!$J$10="",1,IF(法术查询!$J$10=$AF$11,IF($M83=1,1,0),IF($M83="",1,0))),IF(法术查询!$J$11="",1,IF(法术查询!$J$11=$AF$11,IF($D83=1,1,0),IF($D83="",1,0))),IF(法术查询!$J$12="",1,SEARCH(法术查询!$J$12,$B83&amp;$C83&amp;$O83)),IF(法术查询!$J$13="",1,SEARCH(法术查询!$J$13,$B83&amp;$C83&amp;$O83)),IF(法术查询!$J$14="",1,SEARCH(法术查询!$J$14,$B83&amp;$C83&amp;$O83)),IF(法术查询!$J$16="",1,IF(法术查询!$J$16=$AF$11,IF($H83=1,1,0),IF($H83="",1,0))),IF(法术查询!$J$17="",1,IF(法术查询!$J$17=$AF$11,IF($I83=1,1,0),IF($I83="",1,0))),IF(法术查询!$J$18="",1,IF(法术查询!$J$18=$AF$11,IF($J83&lt;&gt;"",1,0),IF($J83="",1,0))),IF(法术查询!$J$19="",1,IF(法术查询!$J$19=$AF$11,IF($L83&lt;&gt;"",1,0),IF($L83="",1,0)))),$B83,""),"")</f>
        <v/>
      </c>
      <c r="AD82" s="180" t="str">
        <f t="array" ref="AD82">INDEX(AC:AC,SMALL(IF($AC$2:$AC$516&lt;&gt;"",ROW($2:$516),517),ROW(AC81)))&amp;""</f>
        <v/>
      </c>
      <c r="AE82" s="198" t="str">
        <f t="shared" si="5"/>
        <v/>
      </c>
      <c r="AJ82" s="250">
        <v>81</v>
      </c>
      <c r="AK82" s="180" t="str">
        <f>IF(法术书!Y38="","",法术书!Y38)</f>
        <v/>
      </c>
      <c r="AL82" s="119" t="str">
        <f t="array" ref="AL82">IFERROR(INDEX(AK$1:AK$301,SMALL(IF(MATCH(AK82,AK$1:AK$301,0)=ROW(AK82),ROW(AK$1:AK$301),999),ROW(AK82))),"")</f>
        <v/>
      </c>
      <c r="AM82" s="120" t="str">
        <f t="array" ref="AM82">INDEX(AL:AL,SMALL(IF($AL$2:$AL$301&lt;&gt;"",ROW($2:$301),302),ROW(AL81)))&amp;""</f>
        <v/>
      </c>
    </row>
    <row r="83" spans="1:39" ht="14.4" customHeight="1" x14ac:dyDescent="0.25">
      <c r="A83" s="250">
        <v>81</v>
      </c>
      <c r="B83" s="119" t="s">
        <v>6688</v>
      </c>
      <c r="C83" s="119" t="s">
        <v>6689</v>
      </c>
      <c r="E83" s="434" t="s">
        <v>6304</v>
      </c>
      <c r="F83" s="180" t="s">
        <v>6418</v>
      </c>
      <c r="G83" s="180" t="s">
        <v>6283</v>
      </c>
      <c r="H83" s="180">
        <v>1</v>
      </c>
      <c r="I83" s="180">
        <v>1</v>
      </c>
      <c r="N83" s="180" t="s">
        <v>6284</v>
      </c>
      <c r="O83" s="119" t="s">
        <v>6690</v>
      </c>
      <c r="P83" s="119">
        <v>1</v>
      </c>
      <c r="Q83" s="119" t="s">
        <v>242</v>
      </c>
      <c r="Y83" s="180">
        <v>1</v>
      </c>
      <c r="AA83" s="120" t="s">
        <v>6691</v>
      </c>
      <c r="AB83" s="250" t="str">
        <f t="array" ref="AB83">INDEX(B:B,SMALL(IF($Q$3:$Q$517&lt;&gt;"",ROW($3:$517),518),ROW(B82)))&amp;""</f>
        <v>英雄气概</v>
      </c>
      <c r="AC83" s="394" t="str">
        <f>IFERROR(IF(AND($Q84&lt;&gt;"",IF(法术查询!$J$4="",1,INDEX($R84:$Z84,1,VLOOKUP(法术查询!$J$4,$AF$2:$AG$10,2,0)))&lt;&gt;"",IF(法术查询!$J$5="",1,$P84=VLOOKUP(法术查询!$J$5,$AH$2:$AI$11,2,0)),IF(法术查询!$J$6="",1,IF(法术查询!$J$6=$E84,1,0)),IF(法术查询!$J$7="",1,SEARCH(法术查询!$J$7,$F84)),IF(法术查询!$J$8="",1,SEARCH(法术查询!$J$8,G84)),IF(法术查询!$J$9="",1,SEARCH(法术查询!$J$9,N84)),IF(法术查询!$J$10="",1,IF(法术查询!$J$10=$AF$11,IF($M84=1,1,0),IF($M84="",1,0))),IF(法术查询!$J$11="",1,IF(法术查询!$J$11=$AF$11,IF($D84=1,1,0),IF($D84="",1,0))),IF(法术查询!$J$12="",1,SEARCH(法术查询!$J$12,$B84&amp;$C84&amp;$O84)),IF(法术查询!$J$13="",1,SEARCH(法术查询!$J$13,$B84&amp;$C84&amp;$O84)),IF(法术查询!$J$14="",1,SEARCH(法术查询!$J$14,$B84&amp;$C84&amp;$O84)),IF(法术查询!$J$16="",1,IF(法术查询!$J$16=$AF$11,IF($H84=1,1,0),IF($H84="",1,0))),IF(法术查询!$J$17="",1,IF(法术查询!$J$17=$AF$11,IF($I84=1,1,0),IF($I84="",1,0))),IF(法术查询!$J$18="",1,IF(法术查询!$J$18=$AF$11,IF($J84&lt;&gt;"",1,0),IF($J84="",1,0))),IF(法术查询!$J$19="",1,IF(法术查询!$J$19=$AF$11,IF($L84&lt;&gt;"",1,0),IF($L84="",1,0)))),$B84,""),"")</f>
        <v/>
      </c>
      <c r="AD83" s="180" t="str">
        <f t="array" ref="AD83">INDEX(AC:AC,SMALL(IF($AC$2:$AC$516&lt;&gt;"",ROW($2:$516),517),ROW(AC82)))&amp;""</f>
        <v/>
      </c>
      <c r="AE83" s="198" t="str">
        <f t="shared" si="5"/>
        <v/>
      </c>
      <c r="AJ83" s="250">
        <v>82</v>
      </c>
      <c r="AK83" s="180" t="str">
        <f>IF(法术书!Y39="","",法术书!Y39)</f>
        <v/>
      </c>
      <c r="AL83" s="119" t="str">
        <f t="array" ref="AL83">IFERROR(INDEX(AK$1:AK$301,SMALL(IF(MATCH(AK83,AK$1:AK$301,0)=ROW(AK83),ROW(AK$1:AK$301),999),ROW(AK83))),"")</f>
        <v/>
      </c>
      <c r="AM83" s="120" t="str">
        <f t="array" ref="AM83">INDEX(AL:AL,SMALL(IF($AL$2:$AL$301&lt;&gt;"",ROW($2:$301),302),ROW(AL82)))&amp;""</f>
        <v/>
      </c>
    </row>
    <row r="84" spans="1:39" ht="14.4" customHeight="1" x14ac:dyDescent="0.25">
      <c r="A84" s="250">
        <v>82</v>
      </c>
      <c r="B84" s="119" t="s">
        <v>6692</v>
      </c>
      <c r="C84" s="119" t="s">
        <v>6693</v>
      </c>
      <c r="E84" s="379" t="s">
        <v>6328</v>
      </c>
      <c r="F84" s="180" t="s">
        <v>6282</v>
      </c>
      <c r="G84" s="180" t="s">
        <v>3682</v>
      </c>
      <c r="H84" s="180">
        <v>1</v>
      </c>
      <c r="I84" s="180">
        <v>1</v>
      </c>
      <c r="M84" s="180">
        <v>1</v>
      </c>
      <c r="N84" s="180" t="s">
        <v>6306</v>
      </c>
      <c r="O84" s="119" t="s">
        <v>6694</v>
      </c>
      <c r="P84" s="119">
        <v>1</v>
      </c>
      <c r="Q84" s="119" t="s">
        <v>242</v>
      </c>
      <c r="R84" s="180">
        <v>1</v>
      </c>
      <c r="U84" s="180">
        <v>1</v>
      </c>
      <c r="AA84" s="120" t="s">
        <v>6695</v>
      </c>
      <c r="AB84" s="250" t="str">
        <f t="array" ref="AB84">INDEX(B:B,SMALL(IF($Q$3:$Q$517&lt;&gt;"",ROW($3:$517),518),ROW(B83)))&amp;""</f>
        <v>脆弱诅咒</v>
      </c>
      <c r="AC84" s="394" t="str">
        <f>IFERROR(IF(AND($Q85&lt;&gt;"",IF(法术查询!$J$4="",1,INDEX($R85:$Z85,1,VLOOKUP(法术查询!$J$4,$AF$2:$AG$10,2,0)))&lt;&gt;"",IF(法术查询!$J$5="",1,$P85=VLOOKUP(法术查询!$J$5,$AH$2:$AI$11,2,0)),IF(法术查询!$J$6="",1,IF(法术查询!$J$6=$E85,1,0)),IF(法术查询!$J$7="",1,SEARCH(法术查询!$J$7,$F85)),IF(法术查询!$J$8="",1,SEARCH(法术查询!$J$8,G85)),IF(法术查询!$J$9="",1,SEARCH(法术查询!$J$9,N85)),IF(法术查询!$J$10="",1,IF(法术查询!$J$10=$AF$11,IF($M85=1,1,0),IF($M85="",1,0))),IF(法术查询!$J$11="",1,IF(法术查询!$J$11=$AF$11,IF($D85=1,1,0),IF($D85="",1,0))),IF(法术查询!$J$12="",1,SEARCH(法术查询!$J$12,$B85&amp;$C85&amp;$O85)),IF(法术查询!$J$13="",1,SEARCH(法术查询!$J$13,$B85&amp;$C85&amp;$O85)),IF(法术查询!$J$14="",1,SEARCH(法术查询!$J$14,$B85&amp;$C85&amp;$O85)),IF(法术查询!$J$16="",1,IF(法术查询!$J$16=$AF$11,IF($H85=1,1,0),IF($H85="",1,0))),IF(法术查询!$J$17="",1,IF(法术查询!$J$17=$AF$11,IF($I85=1,1,0),IF($I85="",1,0))),IF(法术查询!$J$18="",1,IF(法术查询!$J$18=$AF$11,IF($J85&lt;&gt;"",1,0),IF($J85="",1,0))),IF(法术查询!$J$19="",1,IF(法术查询!$J$19=$AF$11,IF($L85&lt;&gt;"",1,0),IF($L85="",1,0)))),$B85,""),"")</f>
        <v/>
      </c>
      <c r="AD84" s="180" t="str">
        <f t="array" ref="AD84">INDEX(AC:AC,SMALL(IF($AC$2:$AC$516&lt;&gt;"",ROW($2:$516),517),ROW(AC83)))&amp;""</f>
        <v/>
      </c>
      <c r="AE84" s="198" t="str">
        <f t="shared" si="5"/>
        <v/>
      </c>
      <c r="AJ84" s="250">
        <v>83</v>
      </c>
      <c r="AK84" s="180" t="str">
        <f>IF(法术书!Y40="","",法术书!Y40)</f>
        <v/>
      </c>
      <c r="AL84" s="119" t="str">
        <f t="array" ref="AL84">IFERROR(INDEX(AK$1:AK$301,SMALL(IF(MATCH(AK84,AK$1:AK$301,0)=ROW(AK84),ROW(AK$1:AK$301),999),ROW(AK84))),"")</f>
        <v/>
      </c>
      <c r="AM84" s="120" t="str">
        <f t="array" ref="AM84">INDEX(AL:AL,SMALL(IF($AL$2:$AL$301&lt;&gt;"",ROW($2:$301),302),ROW(AL83)))&amp;""</f>
        <v/>
      </c>
    </row>
    <row r="85" spans="1:39" ht="14.4" customHeight="1" x14ac:dyDescent="0.25">
      <c r="A85" s="250">
        <v>83</v>
      </c>
      <c r="B85" s="119" t="s">
        <v>6696</v>
      </c>
      <c r="C85" s="119" t="s">
        <v>6697</v>
      </c>
      <c r="E85" s="379" t="s">
        <v>6328</v>
      </c>
      <c r="F85" s="180" t="s">
        <v>6352</v>
      </c>
      <c r="G85" s="180" t="s">
        <v>6400</v>
      </c>
      <c r="H85" s="180">
        <v>1</v>
      </c>
      <c r="I85" s="180">
        <v>1</v>
      </c>
      <c r="J85" s="180">
        <v>1</v>
      </c>
      <c r="K85" s="119" t="s">
        <v>6698</v>
      </c>
      <c r="M85" s="180">
        <v>1</v>
      </c>
      <c r="N85" s="180" t="s">
        <v>6306</v>
      </c>
      <c r="O85" s="119" t="s">
        <v>6699</v>
      </c>
      <c r="P85" s="119">
        <v>1</v>
      </c>
      <c r="Q85" s="119" t="s">
        <v>242</v>
      </c>
      <c r="Y85" s="180">
        <v>1</v>
      </c>
      <c r="AA85" s="198"/>
      <c r="AB85" s="250" t="str">
        <f t="array" ref="AB85">INDEX(B:B,SMALL(IF($Q$3:$Q$517&lt;&gt;"",ROW($3:$517),518),ROW(B84)))&amp;""</f>
        <v>猎人印记</v>
      </c>
      <c r="AC85" s="394" t="str">
        <f>IFERROR(IF(AND($Q86&lt;&gt;"",IF(法术查询!$J$4="",1,INDEX($R86:$Z86,1,VLOOKUP(法术查询!$J$4,$AF$2:$AG$10,2,0)))&lt;&gt;"",IF(法术查询!$J$5="",1,$P86=VLOOKUP(法术查询!$J$5,$AH$2:$AI$11,2,0)),IF(法术查询!$J$6="",1,IF(法术查询!$J$6=$E86,1,0)),IF(法术查询!$J$7="",1,SEARCH(法术查询!$J$7,$F86)),IF(法术查询!$J$8="",1,SEARCH(法术查询!$J$8,G86)),IF(法术查询!$J$9="",1,SEARCH(法术查询!$J$9,N86)),IF(法术查询!$J$10="",1,IF(法术查询!$J$10=$AF$11,IF($M86=1,1,0),IF($M86="",1,0))),IF(法术查询!$J$11="",1,IF(法术查询!$J$11=$AF$11,IF($D86=1,1,0),IF($D86="",1,0))),IF(法术查询!$J$12="",1,SEARCH(法术查询!$J$12,$B86&amp;$C86&amp;$O86)),IF(法术查询!$J$13="",1,SEARCH(法术查询!$J$13,$B86&amp;$C86&amp;$O86)),IF(法术查询!$J$14="",1,SEARCH(法术查询!$J$14,$B86&amp;$C86&amp;$O86)),IF(法术查询!$J$16="",1,IF(法术查询!$J$16=$AF$11,IF($H86=1,1,0),IF($H86="",1,0))),IF(法术查询!$J$17="",1,IF(法术查询!$J$17=$AF$11,IF($I86=1,1,0),IF($I86="",1,0))),IF(法术查询!$J$18="",1,IF(法术查询!$J$18=$AF$11,IF($J86&lt;&gt;"",1,0),IF($J86="",1,0))),IF(法术查询!$J$19="",1,IF(法术查询!$J$19=$AF$11,IF($L86&lt;&gt;"",1,0),IF($L86="",1,0)))),$B86,""),"")</f>
        <v/>
      </c>
      <c r="AD85" s="180" t="str">
        <f t="array" ref="AD85">INDEX(AC:AC,SMALL(IF($AC$2:$AC$516&lt;&gt;"",ROW($2:$516),517),ROW(AC84)))&amp;""</f>
        <v/>
      </c>
      <c r="AE85" s="198" t="str">
        <f t="shared" si="5"/>
        <v/>
      </c>
      <c r="AJ85" s="250">
        <v>84</v>
      </c>
      <c r="AK85" s="180" t="str">
        <f>IF(法术书!Y41="","",法术书!Y41)</f>
        <v/>
      </c>
      <c r="AL85" s="119" t="str">
        <f t="array" ref="AL85">IFERROR(INDEX(AK$1:AK$301,SMALL(IF(MATCH(AK85,AK$1:AK$301,0)=ROW(AK85),ROW(AK$1:AK$301),999),ROW(AK85))),"")</f>
        <v/>
      </c>
      <c r="AM85" s="120" t="str">
        <f t="array" ref="AM85">INDEX(AL:AL,SMALL(IF($AL$2:$AL$301&lt;&gt;"",ROW($2:$301),302),ROW(AL84)))&amp;""</f>
        <v/>
      </c>
    </row>
    <row r="86" spans="1:39" ht="14.4" customHeight="1" x14ac:dyDescent="0.25">
      <c r="A86" s="250">
        <v>84</v>
      </c>
      <c r="B86" s="119" t="s">
        <v>6700</v>
      </c>
      <c r="C86" s="119" t="s">
        <v>6701</v>
      </c>
      <c r="E86" s="438" t="s">
        <v>6335</v>
      </c>
      <c r="F86" s="180" t="s">
        <v>6352</v>
      </c>
      <c r="G86" s="180" t="s">
        <v>6400</v>
      </c>
      <c r="H86" s="180">
        <v>1</v>
      </c>
      <c r="M86" s="180">
        <v>1</v>
      </c>
      <c r="N86" s="180" t="s">
        <v>6379</v>
      </c>
      <c r="O86" s="119" t="s">
        <v>6702</v>
      </c>
      <c r="P86" s="119">
        <v>1</v>
      </c>
      <c r="Q86" s="119" t="s">
        <v>242</v>
      </c>
      <c r="V86" s="180">
        <v>1</v>
      </c>
      <c r="AA86" s="120" t="s">
        <v>6703</v>
      </c>
      <c r="AB86" s="250" t="str">
        <f t="array" ref="AB86">INDEX(B:B,SMALL(IF($Q$3:$Q$517&lt;&gt;"",ROW($3:$517),518),ROW(B85)))&amp;""</f>
        <v>鉴定术</v>
      </c>
      <c r="AC86" s="394" t="str">
        <f>IFERROR(IF(AND($Q87&lt;&gt;"",IF(法术查询!$J$4="",1,INDEX($R87:$Z87,1,VLOOKUP(法术查询!$J$4,$AF$2:$AG$10,2,0)))&lt;&gt;"",IF(法术查询!$J$5="",1,$P87=VLOOKUP(法术查询!$J$5,$AH$2:$AI$11,2,0)),IF(法术查询!$J$6="",1,IF(法术查询!$J$6=$E87,1,0)),IF(法术查询!$J$7="",1,SEARCH(法术查询!$J$7,$F87)),IF(法术查询!$J$8="",1,SEARCH(法术查询!$J$8,G87)),IF(法术查询!$J$9="",1,SEARCH(法术查询!$J$9,N87)),IF(法术查询!$J$10="",1,IF(法术查询!$J$10=$AF$11,IF($M87=1,1,0),IF($M87="",1,0))),IF(法术查询!$J$11="",1,IF(法术查询!$J$11=$AF$11,IF($D87=1,1,0),IF($D87="",1,0))),IF(法术查询!$J$12="",1,SEARCH(法术查询!$J$12,$B87&amp;$C87&amp;$O87)),IF(法术查询!$J$13="",1,SEARCH(法术查询!$J$13,$B87&amp;$C87&amp;$O87)),IF(法术查询!$J$14="",1,SEARCH(法术查询!$J$14,$B87&amp;$C87&amp;$O87)),IF(法术查询!$J$16="",1,IF(法术查询!$J$16=$AF$11,IF($H87=1,1,0),IF($H87="",1,0))),IF(法术查询!$J$17="",1,IF(法术查询!$J$17=$AF$11,IF($I87=1,1,0),IF($I87="",1,0))),IF(法术查询!$J$18="",1,IF(法术查询!$J$18=$AF$11,IF($J87&lt;&gt;"",1,0),IF($J87="",1,0))),IF(法术查询!$J$19="",1,IF(法术查询!$J$19=$AF$11,IF($L87&lt;&gt;"",1,0),IF($L87="",1,0)))),$B87,""),"")</f>
        <v/>
      </c>
      <c r="AD86" s="180" t="str">
        <f t="array" ref="AD86">INDEX(AC:AC,SMALL(IF($AC$2:$AC$516&lt;&gt;"",ROW($2:$516),517),ROW(AC85)))&amp;""</f>
        <v/>
      </c>
      <c r="AE86" s="198" t="str">
        <f t="shared" si="5"/>
        <v/>
      </c>
      <c r="AJ86" s="250">
        <v>85</v>
      </c>
      <c r="AK86" s="180" t="str">
        <f>IF(法术书!Y42="","",法术书!Y42)</f>
        <v/>
      </c>
      <c r="AL86" s="119" t="str">
        <f t="array" ref="AL86">IFERROR(INDEX(AK$1:AK$301,SMALL(IF(MATCH(AK86,AK$1:AK$301,0)=ROW(AK86),ROW(AK$1:AK$301),999),ROW(AK86))),"")</f>
        <v/>
      </c>
      <c r="AM86" s="120" t="str">
        <f t="array" ref="AM86">INDEX(AL:AL,SMALL(IF($AL$2:$AL$301&lt;&gt;"",ROW($2:$301),302),ROW(AL85)))&amp;""</f>
        <v/>
      </c>
    </row>
    <row r="87" spans="1:39" ht="14.4" customHeight="1" x14ac:dyDescent="0.25">
      <c r="A87" s="250">
        <v>85</v>
      </c>
      <c r="B87" s="119" t="s">
        <v>6704</v>
      </c>
      <c r="C87" s="119" t="s">
        <v>6705</v>
      </c>
      <c r="D87" s="180">
        <v>1</v>
      </c>
      <c r="E87" s="438" t="s">
        <v>6335</v>
      </c>
      <c r="F87" s="180" t="s">
        <v>6349</v>
      </c>
      <c r="G87" s="180" t="s">
        <v>3682</v>
      </c>
      <c r="H87" s="180">
        <v>1</v>
      </c>
      <c r="I87" s="180">
        <v>1</v>
      </c>
      <c r="J87" s="180">
        <v>1</v>
      </c>
      <c r="K87" s="119" t="s">
        <v>6706</v>
      </c>
      <c r="N87" s="180" t="s">
        <v>6284</v>
      </c>
      <c r="O87" s="119" t="s">
        <v>6707</v>
      </c>
      <c r="P87" s="119">
        <v>1</v>
      </c>
      <c r="Q87" s="119" t="s">
        <v>242</v>
      </c>
      <c r="R87" s="180">
        <v>1</v>
      </c>
      <c r="X87" s="180">
        <v>1</v>
      </c>
      <c r="Z87" s="180">
        <v>9</v>
      </c>
      <c r="AA87" s="120" t="s">
        <v>6708</v>
      </c>
      <c r="AB87" s="250" t="str">
        <f t="array" ref="AB87">INDEX(B:B,SMALL(IF($Q$3:$Q$517&lt;&gt;"",ROW($3:$517),518),ROW(B86)))&amp;""</f>
        <v>迷幻手稿</v>
      </c>
      <c r="AC87" s="394" t="str">
        <f>IFERROR(IF(AND($Q88&lt;&gt;"",IF(法术查询!$J$4="",1,INDEX($R88:$Z88,1,VLOOKUP(法术查询!$J$4,$AF$2:$AG$10,2,0)))&lt;&gt;"",IF(法术查询!$J$5="",1,$P88=VLOOKUP(法术查询!$J$5,$AH$2:$AI$11,2,0)),IF(法术查询!$J$6="",1,IF(法术查询!$J$6=$E88,1,0)),IF(法术查询!$J$7="",1,SEARCH(法术查询!$J$7,$F88)),IF(法术查询!$J$8="",1,SEARCH(法术查询!$J$8,G88)),IF(法术查询!$J$9="",1,SEARCH(法术查询!$J$9,N88)),IF(法术查询!$J$10="",1,IF(法术查询!$J$10=$AF$11,IF($M88=1,1,0),IF($M88="",1,0))),IF(法术查询!$J$11="",1,IF(法术查询!$J$11=$AF$11,IF($D88=1,1,0),IF($D88="",1,0))),IF(法术查询!$J$12="",1,SEARCH(法术查询!$J$12,$B88&amp;$C88&amp;$O88)),IF(法术查询!$J$13="",1,SEARCH(法术查询!$J$13,$B88&amp;$C88&amp;$O88)),IF(法术查询!$J$14="",1,SEARCH(法术查询!$J$14,$B88&amp;$C88&amp;$O88)),IF(法术查询!$J$16="",1,IF(法术查询!$J$16=$AF$11,IF($H88=1,1,0),IF($H88="",1,0))),IF(法术查询!$J$17="",1,IF(法术查询!$J$17=$AF$11,IF($I88=1,1,0),IF($I88="",1,0))),IF(法术查询!$J$18="",1,IF(法术查询!$J$18=$AF$11,IF($J88&lt;&gt;"",1,0),IF($J88="",1,0))),IF(法术查询!$J$19="",1,IF(法术查询!$J$19=$AF$11,IF($L88&lt;&gt;"",1,0),IF($L88="",1,0)))),$B88,""),"")</f>
        <v/>
      </c>
      <c r="AD87" s="180" t="str">
        <f t="array" ref="AD87">INDEX(AC:AC,SMALL(IF($AC$2:$AC$516&lt;&gt;"",ROW($2:$516),517),ROW(AC86)))&amp;""</f>
        <v/>
      </c>
      <c r="AE87" s="198" t="str">
        <f t="shared" si="5"/>
        <v/>
      </c>
      <c r="AJ87" s="250">
        <v>86</v>
      </c>
      <c r="AK87" s="180" t="str">
        <f>IF(法术书!Y43="","",法术书!Y43)</f>
        <v/>
      </c>
      <c r="AL87" s="119" t="str">
        <f t="array" ref="AL87">IFERROR(INDEX(AK$1:AK$301,SMALL(IF(MATCH(AK87,AK$1:AK$301,0)=ROW(AK87),ROW(AK$1:AK$301),999),ROW(AK87))),"")</f>
        <v/>
      </c>
      <c r="AM87" s="120" t="str">
        <f t="array" ref="AM87">INDEX(AL:AL,SMALL(IF($AL$2:$AL$301&lt;&gt;"",ROW($2:$301),302),ROW(AL86)))&amp;""</f>
        <v/>
      </c>
    </row>
    <row r="88" spans="1:39" ht="14.4" customHeight="1" x14ac:dyDescent="0.25">
      <c r="A88" s="250">
        <v>86</v>
      </c>
      <c r="B88" s="119" t="s">
        <v>6709</v>
      </c>
      <c r="C88" s="119" t="s">
        <v>6710</v>
      </c>
      <c r="D88" s="180">
        <v>1</v>
      </c>
      <c r="E88" s="285" t="s">
        <v>6366</v>
      </c>
      <c r="F88" s="180" t="s">
        <v>6349</v>
      </c>
      <c r="G88" s="180" t="s">
        <v>3682</v>
      </c>
      <c r="I88" s="180">
        <v>1</v>
      </c>
      <c r="J88" s="180">
        <v>1</v>
      </c>
      <c r="L88" s="119" t="s">
        <v>6711</v>
      </c>
      <c r="N88" s="180" t="s">
        <v>6420</v>
      </c>
      <c r="O88" s="119" t="s">
        <v>6712</v>
      </c>
      <c r="P88" s="119">
        <v>1</v>
      </c>
      <c r="Q88" s="119" t="s">
        <v>242</v>
      </c>
      <c r="R88" s="180">
        <v>1</v>
      </c>
      <c r="X88" s="180">
        <v>1</v>
      </c>
      <c r="Y88" s="180">
        <v>1</v>
      </c>
      <c r="AA88" s="120" t="s">
        <v>6713</v>
      </c>
      <c r="AB88" s="250" t="str">
        <f t="array" ref="AB88">INDEX(B:B,SMALL(IF($Q$3:$Q$517&lt;&gt;"",ROW($3:$517),518),ROW(B87)))&amp;""</f>
        <v>致伤术</v>
      </c>
      <c r="AC88" s="394" t="str">
        <f>IFERROR(IF(AND($Q89&lt;&gt;"",IF(法术查询!$J$4="",1,INDEX($R89:$Z89,1,VLOOKUP(法术查询!$J$4,$AF$2:$AG$10,2,0)))&lt;&gt;"",IF(法术查询!$J$5="",1,$P89=VLOOKUP(法术查询!$J$5,$AH$2:$AI$11,2,0)),IF(法术查询!$J$6="",1,IF(法术查询!$J$6=$E89,1,0)),IF(法术查询!$J$7="",1,SEARCH(法术查询!$J$7,$F89)),IF(法术查询!$J$8="",1,SEARCH(法术查询!$J$8,G89)),IF(法术查询!$J$9="",1,SEARCH(法术查询!$J$9,N89)),IF(法术查询!$J$10="",1,IF(法术查询!$J$10=$AF$11,IF($M89=1,1,0),IF($M89="",1,0))),IF(法术查询!$J$11="",1,IF(法术查询!$J$11=$AF$11,IF($D89=1,1,0),IF($D89="",1,0))),IF(法术查询!$J$12="",1,SEARCH(法术查询!$J$12,$B89&amp;$C89&amp;$O89)),IF(法术查询!$J$13="",1,SEARCH(法术查询!$J$13,$B89&amp;$C89&amp;$O89)),IF(法术查询!$J$14="",1,SEARCH(法术查询!$J$14,$B89&amp;$C89&amp;$O89)),IF(法术查询!$J$16="",1,IF(法术查询!$J$16=$AF$11,IF($H89=1,1,0),IF($H89="",1,0))),IF(法术查询!$J$17="",1,IF(法术查询!$J$17=$AF$11,IF($I89=1,1,0),IF($I89="",1,0))),IF(法术查询!$J$18="",1,IF(法术查询!$J$18=$AF$11,IF($J89&lt;&gt;"",1,0),IF($J89="",1,0))),IF(法术查询!$J$19="",1,IF(法术查询!$J$19=$AF$11,IF($L89&lt;&gt;"",1,0),IF($L89="",1,0)))),$B89,""),"")</f>
        <v/>
      </c>
      <c r="AD88" s="180" t="str">
        <f t="array" ref="AD88">INDEX(AC:AC,SMALL(IF($AC$2:$AC$516&lt;&gt;"",ROW($2:$516),517),ROW(AC87)))&amp;""</f>
        <v/>
      </c>
      <c r="AE88" s="198" t="str">
        <f t="shared" si="5"/>
        <v/>
      </c>
      <c r="AJ88" s="250">
        <v>87</v>
      </c>
      <c r="AK88" s="180" t="str">
        <f>IF(法术书!Y44="","",法术书!Y44)</f>
        <v/>
      </c>
      <c r="AL88" s="119" t="str">
        <f t="array" ref="AL88">IFERROR(INDEX(AK$1:AK$301,SMALL(IF(MATCH(AK88,AK$1:AK$301,0)=ROW(AK88),ROW(AK$1:AK$301),999),ROW(AK88))),"")</f>
        <v/>
      </c>
      <c r="AM88" s="120" t="str">
        <f t="array" ref="AM88">INDEX(AL:AL,SMALL(IF($AL$2:$AL$301&lt;&gt;"",ROW($2:$301),302),ROW(AL87)))&amp;""</f>
        <v/>
      </c>
    </row>
    <row r="89" spans="1:39" ht="14.4" customHeight="1" x14ac:dyDescent="0.25">
      <c r="A89" s="250">
        <v>87</v>
      </c>
      <c r="B89" s="119" t="s">
        <v>6714</v>
      </c>
      <c r="C89" s="119" t="s">
        <v>6715</v>
      </c>
      <c r="E89" s="441" t="s">
        <v>6297</v>
      </c>
      <c r="F89" s="180" t="s">
        <v>6282</v>
      </c>
      <c r="G89" s="180" t="s">
        <v>3682</v>
      </c>
      <c r="H89" s="180">
        <v>1</v>
      </c>
      <c r="I89" s="180">
        <v>1</v>
      </c>
      <c r="N89" s="180" t="s">
        <v>6284</v>
      </c>
      <c r="O89" s="119" t="s">
        <v>6716</v>
      </c>
      <c r="P89" s="119">
        <v>1</v>
      </c>
      <c r="Q89" s="119" t="s">
        <v>242</v>
      </c>
      <c r="S89" s="180">
        <v>1</v>
      </c>
      <c r="AA89" s="120" t="s">
        <v>6717</v>
      </c>
      <c r="AB89" s="250" t="str">
        <f t="array" ref="AB89">INDEX(B:B,SMALL(IF($Q$3:$Q$517&lt;&gt;"",ROW($3:$517),518),ROW(B88)))&amp;""</f>
        <v>跳跃术</v>
      </c>
      <c r="AC89" s="394" t="str">
        <f>IFERROR(IF(AND($Q90&lt;&gt;"",IF(法术查询!$J$4="",1,INDEX($R90:$Z90,1,VLOOKUP(法术查询!$J$4,$AF$2:$AG$10,2,0)))&lt;&gt;"",IF(法术查询!$J$5="",1,$P90=VLOOKUP(法术查询!$J$5,$AH$2:$AI$11,2,0)),IF(法术查询!$J$6="",1,IF(法术查询!$J$6=$E90,1,0)),IF(法术查询!$J$7="",1,SEARCH(法术查询!$J$7,$F90)),IF(法术查询!$J$8="",1,SEARCH(法术查询!$J$8,G90)),IF(法术查询!$J$9="",1,SEARCH(法术查询!$J$9,N90)),IF(法术查询!$J$10="",1,IF(法术查询!$J$10=$AF$11,IF($M90=1,1,0),IF($M90="",1,0))),IF(法术查询!$J$11="",1,IF(法术查询!$J$11=$AF$11,IF($D90=1,1,0),IF($D90="",1,0))),IF(法术查询!$J$12="",1,SEARCH(法术查询!$J$12,$B90&amp;$C90&amp;$O90)),IF(法术查询!$J$13="",1,SEARCH(法术查询!$J$13,$B90&amp;$C90&amp;$O90)),IF(法术查询!$J$14="",1,SEARCH(法术查询!$J$14,$B90&amp;$C90&amp;$O90)),IF(法术查询!$J$16="",1,IF(法术查询!$J$16=$AF$11,IF($H90=1,1,0),IF($H90="",1,0))),IF(法术查询!$J$17="",1,IF(法术查询!$J$17=$AF$11,IF($I90=1,1,0),IF($I90="",1,0))),IF(法术查询!$J$18="",1,IF(法术查询!$J$18=$AF$11,IF($J90&lt;&gt;"",1,0),IF($J90="",1,0))),IF(法术查询!$J$19="",1,IF(法术查询!$J$19=$AF$11,IF($L90&lt;&gt;"",1,0),IF($L90="",1,0)))),$B90,""),"")</f>
        <v/>
      </c>
      <c r="AD89" s="180" t="str">
        <f t="array" ref="AD89">INDEX(AC:AC,SMALL(IF($AC$2:$AC$516&lt;&gt;"",ROW($2:$516),517),ROW(AC88)))&amp;""</f>
        <v/>
      </c>
      <c r="AE89" s="198" t="str">
        <f t="shared" si="5"/>
        <v/>
      </c>
      <c r="AJ89" s="250">
        <v>88</v>
      </c>
      <c r="AK89" s="180" t="str">
        <f>IF(法术书!Y45="","",法术书!Y45)</f>
        <v/>
      </c>
      <c r="AL89" s="119" t="str">
        <f t="array" ref="AL89">IFERROR(INDEX(AK$1:AK$301,SMALL(IF(MATCH(AK89,AK$1:AK$301,0)=ROW(AK89),ROW(AK$1:AK$301),999),ROW(AK89))),"")</f>
        <v/>
      </c>
      <c r="AM89" s="120" t="str">
        <f t="array" ref="AM89">INDEX(AL:AL,SMALL(IF($AL$2:$AL$301&lt;&gt;"",ROW($2:$301),302),ROW(AL88)))&amp;""</f>
        <v/>
      </c>
    </row>
    <row r="90" spans="1:39" ht="14.4" customHeight="1" x14ac:dyDescent="0.25">
      <c r="A90" s="250">
        <v>88</v>
      </c>
      <c r="B90" s="119" t="s">
        <v>6718</v>
      </c>
      <c r="C90" s="119" t="s">
        <v>6719</v>
      </c>
      <c r="E90" s="435" t="s">
        <v>6312</v>
      </c>
      <c r="F90" s="180" t="s">
        <v>6282</v>
      </c>
      <c r="G90" s="180" t="s">
        <v>3682</v>
      </c>
      <c r="H90" s="180">
        <v>1</v>
      </c>
      <c r="I90" s="180">
        <v>1</v>
      </c>
      <c r="J90" s="180">
        <v>1</v>
      </c>
      <c r="K90" s="119" t="s">
        <v>6720</v>
      </c>
      <c r="N90" s="180" t="s">
        <v>6349</v>
      </c>
      <c r="O90" s="119" t="s">
        <v>6721</v>
      </c>
      <c r="P90" s="119">
        <v>1</v>
      </c>
      <c r="Q90" s="119" t="s">
        <v>242</v>
      </c>
      <c r="T90" s="180">
        <v>1</v>
      </c>
      <c r="V90" s="180">
        <v>1</v>
      </c>
      <c r="W90" s="180">
        <v>1</v>
      </c>
      <c r="X90" s="180">
        <v>1</v>
      </c>
      <c r="Z90" s="180">
        <v>9</v>
      </c>
      <c r="AA90" s="120" t="s">
        <v>6722</v>
      </c>
      <c r="AB90" s="250" t="str">
        <f t="array" ref="AB90">INDEX(B:B,SMALL(IF($Q$3:$Q$517&lt;&gt;"",ROW($3:$517),518),ROW(B89)))&amp;""</f>
        <v>大步奔行</v>
      </c>
      <c r="AC90" s="394" t="str">
        <f>IFERROR(IF(AND($Q91&lt;&gt;"",IF(法术查询!$J$4="",1,INDEX($R91:$Z91,1,VLOOKUP(法术查询!$J$4,$AF$2:$AG$10,2,0)))&lt;&gt;"",IF(法术查询!$J$5="",1,$P91=VLOOKUP(法术查询!$J$5,$AH$2:$AI$11,2,0)),IF(法术查询!$J$6="",1,IF(法术查询!$J$6=$E91,1,0)),IF(法术查询!$J$7="",1,SEARCH(法术查询!$J$7,$F91)),IF(法术查询!$J$8="",1,SEARCH(法术查询!$J$8,G91)),IF(法术查询!$J$9="",1,SEARCH(法术查询!$J$9,N91)),IF(法术查询!$J$10="",1,IF(法术查询!$J$10=$AF$11,IF($M91=1,1,0),IF($M91="",1,0))),IF(法术查询!$J$11="",1,IF(法术查询!$J$11=$AF$11,IF($D91=1,1,0),IF($D91="",1,0))),IF(法术查询!$J$12="",1,SEARCH(法术查询!$J$12,$B91&amp;$C91&amp;$O91)),IF(法术查询!$J$13="",1,SEARCH(法术查询!$J$13,$B91&amp;$C91&amp;$O91)),IF(法术查询!$J$14="",1,SEARCH(法术查询!$J$14,$B91&amp;$C91&amp;$O91)),IF(法术查询!$J$16="",1,IF(法术查询!$J$16=$AF$11,IF($H91=1,1,0),IF($H91="",1,0))),IF(法术查询!$J$17="",1,IF(法术查询!$J$17=$AF$11,IF($I91=1,1,0),IF($I91="",1,0))),IF(法术查询!$J$18="",1,IF(法术查询!$J$18=$AF$11,IF($J91&lt;&gt;"",1,0),IF($J91="",1,0))),IF(法术查询!$J$19="",1,IF(法术查询!$J$19=$AF$11,IF($L91&lt;&gt;"",1,0),IF($L91="",1,0)))),$B91,""),"")</f>
        <v/>
      </c>
      <c r="AD90" s="180" t="str">
        <f t="array" ref="AD90">INDEX(AC:AC,SMALL(IF($AC$2:$AC$516&lt;&gt;"",ROW($2:$516),517),ROW(AC89)))&amp;""</f>
        <v/>
      </c>
      <c r="AE90" s="198" t="str">
        <f t="shared" si="5"/>
        <v/>
      </c>
      <c r="AJ90" s="250">
        <v>89</v>
      </c>
      <c r="AK90" s="180" t="str">
        <f>IF(法术书!Y46="","",法术书!Y46)</f>
        <v/>
      </c>
      <c r="AL90" s="119" t="str">
        <f t="array" ref="AL90">IFERROR(INDEX(AK$1:AK$301,SMALL(IF(MATCH(AK90,AK$1:AK$301,0)=ROW(AK90),ROW(AK$1:AK$301),999),ROW(AK90))),"")</f>
        <v/>
      </c>
      <c r="AM90" s="120" t="str">
        <f t="array" ref="AM90">INDEX(AL:AL,SMALL(IF($AL$2:$AL$301&lt;&gt;"",ROW($2:$301),302),ROW(AL89)))&amp;""</f>
        <v/>
      </c>
    </row>
    <row r="91" spans="1:39" ht="14.4" customHeight="1" x14ac:dyDescent="0.25">
      <c r="A91" s="250">
        <v>89</v>
      </c>
      <c r="B91" s="119" t="s">
        <v>6723</v>
      </c>
      <c r="C91" s="119" t="s">
        <v>6724</v>
      </c>
      <c r="E91" s="435" t="s">
        <v>6312</v>
      </c>
      <c r="F91" s="180" t="s">
        <v>6282</v>
      </c>
      <c r="G91" s="180" t="s">
        <v>3682</v>
      </c>
      <c r="H91" s="180">
        <v>1</v>
      </c>
      <c r="I91" s="180">
        <v>1</v>
      </c>
      <c r="J91" s="180">
        <v>1</v>
      </c>
      <c r="K91" s="119" t="s">
        <v>6725</v>
      </c>
      <c r="N91" s="180" t="s">
        <v>6344</v>
      </c>
      <c r="O91" s="119" t="s">
        <v>6726</v>
      </c>
      <c r="P91" s="119">
        <v>1</v>
      </c>
      <c r="Q91" s="119" t="s">
        <v>242</v>
      </c>
      <c r="R91" s="180">
        <v>1</v>
      </c>
      <c r="T91" s="180">
        <v>1</v>
      </c>
      <c r="V91" s="180">
        <v>1</v>
      </c>
      <c r="X91" s="180">
        <v>1</v>
      </c>
      <c r="Z91" s="180">
        <v>9</v>
      </c>
      <c r="AA91" s="120" t="s">
        <v>6727</v>
      </c>
      <c r="AB91" s="250" t="str">
        <f t="array" ref="AB91">INDEX(B:B,SMALL(IF($Q$3:$Q$517&lt;&gt;"",ROW($3:$517),518),ROW(B90)))&amp;""</f>
        <v>法师护甲</v>
      </c>
      <c r="AC91" s="394" t="str">
        <f>IFERROR(IF(AND($Q92&lt;&gt;"",IF(法术查询!$J$4="",1,INDEX($R92:$Z92,1,VLOOKUP(法术查询!$J$4,$AF$2:$AG$10,2,0)))&lt;&gt;"",IF(法术查询!$J$5="",1,$P92=VLOOKUP(法术查询!$J$5,$AH$2:$AI$11,2,0)),IF(法术查询!$J$6="",1,IF(法术查询!$J$6=$E92,1,0)),IF(法术查询!$J$7="",1,SEARCH(法术查询!$J$7,$F92)),IF(法术查询!$J$8="",1,SEARCH(法术查询!$J$8,G92)),IF(法术查询!$J$9="",1,SEARCH(法术查询!$J$9,N92)),IF(法术查询!$J$10="",1,IF(法术查询!$J$10=$AF$11,IF($M92=1,1,0),IF($M92="",1,0))),IF(法术查询!$J$11="",1,IF(法术查询!$J$11=$AF$11,IF($D92=1,1,0),IF($D92="",1,0))),IF(法术查询!$J$12="",1,SEARCH(法术查询!$J$12,$B92&amp;$C92&amp;$O92)),IF(法术查询!$J$13="",1,SEARCH(法术查询!$J$13,$B92&amp;$C92&amp;$O92)),IF(法术查询!$J$14="",1,SEARCH(法术查询!$J$14,$B92&amp;$C92&amp;$O92)),IF(法术查询!$J$16="",1,IF(法术查询!$J$16=$AF$11,IF($H92=1,1,0),IF($H92="",1,0))),IF(法术查询!$J$17="",1,IF(法术查询!$J$17=$AF$11,IF($I92=1,1,0),IF($I92="",1,0))),IF(法术查询!$J$18="",1,IF(法术查询!$J$18=$AF$11,IF($J92&lt;&gt;"",1,0),IF($J92="",1,0))),IF(法术查询!$J$19="",1,IF(法术查询!$J$19=$AF$11,IF($L92&lt;&gt;"",1,0),IF($L92="",1,0)))),$B92,""),"")</f>
        <v/>
      </c>
      <c r="AD91" s="180" t="str">
        <f t="array" ref="AD91">INDEX(AC:AC,SMALL(IF($AC$2:$AC$516&lt;&gt;"",ROW($2:$516),517),ROW(AC90)))&amp;""</f>
        <v/>
      </c>
      <c r="AE91" s="198" t="str">
        <f t="shared" si="5"/>
        <v/>
      </c>
      <c r="AJ91" s="250">
        <v>90</v>
      </c>
      <c r="AK91" s="180" t="str">
        <f>IF(法术书!Y47="","",法术书!Y47)</f>
        <v/>
      </c>
      <c r="AL91" s="119" t="str">
        <f t="array" ref="AL91">IFERROR(INDEX(AK$1:AK$301,SMALL(IF(MATCH(AK91,AK$1:AK$301,0)=ROW(AK91),ROW(AK$1:AK$301),999),ROW(AK91))),"")</f>
        <v/>
      </c>
      <c r="AM91" s="120" t="str">
        <f t="array" ref="AM91">INDEX(AL:AL,SMALL(IF($AL$2:$AL$301&lt;&gt;"",ROW($2:$301),302),ROW(AL90)))&amp;""</f>
        <v/>
      </c>
    </row>
    <row r="92" spans="1:39" ht="14.4" customHeight="1" x14ac:dyDescent="0.25">
      <c r="A92" s="250">
        <v>90</v>
      </c>
      <c r="B92" s="119" t="s">
        <v>3683</v>
      </c>
      <c r="C92" s="119" t="s">
        <v>6728</v>
      </c>
      <c r="E92" s="440" t="s">
        <v>6290</v>
      </c>
      <c r="F92" s="180" t="s">
        <v>6282</v>
      </c>
      <c r="G92" s="180" t="s">
        <v>3682</v>
      </c>
      <c r="H92" s="180">
        <v>1</v>
      </c>
      <c r="I92" s="180">
        <v>1</v>
      </c>
      <c r="J92" s="180">
        <v>1</v>
      </c>
      <c r="K92" s="119" t="s">
        <v>6729</v>
      </c>
      <c r="N92" s="180" t="s">
        <v>6388</v>
      </c>
      <c r="O92" s="119" t="s">
        <v>6730</v>
      </c>
      <c r="P92" s="119">
        <v>1</v>
      </c>
      <c r="Q92" s="119" t="s">
        <v>242</v>
      </c>
      <c r="W92" s="180">
        <v>1</v>
      </c>
      <c r="X92" s="180">
        <v>1</v>
      </c>
      <c r="AA92" s="120" t="s">
        <v>6731</v>
      </c>
      <c r="AB92" s="250" t="str">
        <f t="array" ref="AB92">INDEX(B:B,SMALL(IF($Q$3:$Q$517&lt;&gt;"",ROW($3:$517),518),ROW(B91)))&amp;""</f>
        <v>魔法飞弹</v>
      </c>
      <c r="AC92" s="394" t="str">
        <f>IFERROR(IF(AND($Q93&lt;&gt;"",IF(法术查询!$J$4="",1,INDEX($R93:$Z93,1,VLOOKUP(法术查询!$J$4,$AF$2:$AG$10,2,0)))&lt;&gt;"",IF(法术查询!$J$5="",1,$P93=VLOOKUP(法术查询!$J$5,$AH$2:$AI$11,2,0)),IF(法术查询!$J$6="",1,IF(法术查询!$J$6=$E93,1,0)),IF(法术查询!$J$7="",1,SEARCH(法术查询!$J$7,$F93)),IF(法术查询!$J$8="",1,SEARCH(法术查询!$J$8,G93)),IF(法术查询!$J$9="",1,SEARCH(法术查询!$J$9,N93)),IF(法术查询!$J$10="",1,IF(法术查询!$J$10=$AF$11,IF($M93=1,1,0),IF($M93="",1,0))),IF(法术查询!$J$11="",1,IF(法术查询!$J$11=$AF$11,IF($D93=1,1,0),IF($D93="",1,0))),IF(法术查询!$J$12="",1,SEARCH(法术查询!$J$12,$B93&amp;$C93&amp;$O93)),IF(法术查询!$J$13="",1,SEARCH(法术查询!$J$13,$B93&amp;$C93&amp;$O93)),IF(法术查询!$J$14="",1,SEARCH(法术查询!$J$14,$B93&amp;$C93&amp;$O93)),IF(法术查询!$J$16="",1,IF(法术查询!$J$16=$AF$11,IF($H93=1,1,0),IF($H93="",1,0))),IF(法术查询!$J$17="",1,IF(法术查询!$J$17=$AF$11,IF($I93=1,1,0),IF($I93="",1,0))),IF(法术查询!$J$18="",1,IF(法术查询!$J$18=$AF$11,IF($J93&lt;&gt;"",1,0),IF($J93="",1,0))),IF(法术查询!$J$19="",1,IF(法术查询!$J$19=$AF$11,IF($L93&lt;&gt;"",1,0),IF($L93="",1,0)))),$B93,""),"")</f>
        <v/>
      </c>
      <c r="AD92" s="180" t="str">
        <f t="array" ref="AD92">INDEX(AC:AC,SMALL(IF($AC$2:$AC$516&lt;&gt;"",ROW($2:$516),517),ROW(AC91)))&amp;""</f>
        <v/>
      </c>
      <c r="AE92" s="198" t="str">
        <f t="shared" si="5"/>
        <v/>
      </c>
      <c r="AJ92" s="250">
        <v>91</v>
      </c>
      <c r="AK92" s="180" t="str">
        <f>IF(法术书!Y48="","",法术书!Y48)</f>
        <v/>
      </c>
      <c r="AL92" s="119" t="str">
        <f t="array" ref="AL92">IFERROR(INDEX(AK$1:AK$301,SMALL(IF(MATCH(AK92,AK$1:AK$301,0)=ROW(AK92),ROW(AK$1:AK$301),999),ROW(AK92))),"")</f>
        <v/>
      </c>
      <c r="AM92" s="120" t="str">
        <f t="array" ref="AM92">INDEX(AL:AL,SMALL(IF($AL$2:$AL$301&lt;&gt;"",ROW($2:$301),302),ROW(AL91)))&amp;""</f>
        <v/>
      </c>
    </row>
    <row r="93" spans="1:39" ht="14.4" customHeight="1" x14ac:dyDescent="0.25">
      <c r="A93" s="250">
        <v>91</v>
      </c>
      <c r="B93" s="119" t="s">
        <v>6732</v>
      </c>
      <c r="C93" s="119" t="s">
        <v>6733</v>
      </c>
      <c r="E93" s="434" t="s">
        <v>6304</v>
      </c>
      <c r="F93" s="180" t="s">
        <v>6282</v>
      </c>
      <c r="G93" s="180" t="s">
        <v>6298</v>
      </c>
      <c r="H93" s="180">
        <v>1</v>
      </c>
      <c r="I93" s="180">
        <v>1</v>
      </c>
      <c r="N93" s="180" t="s">
        <v>6284</v>
      </c>
      <c r="O93" s="119" t="s">
        <v>6734</v>
      </c>
      <c r="P93" s="119">
        <v>1</v>
      </c>
      <c r="Q93" s="119" t="s">
        <v>242</v>
      </c>
      <c r="W93" s="180">
        <v>1</v>
      </c>
      <c r="X93" s="180">
        <v>1</v>
      </c>
      <c r="AA93" s="120" t="s">
        <v>6735</v>
      </c>
      <c r="AB93" s="250" t="str">
        <f t="array" ref="AB93">INDEX(B:B,SMALL(IF($Q$3:$Q$517&lt;&gt;"",ROW($3:$517),518),ROW(B92)))&amp;""</f>
        <v>防护善恶</v>
      </c>
      <c r="AC93" s="394" t="str">
        <f>IFERROR(IF(AND($Q94&lt;&gt;"",IF(法术查询!$J$4="",1,INDEX($R94:$Z94,1,VLOOKUP(法术查询!$J$4,$AF$2:$AG$10,2,0)))&lt;&gt;"",IF(法术查询!$J$5="",1,$P94=VLOOKUP(法术查询!$J$5,$AH$2:$AI$11,2,0)),IF(法术查询!$J$6="",1,IF(法术查询!$J$6=$E94,1,0)),IF(法术查询!$J$7="",1,SEARCH(法术查询!$J$7,$F94)),IF(法术查询!$J$8="",1,SEARCH(法术查询!$J$8,G94)),IF(法术查询!$J$9="",1,SEARCH(法术查询!$J$9,N94)),IF(法术查询!$J$10="",1,IF(法术查询!$J$10=$AF$11,IF($M94=1,1,0),IF($M94="",1,0))),IF(法术查询!$J$11="",1,IF(法术查询!$J$11=$AF$11,IF($D94=1,1,0),IF($D94="",1,0))),IF(法术查询!$J$12="",1,SEARCH(法术查询!$J$12,$B94&amp;$C94&amp;$O94)),IF(法术查询!$J$13="",1,SEARCH(法术查询!$J$13,$B94&amp;$C94&amp;$O94)),IF(法术查询!$J$14="",1,SEARCH(法术查询!$J$14,$B94&amp;$C94&amp;$O94)),IF(法术查询!$J$16="",1,IF(法术查询!$J$16=$AF$11,IF($H94=1,1,0),IF($H94="",1,0))),IF(法术查询!$J$17="",1,IF(法术查询!$J$17=$AF$11,IF($I94=1,1,0),IF($I94="",1,0))),IF(法术查询!$J$18="",1,IF(法术查询!$J$18=$AF$11,IF($J94&lt;&gt;"",1,0),IF($J94="",1,0))),IF(法术查询!$J$19="",1,IF(法术查询!$J$19=$AF$11,IF($L94&lt;&gt;"",1,0),IF($L94="",1,0)))),$B94,""),"")</f>
        <v/>
      </c>
      <c r="AD93" s="180" t="str">
        <f t="array" ref="AD93">INDEX(AC:AC,SMALL(IF($AC$2:$AC$516&lt;&gt;"",ROW($2:$516),517),ROW(AC92)))&amp;""</f>
        <v/>
      </c>
      <c r="AE93" s="198" t="str">
        <f t="shared" si="5"/>
        <v/>
      </c>
      <c r="AJ93" s="250">
        <v>92</v>
      </c>
      <c r="AK93" s="180" t="str">
        <f>IF(法术书!Y49="","",法术书!Y49)</f>
        <v/>
      </c>
      <c r="AL93" s="119" t="str">
        <f t="array" ref="AL93">IFERROR(INDEX(AK$1:AK$301,SMALL(IF(MATCH(AK93,AK$1:AK$301,0)=ROW(AK93),ROW(AK$1:AK$301),999),ROW(AK93))),"")</f>
        <v/>
      </c>
      <c r="AM93" s="120" t="str">
        <f t="array" ref="AM93">INDEX(AL:AL,SMALL(IF($AL$2:$AL$301&lt;&gt;"",ROW($2:$301),302),ROW(AL92)))&amp;""</f>
        <v/>
      </c>
    </row>
    <row r="94" spans="1:39" ht="14.4" customHeight="1" x14ac:dyDescent="0.25">
      <c r="A94" s="250">
        <v>92</v>
      </c>
      <c r="B94" s="119" t="s">
        <v>6736</v>
      </c>
      <c r="C94" s="119" t="s">
        <v>6737</v>
      </c>
      <c r="E94" s="440" t="s">
        <v>6290</v>
      </c>
      <c r="F94" s="180" t="s">
        <v>6282</v>
      </c>
      <c r="G94" s="180" t="s">
        <v>3682</v>
      </c>
      <c r="H94" s="180">
        <v>1</v>
      </c>
      <c r="I94" s="180">
        <v>1</v>
      </c>
      <c r="J94" s="180">
        <v>1</v>
      </c>
      <c r="L94" s="119" t="s">
        <v>6738</v>
      </c>
      <c r="M94" s="180">
        <v>1</v>
      </c>
      <c r="N94" s="180" t="s">
        <v>6471</v>
      </c>
      <c r="O94" s="119" t="s">
        <v>6739</v>
      </c>
      <c r="P94" s="119">
        <v>1</v>
      </c>
      <c r="Q94" s="119" t="s">
        <v>242</v>
      </c>
      <c r="S94" s="180">
        <v>1</v>
      </c>
      <c r="T94" s="180" t="str">
        <f>IF(综合数据!$B$14=TRUE,"13","")</f>
        <v>13</v>
      </c>
      <c r="U94" s="180">
        <v>1</v>
      </c>
      <c r="X94" s="180">
        <v>1</v>
      </c>
      <c r="Y94" s="180">
        <v>1</v>
      </c>
      <c r="AA94" s="120" t="s">
        <v>6740</v>
      </c>
      <c r="AB94" s="250" t="str">
        <f t="array" ref="AB94">INDEX(B:B,SMALL(IF($Q$3:$Q$517&lt;&gt;"",ROW($3:$517),518),ROW(B93)))&amp;""</f>
        <v>净化食粮</v>
      </c>
      <c r="AC94" s="394" t="str">
        <f>IFERROR(IF(AND($Q95&lt;&gt;"",IF(法术查询!$J$4="",1,INDEX($R95:$Z95,1,VLOOKUP(法术查询!$J$4,$AF$2:$AG$10,2,0)))&lt;&gt;"",IF(法术查询!$J$5="",1,$P95=VLOOKUP(法术查询!$J$5,$AH$2:$AI$11,2,0)),IF(法术查询!$J$6="",1,IF(法术查询!$J$6=$E95,1,0)),IF(法术查询!$J$7="",1,SEARCH(法术查询!$J$7,$F95)),IF(法术查询!$J$8="",1,SEARCH(法术查询!$J$8,G95)),IF(法术查询!$J$9="",1,SEARCH(法术查询!$J$9,N95)),IF(法术查询!$J$10="",1,IF(法术查询!$J$10=$AF$11,IF($M95=1,1,0),IF($M95="",1,0))),IF(法术查询!$J$11="",1,IF(法术查询!$J$11=$AF$11,IF($D95=1,1,0),IF($D95="",1,0))),IF(法术查询!$J$12="",1,SEARCH(法术查询!$J$12,$B95&amp;$C95&amp;$O95)),IF(法术查询!$J$13="",1,SEARCH(法术查询!$J$13,$B95&amp;$C95&amp;$O95)),IF(法术查询!$J$14="",1,SEARCH(法术查询!$J$14,$B95&amp;$C95&amp;$O95)),IF(法术查询!$J$16="",1,IF(法术查询!$J$16=$AF$11,IF($H95=1,1,0),IF($H95="",1,0))),IF(法术查询!$J$17="",1,IF(法术查询!$J$17=$AF$11,IF($I95=1,1,0),IF($I95="",1,0))),IF(法术查询!$J$18="",1,IF(法术查询!$J$18=$AF$11,IF($J95&lt;&gt;"",1,0),IF($J95="",1,0))),IF(法术查询!$J$19="",1,IF(法术查询!$J$19=$AF$11,IF($L95&lt;&gt;"",1,0),IF($L95="",1,0)))),$B95,""),"")</f>
        <v/>
      </c>
      <c r="AD94" s="180" t="str">
        <f t="array" ref="AD94">INDEX(AC:AC,SMALL(IF($AC$2:$AC$516&lt;&gt;"",ROW($2:$516),517),ROW(AC93)))&amp;""</f>
        <v/>
      </c>
      <c r="AE94" s="198" t="str">
        <f t="shared" si="5"/>
        <v/>
      </c>
      <c r="AJ94" s="250">
        <v>93</v>
      </c>
      <c r="AK94" s="180" t="str">
        <f>IF(法术书!Y50="","",法术书!Y50)</f>
        <v/>
      </c>
      <c r="AL94" s="119" t="str">
        <f t="array" ref="AL94">IFERROR(INDEX(AK$1:AK$301,SMALL(IF(MATCH(AK94,AK$1:AK$301,0)=ROW(AK94),ROW(AK$1:AK$301),999),ROW(AK94))),"")</f>
        <v/>
      </c>
      <c r="AM94" s="120" t="str">
        <f t="array" ref="AM94">INDEX(AL:AL,SMALL(IF($AL$2:$AL$301&lt;&gt;"",ROW($2:$301),302),ROW(AL93)))&amp;""</f>
        <v/>
      </c>
    </row>
    <row r="95" spans="1:39" ht="14.4" customHeight="1" x14ac:dyDescent="0.25">
      <c r="A95" s="250">
        <v>93</v>
      </c>
      <c r="B95" s="119" t="s">
        <v>6741</v>
      </c>
      <c r="C95" s="119" t="s">
        <v>6742</v>
      </c>
      <c r="D95" s="180">
        <v>1</v>
      </c>
      <c r="E95" s="435" t="s">
        <v>6312</v>
      </c>
      <c r="F95" s="180" t="s">
        <v>6282</v>
      </c>
      <c r="G95" s="180" t="s">
        <v>6370</v>
      </c>
      <c r="H95" s="180">
        <v>1</v>
      </c>
      <c r="I95" s="180">
        <v>1</v>
      </c>
      <c r="N95" s="180" t="s">
        <v>6284</v>
      </c>
      <c r="O95" s="119" t="s">
        <v>6743</v>
      </c>
      <c r="P95" s="119">
        <v>1</v>
      </c>
      <c r="Q95" s="119" t="s">
        <v>242</v>
      </c>
      <c r="S95" s="180">
        <v>1</v>
      </c>
      <c r="T95" s="180">
        <v>1</v>
      </c>
      <c r="U95" s="180">
        <v>1</v>
      </c>
      <c r="Z95" s="180">
        <v>9</v>
      </c>
      <c r="AA95" s="198" t="s">
        <v>761</v>
      </c>
      <c r="AB95" s="250" t="str">
        <f t="array" ref="AB95">INDEX(B:B,SMALL(IF($Q$3:$Q$517&lt;&gt;"",ROW($3:$517),518),ROW(B94)))&amp;""</f>
        <v>致病射线</v>
      </c>
      <c r="AC95" s="394" t="str">
        <f>IFERROR(IF(AND($Q96&lt;&gt;"",IF(法术查询!$J$4="",1,INDEX($R96:$Z96,1,VLOOKUP(法术查询!$J$4,$AF$2:$AG$10,2,0)))&lt;&gt;"",IF(法术查询!$J$5="",1,$P96=VLOOKUP(法术查询!$J$5,$AH$2:$AI$11,2,0)),IF(法术查询!$J$6="",1,IF(法术查询!$J$6=$E96,1,0)),IF(法术查询!$J$7="",1,SEARCH(法术查询!$J$7,$F96)),IF(法术查询!$J$8="",1,SEARCH(法术查询!$J$8,G96)),IF(法术查询!$J$9="",1,SEARCH(法术查询!$J$9,N96)),IF(法术查询!$J$10="",1,IF(法术查询!$J$10=$AF$11,IF($M96=1,1,0),IF($M96="",1,0))),IF(法术查询!$J$11="",1,IF(法术查询!$J$11=$AF$11,IF($D96=1,1,0),IF($D96="",1,0))),IF(法术查询!$J$12="",1,SEARCH(法术查询!$J$12,$B96&amp;$C96&amp;$O96)),IF(法术查询!$J$13="",1,SEARCH(法术查询!$J$13,$B96&amp;$C96&amp;$O96)),IF(法术查询!$J$14="",1,SEARCH(法术查询!$J$14,$B96&amp;$C96&amp;$O96)),IF(法术查询!$J$16="",1,IF(法术查询!$J$16=$AF$11,IF($H96=1,1,0),IF($H96="",1,0))),IF(法术查询!$J$17="",1,IF(法术查询!$J$17=$AF$11,IF($I96=1,1,0),IF($I96="",1,0))),IF(法术查询!$J$18="",1,IF(法术查询!$J$18=$AF$11,IF($J96&lt;&gt;"",1,0),IF($J96="",1,0))),IF(法术查询!$J$19="",1,IF(法术查询!$J$19=$AF$11,IF($L96&lt;&gt;"",1,0),IF($L96="",1,0)))),$B96,""),"")</f>
        <v/>
      </c>
      <c r="AD95" s="180" t="str">
        <f t="array" ref="AD95">INDEX(AC:AC,SMALL(IF($AC$2:$AC$516&lt;&gt;"",ROW($2:$516),517),ROW(AC94)))&amp;""</f>
        <v/>
      </c>
      <c r="AE95" s="198" t="str">
        <f t="shared" si="5"/>
        <v/>
      </c>
      <c r="AJ95" s="250">
        <v>94</v>
      </c>
      <c r="AK95" s="180" t="str">
        <f>IF(法术书!Y51="","",法术书!Y51)</f>
        <v/>
      </c>
      <c r="AL95" s="119" t="str">
        <f t="array" ref="AL95">IFERROR(INDEX(AK$1:AK$301,SMALL(IF(MATCH(AK95,AK$1:AK$301,0)=ROW(AK95),ROW(AK$1:AK$301),999),ROW(AK95))),"")</f>
        <v/>
      </c>
      <c r="AM95" s="120" t="str">
        <f t="array" ref="AM95">INDEX(AL:AL,SMALL(IF($AL$2:$AL$301&lt;&gt;"",ROW($2:$301),302),ROW(AL94)))&amp;""</f>
        <v/>
      </c>
    </row>
    <row r="96" spans="1:39" ht="14.4" customHeight="1" x14ac:dyDescent="0.25">
      <c r="A96" s="250">
        <v>94</v>
      </c>
      <c r="B96" s="119" t="s">
        <v>6744</v>
      </c>
      <c r="C96" s="119" t="s">
        <v>6745</v>
      </c>
      <c r="E96" s="441" t="s">
        <v>6297</v>
      </c>
      <c r="F96" s="180" t="s">
        <v>6282</v>
      </c>
      <c r="G96" s="180" t="s">
        <v>6283</v>
      </c>
      <c r="H96" s="180">
        <v>1</v>
      </c>
      <c r="I96" s="180">
        <v>1</v>
      </c>
      <c r="N96" s="180" t="s">
        <v>6284</v>
      </c>
      <c r="O96" s="119" t="s">
        <v>6746</v>
      </c>
      <c r="P96" s="119">
        <v>1</v>
      </c>
      <c r="Q96" s="119" t="s">
        <v>242</v>
      </c>
      <c r="W96" s="180">
        <v>1</v>
      </c>
      <c r="X96" s="180">
        <v>1</v>
      </c>
      <c r="AA96" s="120" t="s">
        <v>6747</v>
      </c>
      <c r="AB96" s="250" t="str">
        <f t="array" ref="AB96">INDEX(B:B,SMALL(IF($Q$3:$Q$517&lt;&gt;"",ROW($3:$517),518),ROW(B95)))&amp;""</f>
        <v>庇护术</v>
      </c>
      <c r="AC96" s="394" t="str">
        <f>IFERROR(IF(AND($Q97&lt;&gt;"",IF(法术查询!$J$4="",1,INDEX($R97:$Z97,1,VLOOKUP(法术查询!$J$4,$AF$2:$AG$10,2,0)))&lt;&gt;"",IF(法术查询!$J$5="",1,$P97=VLOOKUP(法术查询!$J$5,$AH$2:$AI$11,2,0)),IF(法术查询!$J$6="",1,IF(法术查询!$J$6=$E97,1,0)),IF(法术查询!$J$7="",1,SEARCH(法术查询!$J$7,$F97)),IF(法术查询!$J$8="",1,SEARCH(法术查询!$J$8,G97)),IF(法术查询!$J$9="",1,SEARCH(法术查询!$J$9,N97)),IF(法术查询!$J$10="",1,IF(法术查询!$J$10=$AF$11,IF($M97=1,1,0),IF($M97="",1,0))),IF(法术查询!$J$11="",1,IF(法术查询!$J$11=$AF$11,IF($D97=1,1,0),IF($D97="",1,0))),IF(法术查询!$J$12="",1,SEARCH(法术查询!$J$12,$B97&amp;$C97&amp;$O97)),IF(法术查询!$J$13="",1,SEARCH(法术查询!$J$13,$B97&amp;$C97&amp;$O97)),IF(法术查询!$J$14="",1,SEARCH(法术查询!$J$14,$B97&amp;$C97&amp;$O97)),IF(法术查询!$J$16="",1,IF(法术查询!$J$16=$AF$11,IF($H97=1,1,0),IF($H97="",1,0))),IF(法术查询!$J$17="",1,IF(法术查询!$J$17=$AF$11,IF($I97=1,1,0),IF($I97="",1,0))),IF(法术查询!$J$18="",1,IF(法术查询!$J$18=$AF$11,IF($J97&lt;&gt;"",1,0),IF($J97="",1,0))),IF(法术查询!$J$19="",1,IF(法术查询!$J$19=$AF$11,IF($L97&lt;&gt;"",1,0),IF($L97="",1,0)))),$B97,""),"")</f>
        <v/>
      </c>
      <c r="AD96" s="180" t="str">
        <f t="array" ref="AD96">INDEX(AC:AC,SMALL(IF($AC$2:$AC$516&lt;&gt;"",ROW($2:$516),517),ROW(AC95)))&amp;""</f>
        <v/>
      </c>
      <c r="AE96" s="198" t="str">
        <f t="shared" si="5"/>
        <v/>
      </c>
      <c r="AJ96" s="250">
        <v>95</v>
      </c>
      <c r="AK96" s="180" t="str">
        <f>IF(法术书!Y52="","",法术书!Y52)</f>
        <v/>
      </c>
      <c r="AL96" s="119" t="str">
        <f t="array" ref="AL96">IFERROR(INDEX(AK$1:AK$301,SMALL(IF(MATCH(AK96,AK$1:AK$301,0)=ROW(AK96),ROW(AK$1:AK$301),999),ROW(AK96))),"")</f>
        <v/>
      </c>
      <c r="AM96" s="120" t="str">
        <f t="array" ref="AM96">INDEX(AL:AL,SMALL(IF($AL$2:$AL$301&lt;&gt;"",ROW($2:$301),302),ROW(AL95)))&amp;""</f>
        <v/>
      </c>
    </row>
    <row r="97" spans="1:39" ht="14.4" customHeight="1" x14ac:dyDescent="0.25">
      <c r="A97" s="250">
        <v>95</v>
      </c>
      <c r="B97" s="119" t="s">
        <v>6748</v>
      </c>
      <c r="C97" s="119" t="s">
        <v>6749</v>
      </c>
      <c r="E97" s="440" t="s">
        <v>6290</v>
      </c>
      <c r="F97" s="180" t="s">
        <v>6352</v>
      </c>
      <c r="G97" s="180" t="s">
        <v>6313</v>
      </c>
      <c r="H97" s="180">
        <v>1</v>
      </c>
      <c r="I97" s="180">
        <v>1</v>
      </c>
      <c r="J97" s="180">
        <v>1</v>
      </c>
      <c r="K97" s="119" t="s">
        <v>6750</v>
      </c>
      <c r="N97" s="180" t="s">
        <v>6349</v>
      </c>
      <c r="O97" s="119" t="s">
        <v>6751</v>
      </c>
      <c r="P97" s="119">
        <v>1</v>
      </c>
      <c r="Q97" s="119" t="s">
        <v>242</v>
      </c>
      <c r="S97" s="180">
        <v>1</v>
      </c>
      <c r="Z97" s="180">
        <v>9</v>
      </c>
      <c r="AA97" s="120" t="s">
        <v>6752</v>
      </c>
      <c r="AB97" s="250" t="str">
        <f t="array" ref="AB97">INDEX(B:B,SMALL(IF($Q$3:$Q$517&lt;&gt;"",ROW($3:$517),518),ROW(B96)))&amp;""</f>
        <v>炽焰斩</v>
      </c>
      <c r="AC97" s="394" t="str">
        <f>IFERROR(IF(AND($Q98&lt;&gt;"",IF(法术查询!$J$4="",1,INDEX($R98:$Z98,1,VLOOKUP(法术查询!$J$4,$AF$2:$AG$10,2,0)))&lt;&gt;"",IF(法术查询!$J$5="",1,$P98=VLOOKUP(法术查询!$J$5,$AH$2:$AI$11,2,0)),IF(法术查询!$J$6="",1,IF(法术查询!$J$6=$E98,1,0)),IF(法术查询!$J$7="",1,SEARCH(法术查询!$J$7,$F98)),IF(法术查询!$J$8="",1,SEARCH(法术查询!$J$8,G98)),IF(法术查询!$J$9="",1,SEARCH(法术查询!$J$9,N98)),IF(法术查询!$J$10="",1,IF(法术查询!$J$10=$AF$11,IF($M98=1,1,0),IF($M98="",1,0))),IF(法术查询!$J$11="",1,IF(法术查询!$J$11=$AF$11,IF($D98=1,1,0),IF($D98="",1,0))),IF(法术查询!$J$12="",1,SEARCH(法术查询!$J$12,$B98&amp;$C98&amp;$O98)),IF(法术查询!$J$13="",1,SEARCH(法术查询!$J$13,$B98&amp;$C98&amp;$O98)),IF(法术查询!$J$14="",1,SEARCH(法术查询!$J$14,$B98&amp;$C98&amp;$O98)),IF(法术查询!$J$16="",1,IF(法术查询!$J$16=$AF$11,IF($H98=1,1,0),IF($H98="",1,0))),IF(法术查询!$J$17="",1,IF(法术查询!$J$17=$AF$11,IF($I98=1,1,0),IF($I98="",1,0))),IF(法术查询!$J$18="",1,IF(法术查询!$J$18=$AF$11,IF($J98&lt;&gt;"",1,0),IF($J98="",1,0))),IF(法术查询!$J$19="",1,IF(法术查询!$J$19=$AF$11,IF($L98&lt;&gt;"",1,0),IF($L98="",1,0)))),$B98,""),"")</f>
        <v/>
      </c>
      <c r="AD97" s="180" t="str">
        <f t="array" ref="AD97">INDEX(AC:AC,SMALL(IF($AC$2:$AC$516&lt;&gt;"",ROW($2:$516),517),ROW(AC96)))&amp;""</f>
        <v/>
      </c>
      <c r="AE97" s="198" t="str">
        <f t="shared" si="5"/>
        <v/>
      </c>
      <c r="AJ97" s="250">
        <v>96</v>
      </c>
      <c r="AK97" s="180" t="str">
        <f>IF(法术书!Y53="","",法术书!Y53)</f>
        <v/>
      </c>
      <c r="AL97" s="119" t="str">
        <f t="array" ref="AL97">IFERROR(INDEX(AK$1:AK$301,SMALL(IF(MATCH(AK97,AK$1:AK$301,0)=ROW(AK97),ROW(AK$1:AK$301),999),ROW(AK97))),"")</f>
        <v/>
      </c>
      <c r="AM97" s="120" t="str">
        <f t="array" ref="AM97">INDEX(AL:AL,SMALL(IF($AL$2:$AL$301&lt;&gt;"",ROW($2:$301),302),ROW(AL96)))&amp;""</f>
        <v/>
      </c>
    </row>
    <row r="98" spans="1:39" ht="14.4" customHeight="1" x14ac:dyDescent="0.25">
      <c r="A98" s="250">
        <v>96</v>
      </c>
      <c r="B98" s="119" t="s">
        <v>6753</v>
      </c>
      <c r="C98" s="119" t="s">
        <v>6754</v>
      </c>
      <c r="E98" s="434" t="s">
        <v>6304</v>
      </c>
      <c r="F98" s="180" t="s">
        <v>6352</v>
      </c>
      <c r="G98" s="180" t="s">
        <v>6291</v>
      </c>
      <c r="H98" s="180">
        <v>1</v>
      </c>
      <c r="M98" s="180">
        <v>1</v>
      </c>
      <c r="N98" s="180" t="s">
        <v>6306</v>
      </c>
      <c r="O98" s="119" t="s">
        <v>6755</v>
      </c>
      <c r="P98" s="119">
        <v>1</v>
      </c>
      <c r="Q98" s="119" t="s">
        <v>242</v>
      </c>
      <c r="U98" s="180">
        <v>1</v>
      </c>
      <c r="V98" s="180" t="str">
        <f>IF(综合数据!$B$14=TRUE,"13","")</f>
        <v>13</v>
      </c>
      <c r="AA98" s="120" t="s">
        <v>6756</v>
      </c>
      <c r="AB98" s="250" t="str">
        <f t="array" ref="AB98">INDEX(B:B,SMALL(IF($Q$3:$Q$517&lt;&gt;"",ROW($3:$517),518),ROW(B97)))&amp;""</f>
        <v>护盾术</v>
      </c>
      <c r="AC98" s="394" t="str">
        <f>IFERROR(IF(AND($Q99&lt;&gt;"",IF(法术查询!$J$4="",1,INDEX($R99:$Z99,1,VLOOKUP(法术查询!$J$4,$AF$2:$AG$10,2,0)))&lt;&gt;"",IF(法术查询!$J$5="",1,$P99=VLOOKUP(法术查询!$J$5,$AH$2:$AI$11,2,0)),IF(法术查询!$J$6="",1,IF(法术查询!$J$6=$E99,1,0)),IF(法术查询!$J$7="",1,SEARCH(法术查询!$J$7,$F99)),IF(法术查询!$J$8="",1,SEARCH(法术查询!$J$8,G99)),IF(法术查询!$J$9="",1,SEARCH(法术查询!$J$9,N99)),IF(法术查询!$J$10="",1,IF(法术查询!$J$10=$AF$11,IF($M99=1,1,0),IF($M99="",1,0))),IF(法术查询!$J$11="",1,IF(法术查询!$J$11=$AF$11,IF($D99=1,1,0),IF($D99="",1,0))),IF(法术查询!$J$12="",1,SEARCH(法术查询!$J$12,$B99&amp;$C99&amp;$O99)),IF(法术查询!$J$13="",1,SEARCH(法术查询!$J$13,$B99&amp;$C99&amp;$O99)),IF(法术查询!$J$14="",1,SEARCH(法术查询!$J$14,$B99&amp;$C99&amp;$O99)),IF(法术查询!$J$16="",1,IF(法术查询!$J$16=$AF$11,IF($H99=1,1,0),IF($H99="",1,0))),IF(法术查询!$J$17="",1,IF(法术查询!$J$17=$AF$11,IF($I99=1,1,0),IF($I99="",1,0))),IF(法术查询!$J$18="",1,IF(法术查询!$J$18=$AF$11,IF($J99&lt;&gt;"",1,0),IF($J99="",1,0))),IF(法术查询!$J$19="",1,IF(法术查询!$J$19=$AF$11,IF($L99&lt;&gt;"",1,0),IF($L99="",1,0)))),$B99,""),"")</f>
        <v/>
      </c>
      <c r="AD98" s="180" t="str">
        <f t="array" ref="AD98">INDEX(AC:AC,SMALL(IF($AC$2:$AC$516&lt;&gt;"",ROW($2:$516),517),ROW(AC97)))&amp;""</f>
        <v/>
      </c>
      <c r="AE98" s="198" t="str">
        <f t="shared" si="5"/>
        <v/>
      </c>
      <c r="AJ98" s="250">
        <v>97</v>
      </c>
      <c r="AK98" s="180" t="str">
        <f>IF(法术书!Y54="","",法术书!Y54)</f>
        <v/>
      </c>
      <c r="AL98" s="119" t="str">
        <f t="array" ref="AL98">IFERROR(INDEX(AK$1:AK$301,SMALL(IF(MATCH(AK98,AK$1:AK$301,0)=ROW(AK98),ROW(AK$1:AK$301),999),ROW(AK98))),"")</f>
        <v/>
      </c>
      <c r="AM98" s="120" t="str">
        <f t="array" ref="AM98">INDEX(AL:AL,SMALL(IF($AL$2:$AL$301&lt;&gt;"",ROW($2:$301),302),ROW(AL97)))&amp;""</f>
        <v/>
      </c>
    </row>
    <row r="99" spans="1:39" ht="14.4" customHeight="1" x14ac:dyDescent="0.25">
      <c r="A99" s="250">
        <v>97</v>
      </c>
      <c r="B99" s="119" t="s">
        <v>6757</v>
      </c>
      <c r="C99" s="119" t="s">
        <v>6758</v>
      </c>
      <c r="E99" s="440" t="s">
        <v>6290</v>
      </c>
      <c r="F99" s="180" t="s">
        <v>6405</v>
      </c>
      <c r="G99" s="180" t="s">
        <v>6291</v>
      </c>
      <c r="H99" s="180">
        <v>1</v>
      </c>
      <c r="I99" s="180">
        <v>1</v>
      </c>
      <c r="N99" s="180" t="s">
        <v>6292</v>
      </c>
      <c r="O99" s="119" t="s">
        <v>6759</v>
      </c>
      <c r="P99" s="119">
        <v>1</v>
      </c>
      <c r="Q99" s="119" t="s">
        <v>242</v>
      </c>
      <c r="W99" s="180">
        <v>1</v>
      </c>
      <c r="X99" s="180">
        <v>1</v>
      </c>
      <c r="AA99" s="120" t="s">
        <v>6760</v>
      </c>
      <c r="AB99" s="250" t="str">
        <f t="array" ref="AB99">INDEX(B:B,SMALL(IF($Q$3:$Q$517&lt;&gt;"",ROW($3:$517),518),ROW(B98)))&amp;""</f>
        <v>虔诚护盾</v>
      </c>
      <c r="AC99" s="394" t="str">
        <f>IFERROR(IF(AND($Q100&lt;&gt;"",IF(法术查询!$J$4="",1,INDEX($R100:$Z100,1,VLOOKUP(法术查询!$J$4,$AF$2:$AG$10,2,0)))&lt;&gt;"",IF(法术查询!$J$5="",1,$P100=VLOOKUP(法术查询!$J$5,$AH$2:$AI$11,2,0)),IF(法术查询!$J$6="",1,IF(法术查询!$J$6=$E100,1,0)),IF(法术查询!$J$7="",1,SEARCH(法术查询!$J$7,$F100)),IF(法术查询!$J$8="",1,SEARCH(法术查询!$J$8,G100)),IF(法术查询!$J$9="",1,SEARCH(法术查询!$J$9,N100)),IF(法术查询!$J$10="",1,IF(法术查询!$J$10=$AF$11,IF($M100=1,1,0),IF($M100="",1,0))),IF(法术查询!$J$11="",1,IF(法术查询!$J$11=$AF$11,IF($D100=1,1,0),IF($D100="",1,0))),IF(法术查询!$J$12="",1,SEARCH(法术查询!$J$12,$B100&amp;$C100&amp;$O100)),IF(法术查询!$J$13="",1,SEARCH(法术查询!$J$13,$B100&amp;$C100&amp;$O100)),IF(法术查询!$J$14="",1,SEARCH(法术查询!$J$14,$B100&amp;$C100&amp;$O100)),IF(法术查询!$J$16="",1,IF(法术查询!$J$16=$AF$11,IF($H100=1,1,0),IF($H100="",1,0))),IF(法术查询!$J$17="",1,IF(法术查询!$J$17=$AF$11,IF($I100=1,1,0),IF($I100="",1,0))),IF(法术查询!$J$18="",1,IF(法术查询!$J$18=$AF$11,IF($J100&lt;&gt;"",1,0),IF($J100="",1,0))),IF(法术查询!$J$19="",1,IF(法术查询!$J$19=$AF$11,IF($L100&lt;&gt;"",1,0),IF($L100="",1,0)))),$B100,""),"")</f>
        <v/>
      </c>
      <c r="AD99" s="180" t="str">
        <f t="array" ref="AD99">INDEX(AC:AC,SMALL(IF($AC$2:$AC$516&lt;&gt;"",ROW($2:$516),517),ROW(AC98)))&amp;""</f>
        <v/>
      </c>
      <c r="AE99" s="198" t="str">
        <f t="shared" si="5"/>
        <v/>
      </c>
      <c r="AJ99" s="250">
        <v>98</v>
      </c>
      <c r="AK99" s="180" t="str">
        <f>IF(法术书!Y55="","",法术书!Y55)</f>
        <v/>
      </c>
      <c r="AL99" s="119" t="str">
        <f t="array" ref="AL99">IFERROR(INDEX(AK$1:AK$301,SMALL(IF(MATCH(AK99,AK$1:AK$301,0)=ROW(AK99),ROW(AK$1:AK$301),999),ROW(AK99))),"")</f>
        <v/>
      </c>
      <c r="AM99" s="120" t="str">
        <f t="array" ref="AM99">INDEX(AL:AL,SMALL(IF($AL$2:$AL$301&lt;&gt;"",ROW($2:$301),302),ROW(AL98)))&amp;""</f>
        <v/>
      </c>
    </row>
    <row r="100" spans="1:39" ht="14.4" customHeight="1" x14ac:dyDescent="0.25">
      <c r="A100" s="250">
        <v>98</v>
      </c>
      <c r="B100" s="119" t="s">
        <v>6761</v>
      </c>
      <c r="C100" s="119" t="s">
        <v>6762</v>
      </c>
      <c r="E100" s="440" t="s">
        <v>6290</v>
      </c>
      <c r="F100" s="180" t="s">
        <v>6352</v>
      </c>
      <c r="G100" s="180" t="s">
        <v>6283</v>
      </c>
      <c r="H100" s="180">
        <v>1</v>
      </c>
      <c r="I100" s="180">
        <v>1</v>
      </c>
      <c r="J100" s="180">
        <v>1</v>
      </c>
      <c r="K100" s="119" t="s">
        <v>6763</v>
      </c>
      <c r="M100" s="180">
        <v>1</v>
      </c>
      <c r="N100" s="180" t="s">
        <v>6471</v>
      </c>
      <c r="O100" s="119" t="s">
        <v>6764</v>
      </c>
      <c r="P100" s="119">
        <v>1</v>
      </c>
      <c r="Q100" s="119" t="s">
        <v>242</v>
      </c>
      <c r="S100" s="180">
        <v>1</v>
      </c>
      <c r="U100" s="180">
        <v>1</v>
      </c>
      <c r="AA100" s="120" t="s">
        <v>6765</v>
      </c>
      <c r="AB100" s="250" t="str">
        <f t="array" ref="AB100">INDEX(B:B,SMALL(IF($Q$3:$Q$517&lt;&gt;"",ROW($3:$517),518),ROW(B99)))&amp;""</f>
        <v>无声幻影</v>
      </c>
      <c r="AC100" s="394" t="str">
        <f>IFERROR(IF(AND($Q101&lt;&gt;"",IF(法术查询!$J$4="",1,INDEX($R101:$Z101,1,VLOOKUP(法术查询!$J$4,$AF$2:$AG$10,2,0)))&lt;&gt;"",IF(法术查询!$J$5="",1,$P101=VLOOKUP(法术查询!$J$5,$AH$2:$AI$11,2,0)),IF(法术查询!$J$6="",1,IF(法术查询!$J$6=$E101,1,0)),IF(法术查询!$J$7="",1,SEARCH(法术查询!$J$7,$F101)),IF(法术查询!$J$8="",1,SEARCH(法术查询!$J$8,G101)),IF(法术查询!$J$9="",1,SEARCH(法术查询!$J$9,N101)),IF(法术查询!$J$10="",1,IF(法术查询!$J$10=$AF$11,IF($M101=1,1,0),IF($M101="",1,0))),IF(法术查询!$J$11="",1,IF(法术查询!$J$11=$AF$11,IF($D101=1,1,0),IF($D101="",1,0))),IF(法术查询!$J$12="",1,SEARCH(法术查询!$J$12,$B101&amp;$C101&amp;$O101)),IF(法术查询!$J$13="",1,SEARCH(法术查询!$J$13,$B101&amp;$C101&amp;$O101)),IF(法术查询!$J$14="",1,SEARCH(法术查询!$J$14,$B101&amp;$C101&amp;$O101)),IF(法术查询!$J$16="",1,IF(法术查询!$J$16=$AF$11,IF($H101=1,1,0),IF($H101="",1,0))),IF(法术查询!$J$17="",1,IF(法术查询!$J$17=$AF$11,IF($I101=1,1,0),IF($I101="",1,0))),IF(法术查询!$J$18="",1,IF(法术查询!$J$18=$AF$11,IF($J101&lt;&gt;"",1,0),IF($J101="",1,0))),IF(法术查询!$J$19="",1,IF(法术查询!$J$19=$AF$11,IF($L101&lt;&gt;"",1,0),IF($L101="",1,0)))),$B101,""),"")</f>
        <v/>
      </c>
      <c r="AD100" s="180" t="str">
        <f t="array" ref="AD100">INDEX(AC:AC,SMALL(IF($AC$2:$AC$516&lt;&gt;"",ROW($2:$516),517),ROW(AC99)))&amp;""</f>
        <v/>
      </c>
      <c r="AE100" s="198" t="str">
        <f t="shared" si="5"/>
        <v/>
      </c>
      <c r="AJ100" s="250">
        <v>99</v>
      </c>
      <c r="AK100" s="180" t="str">
        <f>IF(法术书!Y56="","",法术书!Y56)</f>
        <v/>
      </c>
      <c r="AL100" s="119" t="str">
        <f t="array" ref="AL100">IFERROR(INDEX(AK$1:AK$301,SMALL(IF(MATCH(AK100,AK$1:AK$301,0)=ROW(AK100),ROW(AK$1:AK$301),999),ROW(AK100))),"")</f>
        <v/>
      </c>
      <c r="AM100" s="120" t="str">
        <f t="array" ref="AM100">INDEX(AL:AL,SMALL(IF($AL$2:$AL$301&lt;&gt;"",ROW($2:$301),302),ROW(AL99)))&amp;""</f>
        <v/>
      </c>
    </row>
    <row r="101" spans="1:39" ht="14.4" customHeight="1" x14ac:dyDescent="0.25">
      <c r="A101" s="250">
        <v>99</v>
      </c>
      <c r="B101" s="119" t="s">
        <v>6766</v>
      </c>
      <c r="C101" s="119" t="s">
        <v>6767</v>
      </c>
      <c r="E101" s="285" t="s">
        <v>6366</v>
      </c>
      <c r="F101" s="180" t="s">
        <v>6282</v>
      </c>
      <c r="G101" s="180" t="s">
        <v>6283</v>
      </c>
      <c r="H101" s="180">
        <v>1</v>
      </c>
      <c r="I101" s="180">
        <v>1</v>
      </c>
      <c r="J101" s="180">
        <v>1</v>
      </c>
      <c r="K101" s="119" t="s">
        <v>6768</v>
      </c>
      <c r="M101" s="180">
        <v>1</v>
      </c>
      <c r="N101" s="180" t="s">
        <v>6471</v>
      </c>
      <c r="O101" s="119" t="s">
        <v>6769</v>
      </c>
      <c r="P101" s="119">
        <v>1</v>
      </c>
      <c r="Q101" s="119" t="s">
        <v>242</v>
      </c>
      <c r="R101" s="180">
        <v>1</v>
      </c>
      <c r="W101" s="180">
        <v>1</v>
      </c>
      <c r="X101" s="180">
        <v>1</v>
      </c>
      <c r="AA101" s="120" t="s">
        <v>6770</v>
      </c>
      <c r="AB101" s="250" t="str">
        <f t="array" ref="AB101">INDEX(B:B,SMALL(IF($Q$3:$Q$517&lt;&gt;"",ROW($3:$517),518),ROW(B100)))&amp;""</f>
        <v>睡眠术</v>
      </c>
      <c r="AC101" s="394" t="str">
        <f>IFERROR(IF(AND($Q102&lt;&gt;"",IF(法术查询!$J$4="",1,INDEX($R102:$Z102,1,VLOOKUP(法术查询!$J$4,$AF$2:$AG$10,2,0)))&lt;&gt;"",IF(法术查询!$J$5="",1,$P102=VLOOKUP(法术查询!$J$5,$AH$2:$AI$11,2,0)),IF(法术查询!$J$6="",1,IF(法术查询!$J$6=$E102,1,0)),IF(法术查询!$J$7="",1,SEARCH(法术查询!$J$7,$F102)),IF(法术查询!$J$8="",1,SEARCH(法术查询!$J$8,G102)),IF(法术查询!$J$9="",1,SEARCH(法术查询!$J$9,N102)),IF(法术查询!$J$10="",1,IF(法术查询!$J$10=$AF$11,IF($M102=1,1,0),IF($M102="",1,0))),IF(法术查询!$J$11="",1,IF(法术查询!$J$11=$AF$11,IF($D102=1,1,0),IF($D102="",1,0))),IF(法术查询!$J$12="",1,SEARCH(法术查询!$J$12,$B102&amp;$C102&amp;$O102)),IF(法术查询!$J$13="",1,SEARCH(法术查询!$J$13,$B102&amp;$C102&amp;$O102)),IF(法术查询!$J$14="",1,SEARCH(法术查询!$J$14,$B102&amp;$C102&amp;$O102)),IF(法术查询!$J$16="",1,IF(法术查询!$J$16=$AF$11,IF($H102=1,1,0),IF($H102="",1,0))),IF(法术查询!$J$17="",1,IF(法术查询!$J$17=$AF$11,IF($I102=1,1,0),IF($I102="",1,0))),IF(法术查询!$J$18="",1,IF(法术查询!$J$18=$AF$11,IF($J102&lt;&gt;"",1,0),IF($J102="",1,0))),IF(法术查询!$J$19="",1,IF(法术查询!$J$19=$AF$11,IF($L102&lt;&gt;"",1,0),IF($L102="",1,0)))),$B102,""),"")</f>
        <v/>
      </c>
      <c r="AD101" s="180" t="str">
        <f t="array" ref="AD101">INDEX(AC:AC,SMALL(IF($AC$2:$AC$516&lt;&gt;"",ROW($2:$516),517),ROW(AC100)))&amp;""</f>
        <v/>
      </c>
      <c r="AE101" s="198" t="str">
        <f t="shared" si="5"/>
        <v/>
      </c>
      <c r="AJ101" s="339">
        <v>100</v>
      </c>
      <c r="AK101" s="129" t="str">
        <f>IF(法术书!Y57="","",法术书!Y57)</f>
        <v/>
      </c>
      <c r="AL101" s="129" t="str">
        <f t="array" ref="AL101">IFERROR(INDEX(AK$1:AK$301,SMALL(IF(MATCH(AK101,AK$1:AK$301,0)=ROW(AK101),ROW(AK$1:AK$301),999),ROW(AK101))),"")</f>
        <v/>
      </c>
      <c r="AM101" s="294" t="str">
        <f t="array" ref="AM101">INDEX(AL:AL,SMALL(IF($AL$2:$AL$301&lt;&gt;"",ROW($2:$301),302),ROW(AL100)))&amp;""</f>
        <v/>
      </c>
    </row>
    <row r="102" spans="1:39" ht="14.4" customHeight="1" x14ac:dyDescent="0.25">
      <c r="A102" s="250">
        <v>100</v>
      </c>
      <c r="B102" s="119" t="s">
        <v>6771</v>
      </c>
      <c r="C102" s="119" t="s">
        <v>6772</v>
      </c>
      <c r="E102" s="379" t="s">
        <v>6328</v>
      </c>
      <c r="F102" s="180" t="s">
        <v>6282</v>
      </c>
      <c r="G102" s="180" t="s">
        <v>6400</v>
      </c>
      <c r="H102" s="180">
        <v>1</v>
      </c>
      <c r="I102" s="180">
        <v>1</v>
      </c>
      <c r="J102" s="180">
        <v>1</v>
      </c>
      <c r="K102" s="119" t="s">
        <v>6773</v>
      </c>
      <c r="N102" s="180" t="s">
        <v>6349</v>
      </c>
      <c r="O102" s="119" t="s">
        <v>6774</v>
      </c>
      <c r="P102" s="119">
        <v>1</v>
      </c>
      <c r="Q102" s="119" t="s">
        <v>242</v>
      </c>
      <c r="R102" s="180">
        <v>1</v>
      </c>
      <c r="W102" s="180">
        <v>1</v>
      </c>
      <c r="X102" s="180">
        <v>1</v>
      </c>
      <c r="AA102" s="120" t="s">
        <v>6775</v>
      </c>
      <c r="AB102" s="250" t="str">
        <f t="array" ref="AB102">INDEX(B:B,SMALL(IF($Q$3:$Q$517&lt;&gt;"",ROW($3:$517),518),ROW(B101)))&amp;""</f>
        <v>动物交谈</v>
      </c>
      <c r="AC102" s="394" t="str">
        <f>IFERROR(IF(AND($Q103&lt;&gt;"",IF(法术查询!$J$4="",1,INDEX($R103:$Z103,1,VLOOKUP(法术查询!$J$4,$AF$2:$AG$10,2,0)))&lt;&gt;"",IF(法术查询!$J$5="",1,$P103=VLOOKUP(法术查询!$J$5,$AH$2:$AI$11,2,0)),IF(法术查询!$J$6="",1,IF(法术查询!$J$6=$E103,1,0)),IF(法术查询!$J$7="",1,SEARCH(法术查询!$J$7,$F103)),IF(法术查询!$J$8="",1,SEARCH(法术查询!$J$8,G103)),IF(法术查询!$J$9="",1,SEARCH(法术查询!$J$9,N103)),IF(法术查询!$J$10="",1,IF(法术查询!$J$10=$AF$11,IF($M103=1,1,0),IF($M103="",1,0))),IF(法术查询!$J$11="",1,IF(法术查询!$J$11=$AF$11,IF($D103=1,1,0),IF($D103="",1,0))),IF(法术查询!$J$12="",1,SEARCH(法术查询!$J$12,$B103&amp;$C103&amp;$O103)),IF(法术查询!$J$13="",1,SEARCH(法术查询!$J$13,$B103&amp;$C103&amp;$O103)),IF(法术查询!$J$14="",1,SEARCH(法术查询!$J$14,$B103&amp;$C103&amp;$O103)),IF(法术查询!$J$16="",1,IF(法术查询!$J$16=$AF$11,IF($H103=1,1,0),IF($H103="",1,0))),IF(法术查询!$J$17="",1,IF(法术查询!$J$17=$AF$11,IF($I103=1,1,0),IF($I103="",1,0))),IF(法术查询!$J$18="",1,IF(法术查询!$J$18=$AF$11,IF($J103&lt;&gt;"",1,0),IF($J103="",1,0))),IF(法术查询!$J$19="",1,IF(法术查询!$J$19=$AF$11,IF($L103&lt;&gt;"",1,0),IF($L103="",1,0)))),$B103,""),"")</f>
        <v/>
      </c>
      <c r="AD102" s="180" t="str">
        <f t="array" ref="AD102">INDEX(AC:AC,SMALL(IF($AC$2:$AC$516&lt;&gt;"",ROW($2:$516),517),ROW(AC101)))&amp;""</f>
        <v/>
      </c>
      <c r="AE102" s="198" t="str">
        <f t="shared" si="5"/>
        <v/>
      </c>
      <c r="AJ102" s="250">
        <v>101</v>
      </c>
      <c r="AK102" s="180" t="str">
        <f>IF(法术书!AB8="","",法术书!AB8)</f>
        <v/>
      </c>
      <c r="AL102" s="119" t="str">
        <f t="array" ref="AL102">IFERROR(INDEX(AK$1:AK$301,SMALL(IF(MATCH(AK102,AK$1:AK$301,0)=ROW(AK102),ROW(AK$1:AK$301),999),ROW(AK102))),"")</f>
        <v/>
      </c>
      <c r="AM102" s="120" t="str">
        <f t="array" ref="AM102">INDEX(AL:AL,SMALL(IF($AL$2:$AL$301&lt;&gt;"",ROW($2:$301),302),ROW(AL101)))&amp;""</f>
        <v/>
      </c>
    </row>
    <row r="103" spans="1:39" ht="14.4" customHeight="1" x14ac:dyDescent="0.25">
      <c r="A103" s="250">
        <v>101</v>
      </c>
      <c r="B103" s="119" t="s">
        <v>6776</v>
      </c>
      <c r="C103" s="119" t="s">
        <v>6777</v>
      </c>
      <c r="D103" s="180">
        <v>1</v>
      </c>
      <c r="E103" s="438" t="s">
        <v>6335</v>
      </c>
      <c r="F103" s="180" t="s">
        <v>6282</v>
      </c>
      <c r="G103" s="180" t="s">
        <v>6291</v>
      </c>
      <c r="H103" s="180">
        <v>1</v>
      </c>
      <c r="I103" s="180">
        <v>1</v>
      </c>
      <c r="N103" s="180" t="s">
        <v>6371</v>
      </c>
      <c r="O103" s="119" t="s">
        <v>6778</v>
      </c>
      <c r="P103" s="119">
        <v>1</v>
      </c>
      <c r="Q103" s="119" t="s">
        <v>242</v>
      </c>
      <c r="R103" s="180">
        <v>1</v>
      </c>
      <c r="T103" s="180">
        <v>1</v>
      </c>
      <c r="V103" s="180">
        <v>1</v>
      </c>
      <c r="AA103" s="120" t="s">
        <v>6779</v>
      </c>
      <c r="AB103" s="250" t="str">
        <f t="array" ref="AB103">INDEX(B:B,SMALL(IF($Q$3:$Q$517&lt;&gt;"",ROW($3:$517),518),ROW(B102)))&amp;""</f>
        <v>塔莎狂笑术</v>
      </c>
      <c r="AC103" s="394" t="str">
        <f>IFERROR(IF(AND($Q104&lt;&gt;"",IF(法术查询!$J$4="",1,INDEX($R104:$Z104,1,VLOOKUP(法术查询!$J$4,$AF$2:$AG$10,2,0)))&lt;&gt;"",IF(法术查询!$J$5="",1,$P104=VLOOKUP(法术查询!$J$5,$AH$2:$AI$11,2,0)),IF(法术查询!$J$6="",1,IF(法术查询!$J$6=$E104,1,0)),IF(法术查询!$J$7="",1,SEARCH(法术查询!$J$7,$F104)),IF(法术查询!$J$8="",1,SEARCH(法术查询!$J$8,G104)),IF(法术查询!$J$9="",1,SEARCH(法术查询!$J$9,N104)),IF(法术查询!$J$10="",1,IF(法术查询!$J$10=$AF$11,IF($M104=1,1,0),IF($M104="",1,0))),IF(法术查询!$J$11="",1,IF(法术查询!$J$11=$AF$11,IF($D104=1,1,0),IF($D104="",1,0))),IF(法术查询!$J$12="",1,SEARCH(法术查询!$J$12,$B104&amp;$C104&amp;$O104)),IF(法术查询!$J$13="",1,SEARCH(法术查询!$J$13,$B104&amp;$C104&amp;$O104)),IF(法术查询!$J$14="",1,SEARCH(法术查询!$J$14,$B104&amp;$C104&amp;$O104)),IF(法术查询!$J$16="",1,IF(法术查询!$J$16=$AF$11,IF($H104=1,1,0),IF($H104="",1,0))),IF(法术查询!$J$17="",1,IF(法术查询!$J$17=$AF$11,IF($I104=1,1,0),IF($I104="",1,0))),IF(法术查询!$J$18="",1,IF(法术查询!$J$18=$AF$11,IF($J104&lt;&gt;"",1,0),IF($J104="",1,0))),IF(法术查询!$J$19="",1,IF(法术查询!$J$19=$AF$11,IF($L104&lt;&gt;"",1,0),IF($L104="",1,0)))),$B104,""),"")</f>
        <v/>
      </c>
      <c r="AD103" s="180" t="str">
        <f t="array" ref="AD103">INDEX(AC:AC,SMALL(IF($AC$2:$AC$516&lt;&gt;"",ROW($2:$516),517),ROW(AC102)))&amp;""</f>
        <v/>
      </c>
      <c r="AE103" s="198" t="str">
        <f t="shared" si="5"/>
        <v/>
      </c>
      <c r="AJ103" s="250">
        <v>102</v>
      </c>
      <c r="AK103" s="180" t="str">
        <f>IF(法术书!AB9="","",法术书!AB9)</f>
        <v/>
      </c>
      <c r="AL103" s="119" t="str">
        <f t="array" ref="AL103">IFERROR(INDEX(AK$1:AK$301,SMALL(IF(MATCH(AK103,AK$1:AK$301,0)=ROW(AK103),ROW(AK$1:AK$301),999),ROW(AK103))),"")</f>
        <v/>
      </c>
      <c r="AM103" s="120" t="str">
        <f t="array" ref="AM103">INDEX(AL:AL,SMALL(IF($AL$2:$AL$301&lt;&gt;"",ROW($2:$301),302),ROW(AL102)))&amp;""</f>
        <v/>
      </c>
    </row>
    <row r="104" spans="1:39" ht="14.4" customHeight="1" x14ac:dyDescent="0.25">
      <c r="A104" s="250">
        <v>102</v>
      </c>
      <c r="B104" s="119" t="s">
        <v>6780</v>
      </c>
      <c r="C104" s="119" t="s">
        <v>6781</v>
      </c>
      <c r="E104" s="379" t="s">
        <v>6328</v>
      </c>
      <c r="F104" s="180" t="s">
        <v>6282</v>
      </c>
      <c r="G104" s="180" t="s">
        <v>6313</v>
      </c>
      <c r="H104" s="180">
        <v>1</v>
      </c>
      <c r="I104" s="180">
        <v>1</v>
      </c>
      <c r="J104" s="180">
        <v>1</v>
      </c>
      <c r="K104" s="119" t="s">
        <v>6782</v>
      </c>
      <c r="M104" s="180">
        <v>1</v>
      </c>
      <c r="N104" s="180" t="s">
        <v>6306</v>
      </c>
      <c r="O104" s="119" t="s">
        <v>6783</v>
      </c>
      <c r="P104" s="119">
        <v>1</v>
      </c>
      <c r="Q104" s="119" t="s">
        <v>242</v>
      </c>
      <c r="R104" s="180">
        <v>1</v>
      </c>
      <c r="X104" s="180">
        <v>1</v>
      </c>
      <c r="AA104" s="198" t="s">
        <v>1652</v>
      </c>
      <c r="AB104" s="250" t="str">
        <f t="array" ref="AB104">INDEX(B:B,SMALL(IF($Q$3:$Q$517&lt;&gt;"",ROW($3:$517),518),ROW(B103)))&amp;""</f>
        <v>谭森浮碟术</v>
      </c>
      <c r="AC104" s="394" t="str">
        <f>IFERROR(IF(AND($Q105&lt;&gt;"",IF(法术查询!$J$4="",1,INDEX($R105:$Z105,1,VLOOKUP(法术查询!$J$4,$AF$2:$AG$10,2,0)))&lt;&gt;"",IF(法术查询!$J$5="",1,$P105=VLOOKUP(法术查询!$J$5,$AH$2:$AI$11,2,0)),IF(法术查询!$J$6="",1,IF(法术查询!$J$6=$E105,1,0)),IF(法术查询!$J$7="",1,SEARCH(法术查询!$J$7,$F105)),IF(法术查询!$J$8="",1,SEARCH(法术查询!$J$8,G105)),IF(法术查询!$J$9="",1,SEARCH(法术查询!$J$9,N105)),IF(法术查询!$J$10="",1,IF(法术查询!$J$10=$AF$11,IF($M105=1,1,0),IF($M105="",1,0))),IF(法术查询!$J$11="",1,IF(法术查询!$J$11=$AF$11,IF($D105=1,1,0),IF($D105="",1,0))),IF(法术查询!$J$12="",1,SEARCH(法术查询!$J$12,$B105&amp;$C105&amp;$O105)),IF(法术查询!$J$13="",1,SEARCH(法术查询!$J$13,$B105&amp;$C105&amp;$O105)),IF(法术查询!$J$14="",1,SEARCH(法术查询!$J$14,$B105&amp;$C105&amp;$O105)),IF(法术查询!$J$16="",1,IF(法术查询!$J$16=$AF$11,IF($H105=1,1,0),IF($H105="",1,0))),IF(法术查询!$J$17="",1,IF(法术查询!$J$17=$AF$11,IF($I105=1,1,0),IF($I105="",1,0))),IF(法术查询!$J$18="",1,IF(法术查询!$J$18=$AF$11,IF($J105&lt;&gt;"",1,0),IF($J105="",1,0))),IF(法术查询!$J$19="",1,IF(法术查询!$J$19=$AF$11,IF($L105&lt;&gt;"",1,0),IF($L105="",1,0)))),$B105,""),"")</f>
        <v/>
      </c>
      <c r="AD104" s="180" t="str">
        <f t="array" ref="AD104">INDEX(AC:AC,SMALL(IF($AC$2:$AC$516&lt;&gt;"",ROW($2:$516),517),ROW(AC103)))&amp;""</f>
        <v/>
      </c>
      <c r="AE104" s="198" t="str">
        <f t="shared" si="5"/>
        <v/>
      </c>
      <c r="AJ104" s="250">
        <v>103</v>
      </c>
      <c r="AK104" s="180" t="str">
        <f>IF(法术书!AB10="","",法术书!AB10)</f>
        <v/>
      </c>
      <c r="AL104" s="119" t="str">
        <f t="array" ref="AL104">IFERROR(INDEX(AK$1:AK$301,SMALL(IF(MATCH(AK104,AK$1:AK$301,0)=ROW(AK104),ROW(AK$1:AK$301),999),ROW(AK104))),"")</f>
        <v/>
      </c>
      <c r="AM104" s="120" t="str">
        <f t="array" ref="AM104">INDEX(AL:AL,SMALL(IF($AL$2:$AL$301&lt;&gt;"",ROW($2:$301),302),ROW(AL103)))&amp;""</f>
        <v/>
      </c>
    </row>
    <row r="105" spans="1:39" ht="14.4" customHeight="1" x14ac:dyDescent="0.25">
      <c r="A105" s="250">
        <v>103</v>
      </c>
      <c r="B105" s="119" t="s">
        <v>6784</v>
      </c>
      <c r="C105" s="119" t="s">
        <v>6785</v>
      </c>
      <c r="D105" s="180">
        <v>1</v>
      </c>
      <c r="E105" s="378" t="s">
        <v>6281</v>
      </c>
      <c r="F105" s="180" t="s">
        <v>6282</v>
      </c>
      <c r="G105" s="180" t="s">
        <v>6313</v>
      </c>
      <c r="H105" s="180">
        <v>1</v>
      </c>
      <c r="I105" s="180">
        <v>1</v>
      </c>
      <c r="J105" s="180">
        <v>1</v>
      </c>
      <c r="K105" s="119" t="s">
        <v>6786</v>
      </c>
      <c r="N105" s="180" t="s">
        <v>6344</v>
      </c>
      <c r="O105" s="119" t="s">
        <v>6787</v>
      </c>
      <c r="P105" s="119">
        <v>1</v>
      </c>
      <c r="Q105" s="119" t="s">
        <v>242</v>
      </c>
      <c r="X105" s="180">
        <v>1</v>
      </c>
      <c r="AA105" s="120" t="s">
        <v>6788</v>
      </c>
      <c r="AB105" s="250" t="str">
        <f t="array" ref="AB105">INDEX(B:B,SMALL(IF($Q$3:$Q$517&lt;&gt;"",ROW($3:$517),518),ROW(B104)))&amp;""</f>
        <v>雷鸣斩</v>
      </c>
      <c r="AC105" s="394" t="str">
        <f>IFERROR(IF(AND($Q106&lt;&gt;"",IF(法术查询!$J$4="",1,INDEX($R106:$Z106,1,VLOOKUP(法术查询!$J$4,$AF$2:$AG$10,2,0)))&lt;&gt;"",IF(法术查询!$J$5="",1,$P106=VLOOKUP(法术查询!$J$5,$AH$2:$AI$11,2,0)),IF(法术查询!$J$6="",1,IF(法术查询!$J$6=$E106,1,0)),IF(法术查询!$J$7="",1,SEARCH(法术查询!$J$7,$F106)),IF(法术查询!$J$8="",1,SEARCH(法术查询!$J$8,G106)),IF(法术查询!$J$9="",1,SEARCH(法术查询!$J$9,N106)),IF(法术查询!$J$10="",1,IF(法术查询!$J$10=$AF$11,IF($M106=1,1,0),IF($M106="",1,0))),IF(法术查询!$J$11="",1,IF(法术查询!$J$11=$AF$11,IF($D106=1,1,0),IF($D106="",1,0))),IF(法术查询!$J$12="",1,SEARCH(法术查询!$J$12,$B106&amp;$C106&amp;$O106)),IF(法术查询!$J$13="",1,SEARCH(法术查询!$J$13,$B106&amp;$C106&amp;$O106)),IF(法术查询!$J$14="",1,SEARCH(法术查询!$J$14,$B106&amp;$C106&amp;$O106)),IF(法术查询!$J$16="",1,IF(法术查询!$J$16=$AF$11,IF($H106=1,1,0),IF($H106="",1,0))),IF(法术查询!$J$17="",1,IF(法术查询!$J$17=$AF$11,IF($I106=1,1,0),IF($I106="",1,0))),IF(法术查询!$J$18="",1,IF(法术查询!$J$18=$AF$11,IF($J106&lt;&gt;"",1,0),IF($J106="",1,0))),IF(法术查询!$J$19="",1,IF(法术查询!$J$19=$AF$11,IF($L106&lt;&gt;"",1,0),IF($L106="",1,0)))),$B106,""),"")</f>
        <v/>
      </c>
      <c r="AD105" s="180" t="str">
        <f t="array" ref="AD105">INDEX(AC:AC,SMALL(IF($AC$2:$AC$516&lt;&gt;"",ROW($2:$516),517),ROW(AC104)))&amp;""</f>
        <v/>
      </c>
      <c r="AE105" s="198" t="str">
        <f t="shared" si="5"/>
        <v/>
      </c>
      <c r="AJ105" s="250">
        <v>104</v>
      </c>
      <c r="AK105" s="180" t="str">
        <f>IF(法术书!AB11="","",法术书!AB11)</f>
        <v/>
      </c>
      <c r="AL105" s="119" t="str">
        <f t="array" ref="AL105">IFERROR(INDEX(AK$1:AK$301,SMALL(IF(MATCH(AK105,AK$1:AK$301,0)=ROW(AK105),ROW(AK$1:AK$301),999),ROW(AK105))),"")</f>
        <v/>
      </c>
      <c r="AM105" s="120" t="str">
        <f t="array" ref="AM105">INDEX(AL:AL,SMALL(IF($AL$2:$AL$301&lt;&gt;"",ROW($2:$301),302),ROW(AL104)))&amp;""</f>
        <v/>
      </c>
    </row>
    <row r="106" spans="1:39" ht="14.4" customHeight="1" x14ac:dyDescent="0.25">
      <c r="A106" s="250">
        <v>104</v>
      </c>
      <c r="B106" s="119" t="s">
        <v>6789</v>
      </c>
      <c r="C106" s="119" t="s">
        <v>6790</v>
      </c>
      <c r="E106" s="434" t="s">
        <v>6304</v>
      </c>
      <c r="F106" s="180" t="s">
        <v>6352</v>
      </c>
      <c r="G106" s="180" t="s">
        <v>6291</v>
      </c>
      <c r="H106" s="180">
        <v>1</v>
      </c>
      <c r="M106" s="180">
        <v>1</v>
      </c>
      <c r="N106" s="180" t="s">
        <v>6306</v>
      </c>
      <c r="O106" s="119" t="s">
        <v>6791</v>
      </c>
      <c r="P106" s="119">
        <v>1</v>
      </c>
      <c r="Q106" s="119" t="s">
        <v>242</v>
      </c>
      <c r="R106" s="180">
        <v>1</v>
      </c>
      <c r="U106" s="180">
        <v>1</v>
      </c>
      <c r="AA106" s="198" t="s">
        <v>2158</v>
      </c>
      <c r="AB106" s="250" t="str">
        <f t="array" ref="AB106">INDEX(B:B,SMALL(IF($Q$3:$Q$517&lt;&gt;"",ROW($3:$517),518),ROW(B105)))&amp;""</f>
        <v>雷鸣波</v>
      </c>
      <c r="AC106" s="394" t="str">
        <f>IFERROR(IF(AND($Q107&lt;&gt;"",IF(法术查询!$J$4="",1,INDEX($R107:$Z107,1,VLOOKUP(法术查询!$J$4,$AF$2:$AG$10,2,0)))&lt;&gt;"",IF(法术查询!$J$5="",1,$P107=VLOOKUP(法术查询!$J$5,$AH$2:$AI$11,2,0)),IF(法术查询!$J$6="",1,IF(法术查询!$J$6=$E107,1,0)),IF(法术查询!$J$7="",1,SEARCH(法术查询!$J$7,$F107)),IF(法术查询!$J$8="",1,SEARCH(法术查询!$J$8,G107)),IF(法术查询!$J$9="",1,SEARCH(法术查询!$J$9,N107)),IF(法术查询!$J$10="",1,IF(法术查询!$J$10=$AF$11,IF($M107=1,1,0),IF($M107="",1,0))),IF(法术查询!$J$11="",1,IF(法术查询!$J$11=$AF$11,IF($D107=1,1,0),IF($D107="",1,0))),IF(法术查询!$J$12="",1,SEARCH(法术查询!$J$12,$B107&amp;$C107&amp;$O107)),IF(法术查询!$J$13="",1,SEARCH(法术查询!$J$13,$B107&amp;$C107&amp;$O107)),IF(法术查询!$J$14="",1,SEARCH(法术查询!$J$14,$B107&amp;$C107&amp;$O107)),IF(法术查询!$J$16="",1,IF(法术查询!$J$16=$AF$11,IF($H107=1,1,0),IF($H107="",1,0))),IF(法术查询!$J$17="",1,IF(法术查询!$J$17=$AF$11,IF($I107=1,1,0),IF($I107="",1,0))),IF(法术查询!$J$18="",1,IF(法术查询!$J$18=$AF$11,IF($J107&lt;&gt;"",1,0),IF($J107="",1,0))),IF(法术查询!$J$19="",1,IF(法术查询!$J$19=$AF$11,IF($L107&lt;&gt;"",1,0),IF($L107="",1,0)))),$B107,""),"")</f>
        <v/>
      </c>
      <c r="AD106" s="180" t="str">
        <f t="array" ref="AD106">INDEX(AC:AC,SMALL(IF($AC$2:$AC$516&lt;&gt;"",ROW($2:$516),517),ROW(AC105)))&amp;""</f>
        <v/>
      </c>
      <c r="AE106" s="198" t="str">
        <f t="shared" si="5"/>
        <v/>
      </c>
      <c r="AJ106" s="250">
        <v>105</v>
      </c>
      <c r="AK106" s="180" t="str">
        <f>IF(法术书!AB12="","",法术书!AB12)</f>
        <v/>
      </c>
      <c r="AL106" s="119" t="str">
        <f t="array" ref="AL106">IFERROR(INDEX(AK$1:AK$301,SMALL(IF(MATCH(AK106,AK$1:AK$301,0)=ROW(AK106),ROW(AK$1:AK$301),999),ROW(AK106))),"")</f>
        <v/>
      </c>
      <c r="AM106" s="120" t="str">
        <f t="array" ref="AM106">INDEX(AL:AL,SMALL(IF($AL$2:$AL$301&lt;&gt;"",ROW($2:$301),302),ROW(AL105)))&amp;""</f>
        <v/>
      </c>
    </row>
    <row r="107" spans="1:39" ht="14.4" customHeight="1" x14ac:dyDescent="0.25">
      <c r="A107" s="250">
        <v>105</v>
      </c>
      <c r="B107" s="119" t="s">
        <v>6792</v>
      </c>
      <c r="C107" s="119" t="s">
        <v>6793</v>
      </c>
      <c r="E107" s="434" t="s">
        <v>6304</v>
      </c>
      <c r="F107" s="180" t="s">
        <v>6282</v>
      </c>
      <c r="G107" s="180" t="s">
        <v>6500</v>
      </c>
      <c r="H107" s="180">
        <v>1</v>
      </c>
      <c r="I107" s="180">
        <v>1</v>
      </c>
      <c r="N107" s="180" t="s">
        <v>6284</v>
      </c>
      <c r="O107" s="119" t="s">
        <v>6794</v>
      </c>
      <c r="P107" s="119">
        <v>1</v>
      </c>
      <c r="Q107" s="119" t="s">
        <v>242</v>
      </c>
      <c r="T107" s="180">
        <v>1</v>
      </c>
      <c r="W107" s="180">
        <v>1</v>
      </c>
      <c r="X107" s="180">
        <v>1</v>
      </c>
      <c r="AA107" s="120" t="s">
        <v>6795</v>
      </c>
      <c r="AB107" s="250" t="str">
        <f t="array" ref="AB107">INDEX(B:B,SMALL(IF($Q$3:$Q$517&lt;&gt;"",ROW($3:$517),518),ROW(B106)))&amp;""</f>
        <v>隐形仆役</v>
      </c>
      <c r="AC107" s="394" t="str">
        <f>IFERROR(IF(AND($Q108&lt;&gt;"",IF(法术查询!$J$4="",1,INDEX($R108:$Z108,1,VLOOKUP(法术查询!$J$4,$AF$2:$AG$10,2,0)))&lt;&gt;"",IF(法术查询!$J$5="",1,$P108=VLOOKUP(法术查询!$J$5,$AH$2:$AI$11,2,0)),IF(法术查询!$J$6="",1,IF(法术查询!$J$6=$E108,1,0)),IF(法术查询!$J$7="",1,SEARCH(法术查询!$J$7,$F108)),IF(法术查询!$J$8="",1,SEARCH(法术查询!$J$8,G108)),IF(法术查询!$J$9="",1,SEARCH(法术查询!$J$9,N108)),IF(法术查询!$J$10="",1,IF(法术查询!$J$10=$AF$11,IF($M108=1,1,0),IF($M108="",1,0))),IF(法术查询!$J$11="",1,IF(法术查询!$J$11=$AF$11,IF($D108=1,1,0),IF($D108="",1,0))),IF(法术查询!$J$12="",1,SEARCH(法术查询!$J$12,$B108&amp;$C108&amp;$O108)),IF(法术查询!$J$13="",1,SEARCH(法术查询!$J$13,$B108&amp;$C108&amp;$O108)),IF(法术查询!$J$14="",1,SEARCH(法术查询!$J$14,$B108&amp;$C108&amp;$O108)),IF(法术查询!$J$16="",1,IF(法术查询!$J$16=$AF$11,IF($H108=1,1,0),IF($H108="",1,0))),IF(法术查询!$J$17="",1,IF(法术查询!$J$17=$AF$11,IF($I108=1,1,0),IF($I108="",1,0))),IF(法术查询!$J$18="",1,IF(法术查询!$J$18=$AF$11,IF($J108&lt;&gt;"",1,0),IF($J108="",1,0))),IF(法术查询!$J$19="",1,IF(法术查询!$J$19=$AF$11,IF($L108&lt;&gt;"",1,0),IF($L108="",1,0)))),$B108,""),"")</f>
        <v/>
      </c>
      <c r="AD107" s="180" t="str">
        <f t="array" ref="AD107">INDEX(AC:AC,SMALL(IF($AC$2:$AC$516&lt;&gt;"",ROW($2:$516),517),ROW(AC106)))&amp;""</f>
        <v/>
      </c>
      <c r="AE107" s="198" t="str">
        <f t="shared" si="5"/>
        <v/>
      </c>
      <c r="AJ107" s="250">
        <v>106</v>
      </c>
      <c r="AK107" s="180" t="str">
        <f>IF(法术书!AB13="","",法术书!AB13)</f>
        <v/>
      </c>
      <c r="AL107" s="119" t="str">
        <f t="array" ref="AL107">IFERROR(INDEX(AK$1:AK$301,SMALL(IF(MATCH(AK107,AK$1:AK$301,0)=ROW(AK107),ROW(AK$1:AK$301),999),ROW(AK107))),"")</f>
        <v/>
      </c>
      <c r="AM107" s="120" t="str">
        <f t="array" ref="AM107">INDEX(AL:AL,SMALL(IF($AL$2:$AL$301&lt;&gt;"",ROW($2:$301),302),ROW(AL106)))&amp;""</f>
        <v/>
      </c>
    </row>
    <row r="108" spans="1:39" ht="14.4" customHeight="1" x14ac:dyDescent="0.25">
      <c r="A108" s="250">
        <v>106</v>
      </c>
      <c r="B108" s="119" t="s">
        <v>6796</v>
      </c>
      <c r="C108" s="119" t="s">
        <v>6797</v>
      </c>
      <c r="D108" s="180">
        <v>1</v>
      </c>
      <c r="E108" s="378" t="s">
        <v>6281</v>
      </c>
      <c r="F108" s="180" t="s">
        <v>6282</v>
      </c>
      <c r="G108" s="180" t="s">
        <v>6283</v>
      </c>
      <c r="H108" s="180">
        <v>1</v>
      </c>
      <c r="I108" s="180">
        <v>1</v>
      </c>
      <c r="J108" s="180">
        <v>1</v>
      </c>
      <c r="K108" s="119" t="s">
        <v>6798</v>
      </c>
      <c r="N108" s="180" t="s">
        <v>6344</v>
      </c>
      <c r="O108" s="119" t="s">
        <v>6799</v>
      </c>
      <c r="P108" s="119">
        <v>1</v>
      </c>
      <c r="Q108" s="119" t="s">
        <v>242</v>
      </c>
      <c r="R108" s="180">
        <v>1</v>
      </c>
      <c r="X108" s="180">
        <v>1</v>
      </c>
      <c r="Y108" s="180">
        <v>1</v>
      </c>
      <c r="AA108" s="198" t="s">
        <v>761</v>
      </c>
      <c r="AB108" s="250" t="str">
        <f t="array" ref="AB108">INDEX(B:B,SMALL(IF($Q$3:$Q$517&lt;&gt;"",ROW($3:$517),518),ROW(B107)))&amp;""</f>
        <v>巫术箭</v>
      </c>
      <c r="AC108" s="394" t="str">
        <f>IFERROR(IF(AND($Q109&lt;&gt;"",IF(法术查询!$J$4="",1,INDEX($R109:$Z109,1,VLOOKUP(法术查询!$J$4,$AF$2:$AG$10,2,0)))&lt;&gt;"",IF(法术查询!$J$5="",1,$P109=VLOOKUP(法术查询!$J$5,$AH$2:$AI$11,2,0)),IF(法术查询!$J$6="",1,IF(法术查询!$J$6=$E109,1,0)),IF(法术查询!$J$7="",1,SEARCH(法术查询!$J$7,$F109)),IF(法术查询!$J$8="",1,SEARCH(法术查询!$J$8,G109)),IF(法术查询!$J$9="",1,SEARCH(法术查询!$J$9,N109)),IF(法术查询!$J$10="",1,IF(法术查询!$J$10=$AF$11,IF($M109=1,1,0),IF($M109="",1,0))),IF(法术查询!$J$11="",1,IF(法术查询!$J$11=$AF$11,IF($D109=1,1,0),IF($D109="",1,0))),IF(法术查询!$J$12="",1,SEARCH(法术查询!$J$12,$B109&amp;$C109&amp;$O109)),IF(法术查询!$J$13="",1,SEARCH(法术查询!$J$13,$B109&amp;$C109&amp;$O109)),IF(法术查询!$J$14="",1,SEARCH(法术查询!$J$14,$B109&amp;$C109&amp;$O109)),IF(法术查询!$J$16="",1,IF(法术查询!$J$16=$AF$11,IF($H109=1,1,0),IF($H109="",1,0))),IF(法术查询!$J$17="",1,IF(法术查询!$J$17=$AF$11,IF($I109=1,1,0),IF($I109="",1,0))),IF(法术查询!$J$18="",1,IF(法术查询!$J$18=$AF$11,IF($J109&lt;&gt;"",1,0),IF($J109="",1,0))),IF(法术查询!$J$19="",1,IF(法术查询!$J$19=$AF$11,IF($L109&lt;&gt;"",1,0),IF($L109="",1,0)))),$B109,""),"")</f>
        <v/>
      </c>
      <c r="AD108" s="180" t="str">
        <f t="array" ref="AD108">INDEX(AC:AC,SMALL(IF($AC$2:$AC$516&lt;&gt;"",ROW($2:$516),517),ROW(AC107)))&amp;""</f>
        <v/>
      </c>
      <c r="AE108" s="198" t="str">
        <f t="shared" si="5"/>
        <v/>
      </c>
      <c r="AJ108" s="250">
        <v>107</v>
      </c>
      <c r="AK108" s="180" t="str">
        <f>IF(法术书!AB14="","",法术书!AB14)</f>
        <v/>
      </c>
      <c r="AL108" s="119" t="str">
        <f t="array" ref="AL108">IFERROR(INDEX(AK$1:AK$301,SMALL(IF(MATCH(AK108,AK$1:AK$301,0)=ROW(AK108),ROW(AK$1:AK$301),999),ROW(AK108))),"")</f>
        <v/>
      </c>
      <c r="AM108" s="120" t="str">
        <f t="array" ref="AM108">INDEX(AL:AL,SMALL(IF($AL$2:$AL$301&lt;&gt;"",ROW($2:$301),302),ROW(AL107)))&amp;""</f>
        <v/>
      </c>
    </row>
    <row r="109" spans="1:39" ht="14.4" customHeight="1" x14ac:dyDescent="0.25">
      <c r="A109" s="250">
        <v>107</v>
      </c>
      <c r="B109" s="119" t="s">
        <v>6800</v>
      </c>
      <c r="C109" s="119" t="s">
        <v>6801</v>
      </c>
      <c r="E109" s="434" t="s">
        <v>6304</v>
      </c>
      <c r="F109" s="180" t="s">
        <v>6282</v>
      </c>
      <c r="G109" s="180" t="s">
        <v>6313</v>
      </c>
      <c r="H109" s="180">
        <v>1</v>
      </c>
      <c r="I109" s="180">
        <v>1</v>
      </c>
      <c r="J109" s="180">
        <v>1</v>
      </c>
      <c r="K109" s="119" t="s">
        <v>6802</v>
      </c>
      <c r="M109" s="180">
        <v>1</v>
      </c>
      <c r="N109" s="180" t="s">
        <v>6306</v>
      </c>
      <c r="O109" s="119" t="s">
        <v>6803</v>
      </c>
      <c r="P109" s="119">
        <v>1</v>
      </c>
      <c r="Q109" s="119" t="s">
        <v>242</v>
      </c>
      <c r="W109" s="180">
        <v>1</v>
      </c>
      <c r="X109" s="180">
        <v>1</v>
      </c>
      <c r="Y109" s="180">
        <v>1</v>
      </c>
      <c r="AA109" s="198"/>
      <c r="AB109" s="250" t="str">
        <f t="array" ref="AB109">INDEX(B:B,SMALL(IF($Q$3:$Q$517&lt;&gt;"",ROW($3:$517),518),ROW(B108)))&amp;""</f>
        <v>激愤斩</v>
      </c>
      <c r="AC109" s="394" t="str">
        <f>IFERROR(IF(AND($Q110&lt;&gt;"",IF(法术查询!$J$4="",1,INDEX($R110:$Z110,1,VLOOKUP(法术查询!$J$4,$AF$2:$AG$10,2,0)))&lt;&gt;"",IF(法术查询!$J$5="",1,$P110=VLOOKUP(法术查询!$J$5,$AH$2:$AI$11,2,0)),IF(法术查询!$J$6="",1,IF(法术查询!$J$6=$E110,1,0)),IF(法术查询!$J$7="",1,SEARCH(法术查询!$J$7,$F110)),IF(法术查询!$J$8="",1,SEARCH(法术查询!$J$8,G110)),IF(法术查询!$J$9="",1,SEARCH(法术查询!$J$9,N110)),IF(法术查询!$J$10="",1,IF(法术查询!$J$10=$AF$11,IF($M110=1,1,0),IF($M110="",1,0))),IF(法术查询!$J$11="",1,IF(法术查询!$J$11=$AF$11,IF($D110=1,1,0),IF($D110="",1,0))),IF(法术查询!$J$12="",1,SEARCH(法术查询!$J$12,$B110&amp;$C110&amp;$O110)),IF(法术查询!$J$13="",1,SEARCH(法术查询!$J$13,$B110&amp;$C110&amp;$O110)),IF(法术查询!$J$14="",1,SEARCH(法术查询!$J$14,$B110&amp;$C110&amp;$O110)),IF(法术查询!$J$16="",1,IF(法术查询!$J$16=$AF$11,IF($H110=1,1,0),IF($H110="",1,0))),IF(法术查询!$J$17="",1,IF(法术查询!$J$17=$AF$11,IF($I110=1,1,0),IF($I110="",1,0))),IF(法术查询!$J$18="",1,IF(法术查询!$J$18=$AF$11,IF($J110&lt;&gt;"",1,0),IF($J110="",1,0))),IF(法术查询!$J$19="",1,IF(法术查询!$J$19=$AF$11,IF($L110&lt;&gt;"",1,0),IF($L110="",1,0)))),$B110,""),"")</f>
        <v/>
      </c>
      <c r="AD109" s="180" t="str">
        <f t="array" ref="AD109">INDEX(AC:AC,SMALL(IF($AC$2:$AC$516&lt;&gt;"",ROW($2:$516),517),ROW(AC108)))&amp;""</f>
        <v/>
      </c>
      <c r="AE109" s="198" t="str">
        <f t="shared" si="5"/>
        <v/>
      </c>
      <c r="AJ109" s="250">
        <v>108</v>
      </c>
      <c r="AK109" s="180" t="str">
        <f>IF(法术书!AB15="","",法术书!AB15)</f>
        <v/>
      </c>
      <c r="AL109" s="119" t="str">
        <f t="array" ref="AL109">IFERROR(INDEX(AK$1:AK$301,SMALL(IF(MATCH(AK109,AK$1:AK$301,0)=ROW(AK109),ROW(AK$1:AK$301),999),ROW(AK109))),"")</f>
        <v/>
      </c>
      <c r="AM109" s="120" t="str">
        <f t="array" ref="AM109">INDEX(AL:AL,SMALL(IF($AL$2:$AL$301&lt;&gt;"",ROW($2:$301),302),ROW(AL108)))&amp;""</f>
        <v/>
      </c>
    </row>
    <row r="110" spans="1:39" ht="14.4" customHeight="1" x14ac:dyDescent="0.25">
      <c r="A110" s="250">
        <v>108</v>
      </c>
      <c r="B110" s="119" t="s">
        <v>6804</v>
      </c>
      <c r="C110" s="119" t="s">
        <v>6805</v>
      </c>
      <c r="E110" s="434" t="s">
        <v>6304</v>
      </c>
      <c r="F110" s="180" t="s">
        <v>6352</v>
      </c>
      <c r="G110" s="180" t="s">
        <v>6291</v>
      </c>
      <c r="H110" s="180">
        <v>1</v>
      </c>
      <c r="M110" s="180">
        <v>1</v>
      </c>
      <c r="N110" s="180" t="s">
        <v>6306</v>
      </c>
      <c r="O110" s="119" t="s">
        <v>6806</v>
      </c>
      <c r="P110" s="119">
        <v>1</v>
      </c>
      <c r="Q110" s="119" t="s">
        <v>242</v>
      </c>
      <c r="U110" s="180">
        <v>1</v>
      </c>
      <c r="AA110" s="198" t="s">
        <v>3471</v>
      </c>
      <c r="AB110" s="250" t="str">
        <f t="array" ref="AB110">INDEX(B:B,SMALL(IF($Q$3:$Q$517&lt;&gt;"",ROW($3:$517),518),ROW(B109)))&amp;""</f>
        <v>吸收元素</v>
      </c>
      <c r="AC110" s="394" t="str">
        <f>IFERROR(IF(AND($Q111&lt;&gt;"",IF(法术查询!$J$4="",1,INDEX($R111:$Z111,1,VLOOKUP(法术查询!$J$4,$AF$2:$AG$10,2,0)))&lt;&gt;"",IF(法术查询!$J$5="",1,$P111=VLOOKUP(法术查询!$J$5,$AH$2:$AI$11,2,0)),IF(法术查询!$J$6="",1,IF(法术查询!$J$6=$E111,1,0)),IF(法术查询!$J$7="",1,SEARCH(法术查询!$J$7,$F111)),IF(法术查询!$J$8="",1,SEARCH(法术查询!$J$8,G111)),IF(法术查询!$J$9="",1,SEARCH(法术查询!$J$9,N111)),IF(法术查询!$J$10="",1,IF(法术查询!$J$10=$AF$11,IF($M111=1,1,0),IF($M111="",1,0))),IF(法术查询!$J$11="",1,IF(法术查询!$J$11=$AF$11,IF($D111=1,1,0),IF($D111="",1,0))),IF(法术查询!$J$12="",1,SEARCH(法术查询!$J$12,$B111&amp;$C111&amp;$O111)),IF(法术查询!$J$13="",1,SEARCH(法术查询!$J$13,$B111&amp;$C111&amp;$O111)),IF(法术查询!$J$14="",1,SEARCH(法术查询!$J$14,$B111&amp;$C111&amp;$O111)),IF(法术查询!$J$16="",1,IF(法术查询!$J$16=$AF$11,IF($H111=1,1,0),IF($H111="",1,0))),IF(法术查询!$J$17="",1,IF(法术查询!$J$17=$AF$11,IF($I111=1,1,0),IF($I111="",1,0))),IF(法术查询!$J$18="",1,IF(法术查询!$J$18=$AF$11,IF($J111&lt;&gt;"",1,0),IF($J111="",1,0))),IF(法术查询!$J$19="",1,IF(法术查询!$J$19=$AF$11,IF($L111&lt;&gt;"",1,0),IF($L111="",1,0)))),$B111,""),"")</f>
        <v/>
      </c>
      <c r="AD110" s="180" t="str">
        <f t="array" ref="AD110">INDEX(AC:AC,SMALL(IF($AC$2:$AC$516&lt;&gt;"",ROW($2:$516),517),ROW(AC109)))&amp;""</f>
        <v/>
      </c>
      <c r="AE110" s="198" t="str">
        <f t="shared" si="5"/>
        <v/>
      </c>
      <c r="AJ110" s="250">
        <v>109</v>
      </c>
      <c r="AK110" s="180" t="str">
        <f>IF(法术书!AB16="","",法术书!AB16)</f>
        <v/>
      </c>
      <c r="AL110" s="119" t="str">
        <f t="array" ref="AL110">IFERROR(INDEX(AK$1:AK$301,SMALL(IF(MATCH(AK110,AK$1:AK$301,0)=ROW(AK110),ROW(AK$1:AK$301),999),ROW(AK110))),"")</f>
        <v/>
      </c>
      <c r="AM110" s="120" t="str">
        <f t="array" ref="AM110">INDEX(AL:AL,SMALL(IF($AL$2:$AL$301&lt;&gt;"",ROW($2:$301),302),ROW(AL109)))&amp;""</f>
        <v/>
      </c>
    </row>
    <row r="111" spans="1:39" ht="14.4" customHeight="1" x14ac:dyDescent="0.25">
      <c r="A111" s="250">
        <v>109</v>
      </c>
      <c r="B111" s="119" t="s">
        <v>6807</v>
      </c>
      <c r="C111" s="119" t="s">
        <v>6808</v>
      </c>
      <c r="E111" s="440" t="s">
        <v>6290</v>
      </c>
      <c r="F111" s="180" t="s">
        <v>6432</v>
      </c>
      <c r="G111" s="180" t="s">
        <v>6291</v>
      </c>
      <c r="I111" s="180">
        <v>1</v>
      </c>
      <c r="N111" s="180" t="s">
        <v>6292</v>
      </c>
      <c r="O111" s="119" t="s">
        <v>6809</v>
      </c>
      <c r="P111" s="119">
        <v>1</v>
      </c>
      <c r="Q111" s="251" t="str">
        <f>IF(综合数据!$B$7=TRUE,"XGE","")</f>
        <v>XGE</v>
      </c>
      <c r="T111" s="180">
        <v>6</v>
      </c>
      <c r="V111" s="180">
        <v>6</v>
      </c>
      <c r="W111" s="180">
        <v>6</v>
      </c>
      <c r="X111" s="180">
        <v>6</v>
      </c>
      <c r="Z111" s="180">
        <v>9</v>
      </c>
      <c r="AA111" s="198"/>
      <c r="AB111" s="250" t="str">
        <f t="array" ref="AB111">INDEX(B:B,SMALL(IF($Q$3:$Q$517&lt;&gt;"",ROW($3:$517),518),ROW(B110)))&amp;""</f>
        <v>兽之联结</v>
      </c>
      <c r="AC111" s="394" t="str">
        <f>IFERROR(IF(AND($Q112&lt;&gt;"",IF(法术查询!$J$4="",1,INDEX($R112:$Z112,1,VLOOKUP(法术查询!$J$4,$AF$2:$AG$10,2,0)))&lt;&gt;"",IF(法术查询!$J$5="",1,$P112=VLOOKUP(法术查询!$J$5,$AH$2:$AI$11,2,0)),IF(法术查询!$J$6="",1,IF(法术查询!$J$6=$E112,1,0)),IF(法术查询!$J$7="",1,SEARCH(法术查询!$J$7,$F112)),IF(法术查询!$J$8="",1,SEARCH(法术查询!$J$8,G112)),IF(法术查询!$J$9="",1,SEARCH(法术查询!$J$9,N112)),IF(法术查询!$J$10="",1,IF(法术查询!$J$10=$AF$11,IF($M112=1,1,0),IF($M112="",1,0))),IF(法术查询!$J$11="",1,IF(法术查询!$J$11=$AF$11,IF($D112=1,1,0),IF($D112="",1,0))),IF(法术查询!$J$12="",1,SEARCH(法术查询!$J$12,$B112&amp;$C112&amp;$O112)),IF(法术查询!$J$13="",1,SEARCH(法术查询!$J$13,$B112&amp;$C112&amp;$O112)),IF(法术查询!$J$14="",1,SEARCH(法术查询!$J$14,$B112&amp;$C112&amp;$O112)),IF(法术查询!$J$16="",1,IF(法术查询!$J$16=$AF$11,IF($H112=1,1,0),IF($H112="",1,0))),IF(法术查询!$J$17="",1,IF(法术查询!$J$17=$AF$11,IF($I112=1,1,0),IF($I112="",1,0))),IF(法术查询!$J$18="",1,IF(法术查询!$J$18=$AF$11,IF($J112&lt;&gt;"",1,0),IF($J112="",1,0))),IF(法术查询!$J$19="",1,IF(法术查询!$J$19=$AF$11,IF($L112&lt;&gt;"",1,0),IF($L112="",1,0)))),$B112,""),"")</f>
        <v/>
      </c>
      <c r="AD111" s="180" t="str">
        <f t="array" ref="AD111">INDEX(AC:AC,SMALL(IF($AC$2:$AC$516&lt;&gt;"",ROW($2:$516),517),ROW(AC110)))&amp;""</f>
        <v/>
      </c>
      <c r="AE111" s="198" t="str">
        <f t="shared" si="5"/>
        <v/>
      </c>
      <c r="AJ111" s="250">
        <v>110</v>
      </c>
      <c r="AK111" s="180" t="str">
        <f>IF(法术书!AB17="","",法术书!AB17)</f>
        <v/>
      </c>
      <c r="AL111" s="119" t="str">
        <f t="array" ref="AL111">IFERROR(INDEX(AK$1:AK$301,SMALL(IF(MATCH(AK111,AK$1:AK$301,0)=ROW(AK111),ROW(AK$1:AK$301),999),ROW(AK111))),"")</f>
        <v/>
      </c>
      <c r="AM111" s="120" t="str">
        <f t="array" ref="AM111">INDEX(AL:AL,SMALL(IF($AL$2:$AL$301&lt;&gt;"",ROW($2:$301),302),ROW(AL110)))&amp;""</f>
        <v/>
      </c>
    </row>
    <row r="112" spans="1:39" ht="14.4" customHeight="1" x14ac:dyDescent="0.25">
      <c r="A112" s="250">
        <v>110</v>
      </c>
      <c r="B112" s="119" t="s">
        <v>6810</v>
      </c>
      <c r="C112" s="119" t="s">
        <v>6811</v>
      </c>
      <c r="E112" s="438" t="s">
        <v>6335</v>
      </c>
      <c r="F112" s="180" t="s">
        <v>6282</v>
      </c>
      <c r="G112" s="180" t="s">
        <v>3682</v>
      </c>
      <c r="H112" s="180">
        <v>1</v>
      </c>
      <c r="I112" s="180">
        <v>1</v>
      </c>
      <c r="J112" s="180">
        <v>1</v>
      </c>
      <c r="K112" s="119" t="s">
        <v>6812</v>
      </c>
      <c r="M112" s="180">
        <v>1</v>
      </c>
      <c r="N112" s="180" t="s">
        <v>6471</v>
      </c>
      <c r="O112" s="119" t="s">
        <v>6813</v>
      </c>
      <c r="P112" s="119">
        <v>1</v>
      </c>
      <c r="Q112" s="251" t="str">
        <f>IF(综合数据!$B$7=TRUE,"XGE","")</f>
        <v>XGE</v>
      </c>
      <c r="T112" s="180">
        <v>6</v>
      </c>
      <c r="V112" s="180">
        <v>6</v>
      </c>
      <c r="AA112" s="198"/>
      <c r="AB112" s="250" t="str">
        <f t="array" ref="AB112">INDEX(B:B,SMALL(IF($Q$3:$Q$517&lt;&gt;"",ROW($3:$517),518),ROW(B111)))&amp;""</f>
        <v>弹射</v>
      </c>
      <c r="AC112" s="394" t="str">
        <f>IFERROR(IF(AND($Q113&lt;&gt;"",IF(法术查询!$J$4="",1,INDEX($R113:$Z113,1,VLOOKUP(法术查询!$J$4,$AF$2:$AG$10,2,0)))&lt;&gt;"",IF(法术查询!$J$5="",1,$P113=VLOOKUP(法术查询!$J$5,$AH$2:$AI$11,2,0)),IF(法术查询!$J$6="",1,IF(法术查询!$J$6=$E113,1,0)),IF(法术查询!$J$7="",1,SEARCH(法术查询!$J$7,$F113)),IF(法术查询!$J$8="",1,SEARCH(法术查询!$J$8,G113)),IF(法术查询!$J$9="",1,SEARCH(法术查询!$J$9,N113)),IF(法术查询!$J$10="",1,IF(法术查询!$J$10=$AF$11,IF($M113=1,1,0),IF($M113="",1,0))),IF(法术查询!$J$11="",1,IF(法术查询!$J$11=$AF$11,IF($D113=1,1,0),IF($D113="",1,0))),IF(法术查询!$J$12="",1,SEARCH(法术查询!$J$12,$B113&amp;$C113&amp;$O113)),IF(法术查询!$J$13="",1,SEARCH(法术查询!$J$13,$B113&amp;$C113&amp;$O113)),IF(法术查询!$J$14="",1,SEARCH(法术查询!$J$14,$B113&amp;$C113&amp;$O113)),IF(法术查询!$J$16="",1,IF(法术查询!$J$16=$AF$11,IF($H113=1,1,0),IF($H113="",1,0))),IF(法术查询!$J$17="",1,IF(法术查询!$J$17=$AF$11,IF($I113=1,1,0),IF($I113="",1,0))),IF(法术查询!$J$18="",1,IF(法术查询!$J$18=$AF$11,IF($J113&lt;&gt;"",1,0),IF($J113="",1,0))),IF(法术查询!$J$19="",1,IF(法术查询!$J$19=$AF$11,IF($L113&lt;&gt;"",1,0),IF($L113="",1,0)))),$B113,""),"")</f>
        <v/>
      </c>
      <c r="AD112" s="180" t="str">
        <f t="array" ref="AD112">INDEX(AC:AC,SMALL(IF($AC$2:$AC$516&lt;&gt;"",ROW($2:$516),517),ROW(AC111)))&amp;""</f>
        <v/>
      </c>
      <c r="AE112" s="198" t="str">
        <f t="shared" si="5"/>
        <v/>
      </c>
      <c r="AJ112" s="250">
        <v>111</v>
      </c>
      <c r="AK112" s="180" t="str">
        <f>IF(法术书!AB18="","",法术书!AB18)</f>
        <v/>
      </c>
      <c r="AL112" s="119" t="str">
        <f t="array" ref="AL112">IFERROR(INDEX(AK$1:AK$301,SMALL(IF(MATCH(AK112,AK$1:AK$301,0)=ROW(AK112),ROW(AK$1:AK$301),999),ROW(AK112))),"")</f>
        <v/>
      </c>
      <c r="AM112" s="120" t="str">
        <f t="array" ref="AM112">INDEX(AL:AL,SMALL(IF($AL$2:$AL$301&lt;&gt;"",ROW($2:$301),302),ROW(AL111)))&amp;""</f>
        <v/>
      </c>
    </row>
    <row r="113" spans="1:39" ht="14.4" customHeight="1" x14ac:dyDescent="0.25">
      <c r="A113" s="250">
        <v>111</v>
      </c>
      <c r="B113" s="119" t="s">
        <v>6814</v>
      </c>
      <c r="C113" s="119" t="s">
        <v>6815</v>
      </c>
      <c r="E113" s="435" t="s">
        <v>6312</v>
      </c>
      <c r="F113" s="180" t="s">
        <v>6282</v>
      </c>
      <c r="G113" s="180" t="s">
        <v>6283</v>
      </c>
      <c r="I113" s="180">
        <v>1</v>
      </c>
      <c r="N113" s="180" t="s">
        <v>6284</v>
      </c>
      <c r="O113" s="119" t="s">
        <v>6816</v>
      </c>
      <c r="P113" s="119">
        <v>1</v>
      </c>
      <c r="Q113" s="251" t="str">
        <f>IF(综合数据!$B$7=TRUE,"XGE","")</f>
        <v>XGE</v>
      </c>
      <c r="W113" s="180">
        <v>6</v>
      </c>
      <c r="X113" s="180">
        <v>6</v>
      </c>
      <c r="Z113" s="180">
        <v>9</v>
      </c>
      <c r="AA113" s="198"/>
      <c r="AB113" s="250" t="str">
        <f t="array" ref="AB113">INDEX(B:B,SMALL(IF($Q$3:$Q$517&lt;&gt;"",ROW($3:$517),518),ROW(B112)))&amp;""</f>
        <v>造成恐惧</v>
      </c>
      <c r="AC113" s="394" t="str">
        <f>IFERROR(IF(AND($Q114&lt;&gt;"",IF(法术查询!$J$4="",1,INDEX($R114:$Z114,1,VLOOKUP(法术查询!$J$4,$AF$2:$AG$10,2,0)))&lt;&gt;"",IF(法术查询!$J$5="",1,$P114=VLOOKUP(法术查询!$J$5,$AH$2:$AI$11,2,0)),IF(法术查询!$J$6="",1,IF(法术查询!$J$6=$E114,1,0)),IF(法术查询!$J$7="",1,SEARCH(法术查询!$J$7,$F114)),IF(法术查询!$J$8="",1,SEARCH(法术查询!$J$8,G114)),IF(法术查询!$J$9="",1,SEARCH(法术查询!$J$9,N114)),IF(法术查询!$J$10="",1,IF(法术查询!$J$10=$AF$11,IF($M114=1,1,0),IF($M114="",1,0))),IF(法术查询!$J$11="",1,IF(法术查询!$J$11=$AF$11,IF($D114=1,1,0),IF($D114="",1,0))),IF(法术查询!$J$12="",1,SEARCH(法术查询!$J$12,$B114&amp;$C114&amp;$O114)),IF(法术查询!$J$13="",1,SEARCH(法术查询!$J$13,$B114&amp;$C114&amp;$O114)),IF(法术查询!$J$14="",1,SEARCH(法术查询!$J$14,$B114&amp;$C114&amp;$O114)),IF(法术查询!$J$16="",1,IF(法术查询!$J$16=$AF$11,IF($H114=1,1,0),IF($H114="",1,0))),IF(法术查询!$J$17="",1,IF(法术查询!$J$17=$AF$11,IF($I114=1,1,0),IF($I114="",1,0))),IF(法术查询!$J$18="",1,IF(法术查询!$J$18=$AF$11,IF($J114&lt;&gt;"",1,0),IF($J114="",1,0))),IF(法术查询!$J$19="",1,IF(法术查询!$J$19=$AF$11,IF($L114&lt;&gt;"",1,0),IF($L114="",1,0)))),$B114,""),"")</f>
        <v/>
      </c>
      <c r="AD113" s="180" t="str">
        <f t="array" ref="AD113">INDEX(AC:AC,SMALL(IF($AC$2:$AC$516&lt;&gt;"",ROW($2:$516),517),ROW(AC112)))&amp;""</f>
        <v/>
      </c>
      <c r="AE113" s="198" t="str">
        <f t="shared" si="5"/>
        <v/>
      </c>
      <c r="AJ113" s="250">
        <v>112</v>
      </c>
      <c r="AK113" s="180" t="str">
        <f>IF(法术书!AB19="","",法术书!AB19)</f>
        <v/>
      </c>
      <c r="AL113" s="119" t="str">
        <f t="array" ref="AL113">IFERROR(INDEX(AK$1:AK$301,SMALL(IF(MATCH(AK113,AK$1:AK$301,0)=ROW(AK113),ROW(AK$1:AK$301),999),ROW(AK113))),"")</f>
        <v/>
      </c>
      <c r="AM113" s="120" t="str">
        <f t="array" ref="AM113">INDEX(AL:AL,SMALL(IF($AL$2:$AL$301&lt;&gt;"",ROW($2:$301),302),ROW(AL112)))&amp;""</f>
        <v/>
      </c>
    </row>
    <row r="114" spans="1:39" ht="14.4" customHeight="1" x14ac:dyDescent="0.25">
      <c r="A114" s="250">
        <v>112</v>
      </c>
      <c r="B114" s="119" t="s">
        <v>6817</v>
      </c>
      <c r="C114" s="119" t="s">
        <v>6818</v>
      </c>
      <c r="E114" s="441" t="s">
        <v>6297</v>
      </c>
      <c r="F114" s="180" t="s">
        <v>6282</v>
      </c>
      <c r="G114" s="180" t="s">
        <v>6283</v>
      </c>
      <c r="H114" s="180">
        <v>1</v>
      </c>
      <c r="M114" s="180">
        <v>1</v>
      </c>
      <c r="N114" s="180" t="s">
        <v>6306</v>
      </c>
      <c r="O114" s="119" t="s">
        <v>6819</v>
      </c>
      <c r="P114" s="119">
        <v>1</v>
      </c>
      <c r="Q114" s="251" t="str">
        <f>IF(综合数据!$B$7=TRUE,"XGE","")</f>
        <v>XGE</v>
      </c>
      <c r="X114" s="180">
        <v>6</v>
      </c>
      <c r="Y114" s="180">
        <v>6</v>
      </c>
      <c r="AA114" s="198"/>
      <c r="AB114" s="250" t="str">
        <f t="array" ref="AB114">INDEX(B:B,SMALL(IF($Q$3:$Q$517&lt;&gt;"",ROW($3:$517),518),ROW(B113)))&amp;""</f>
        <v>典礼术</v>
      </c>
      <c r="AC114" s="394" t="str">
        <f>IFERROR(IF(AND($Q115&lt;&gt;"",IF(法术查询!$J$4="",1,INDEX($R115:$Z115,1,VLOOKUP(法术查询!$J$4,$AF$2:$AG$10,2,0)))&lt;&gt;"",IF(法术查询!$J$5="",1,$P115=VLOOKUP(法术查询!$J$5,$AH$2:$AI$11,2,0)),IF(法术查询!$J$6="",1,IF(法术查询!$J$6=$E115,1,0)),IF(法术查询!$J$7="",1,SEARCH(法术查询!$J$7,$F115)),IF(法术查询!$J$8="",1,SEARCH(法术查询!$J$8,G115)),IF(法术查询!$J$9="",1,SEARCH(法术查询!$J$9,N115)),IF(法术查询!$J$10="",1,IF(法术查询!$J$10=$AF$11,IF($M115=1,1,0),IF($M115="",1,0))),IF(法术查询!$J$11="",1,IF(法术查询!$J$11=$AF$11,IF($D115=1,1,0),IF($D115="",1,0))),IF(法术查询!$J$12="",1,SEARCH(法术查询!$J$12,$B115&amp;$C115&amp;$O115)),IF(法术查询!$J$13="",1,SEARCH(法术查询!$J$13,$B115&amp;$C115&amp;$O115)),IF(法术查询!$J$14="",1,SEARCH(法术查询!$J$14,$B115&amp;$C115&amp;$O115)),IF(法术查询!$J$16="",1,IF(法术查询!$J$16=$AF$11,IF($H115=1,1,0),IF($H115="",1,0))),IF(法术查询!$J$17="",1,IF(法术查询!$J$17=$AF$11,IF($I115=1,1,0),IF($I115="",1,0))),IF(法术查询!$J$18="",1,IF(法术查询!$J$18=$AF$11,IF($J115&lt;&gt;"",1,0),IF($J115="",1,0))),IF(法术查询!$J$19="",1,IF(法术查询!$J$19=$AF$11,IF($L115&lt;&gt;"",1,0),IF($L115="",1,0)))),$B115,""),"")</f>
        <v/>
      </c>
      <c r="AD114" s="180" t="str">
        <f t="array" ref="AD114">INDEX(AC:AC,SMALL(IF($AC$2:$AC$516&lt;&gt;"",ROW($2:$516),517),ROW(AC113)))&amp;""</f>
        <v/>
      </c>
      <c r="AE114" s="198" t="str">
        <f t="shared" si="5"/>
        <v/>
      </c>
      <c r="AJ114" s="250">
        <v>113</v>
      </c>
      <c r="AK114" s="180" t="str">
        <f>IF(法术书!AB20="","",法术书!AB20)</f>
        <v/>
      </c>
      <c r="AL114" s="119" t="str">
        <f t="array" ref="AL114">IFERROR(INDEX(AK$1:AK$301,SMALL(IF(MATCH(AK114,AK$1:AK$301,0)=ROW(AK114),ROW(AK$1:AK$301),999),ROW(AK114))),"")</f>
        <v/>
      </c>
      <c r="AM114" s="120" t="str">
        <f t="array" ref="AM114">INDEX(AL:AL,SMALL(IF($AL$2:$AL$301&lt;&gt;"",ROW($2:$301),302),ROW(AL113)))&amp;""</f>
        <v/>
      </c>
    </row>
    <row r="115" spans="1:39" ht="14.4" customHeight="1" x14ac:dyDescent="0.25">
      <c r="A115" s="250">
        <v>113</v>
      </c>
      <c r="B115" s="119" t="s">
        <v>6820</v>
      </c>
      <c r="C115" s="119" t="s">
        <v>6821</v>
      </c>
      <c r="D115" s="180">
        <v>1</v>
      </c>
      <c r="E115" s="440" t="s">
        <v>6290</v>
      </c>
      <c r="F115" s="180" t="s">
        <v>6344</v>
      </c>
      <c r="G115" s="180" t="s">
        <v>3682</v>
      </c>
      <c r="H115" s="180">
        <v>1</v>
      </c>
      <c r="I115" s="180">
        <v>1</v>
      </c>
      <c r="J115" s="180">
        <v>1</v>
      </c>
      <c r="L115" s="119" t="s">
        <v>6822</v>
      </c>
      <c r="N115" s="180" t="s">
        <v>6284</v>
      </c>
      <c r="O115" s="119" t="s">
        <v>6823</v>
      </c>
      <c r="P115" s="119">
        <v>1</v>
      </c>
      <c r="Q115" s="251" t="str">
        <f>IF(综合数据!$B$7=TRUE,"XGE","")</f>
        <v>XGE</v>
      </c>
      <c r="S115" s="180">
        <v>6</v>
      </c>
      <c r="U115" s="180">
        <v>6</v>
      </c>
      <c r="AA115" s="198"/>
      <c r="AB115" s="250" t="str">
        <f t="array" ref="AB115">INDEX(B:B,SMALL(IF($Q$3:$Q$517&lt;&gt;"",ROW($3:$517),518),ROW(B114)))&amp;""</f>
        <v>混乱箭</v>
      </c>
      <c r="AC115" s="394" t="str">
        <f>IFERROR(IF(AND($Q116&lt;&gt;"",IF(法术查询!$J$4="",1,INDEX($R116:$Z116,1,VLOOKUP(法术查询!$J$4,$AF$2:$AG$10,2,0)))&lt;&gt;"",IF(法术查询!$J$5="",1,$P116=VLOOKUP(法术查询!$J$5,$AH$2:$AI$11,2,0)),IF(法术查询!$J$6="",1,IF(法术查询!$J$6=$E116,1,0)),IF(法术查询!$J$7="",1,SEARCH(法术查询!$J$7,$F116)),IF(法术查询!$J$8="",1,SEARCH(法术查询!$J$8,G116)),IF(法术查询!$J$9="",1,SEARCH(法术查询!$J$9,N116)),IF(法术查询!$J$10="",1,IF(法术查询!$J$10=$AF$11,IF($M116=1,1,0),IF($M116="",1,0))),IF(法术查询!$J$11="",1,IF(法术查询!$J$11=$AF$11,IF($D116=1,1,0),IF($D116="",1,0))),IF(法术查询!$J$12="",1,SEARCH(法术查询!$J$12,$B116&amp;$C116&amp;$O116)),IF(法术查询!$J$13="",1,SEARCH(法术查询!$J$13,$B116&amp;$C116&amp;$O116)),IF(法术查询!$J$14="",1,SEARCH(法术查询!$J$14,$B116&amp;$C116&amp;$O116)),IF(法术查询!$J$16="",1,IF(法术查询!$J$16=$AF$11,IF($H116=1,1,0),IF($H116="",1,0))),IF(法术查询!$J$17="",1,IF(法术查询!$J$17=$AF$11,IF($I116=1,1,0),IF($I116="",1,0))),IF(法术查询!$J$18="",1,IF(法术查询!$J$18=$AF$11,IF($J116&lt;&gt;"",1,0),IF($J116="",1,0))),IF(法术查询!$J$19="",1,IF(法术查询!$J$19=$AF$11,IF($L116&lt;&gt;"",1,0),IF($L116="",1,0)))),$B116,""),"")</f>
        <v/>
      </c>
      <c r="AD115" s="180" t="str">
        <f t="array" ref="AD115">INDEX(AC:AC,SMALL(IF($AC$2:$AC$516&lt;&gt;"",ROW($2:$516),517),ROW(AC114)))&amp;""</f>
        <v/>
      </c>
      <c r="AE115" s="198" t="str">
        <f t="shared" si="5"/>
        <v/>
      </c>
      <c r="AJ115" s="250">
        <v>114</v>
      </c>
      <c r="AK115" s="180" t="str">
        <f>IF(法术书!AB21="","",法术书!AB21)</f>
        <v/>
      </c>
      <c r="AL115" s="119" t="str">
        <f t="array" ref="AL115">IFERROR(INDEX(AK$1:AK$301,SMALL(IF(MATCH(AK115,AK$1:AK$301,0)=ROW(AK115),ROW(AK$1:AK$301),999),ROW(AK115))),"")</f>
        <v/>
      </c>
      <c r="AM115" s="120" t="str">
        <f t="array" ref="AM115">INDEX(AL:AL,SMALL(IF($AL$2:$AL$301&lt;&gt;"",ROW($2:$301),302),ROW(AL114)))&amp;""</f>
        <v/>
      </c>
    </row>
    <row r="116" spans="1:39" ht="14.4" customHeight="1" x14ac:dyDescent="0.25">
      <c r="A116" s="250">
        <v>114</v>
      </c>
      <c r="B116" s="119" t="s">
        <v>6824</v>
      </c>
      <c r="C116" s="119" t="s">
        <v>6825</v>
      </c>
      <c r="E116" s="434" t="s">
        <v>6304</v>
      </c>
      <c r="F116" s="180" t="s">
        <v>6282</v>
      </c>
      <c r="G116" s="180" t="s">
        <v>6298</v>
      </c>
      <c r="H116" s="180">
        <v>1</v>
      </c>
      <c r="I116" s="180">
        <v>1</v>
      </c>
      <c r="N116" s="180" t="s">
        <v>6284</v>
      </c>
      <c r="O116" s="119" t="s">
        <v>6826</v>
      </c>
      <c r="P116" s="119">
        <v>1</v>
      </c>
      <c r="Q116" s="251" t="str">
        <f>IF(综合数据!$B$7=TRUE,"XGE","")</f>
        <v>XGE</v>
      </c>
      <c r="W116" s="180">
        <v>6</v>
      </c>
      <c r="AA116" s="198" t="s">
        <v>6827</v>
      </c>
      <c r="AB116" s="250" t="str">
        <f t="array" ref="AB116">INDEX(B:B,SMALL(IF($Q$3:$Q$517&lt;&gt;"",ROW($3:$517),518),ROW(B115)))&amp;""</f>
        <v>地动</v>
      </c>
      <c r="AC116" s="394" t="str">
        <f>IFERROR(IF(AND($Q117&lt;&gt;"",IF(法术查询!$J$4="",1,INDEX($R117:$Z117,1,VLOOKUP(法术查询!$J$4,$AF$2:$AG$10,2,0)))&lt;&gt;"",IF(法术查询!$J$5="",1,$P117=VLOOKUP(法术查询!$J$5,$AH$2:$AI$11,2,0)),IF(法术查询!$J$6="",1,IF(法术查询!$J$6=$E117,1,0)),IF(法术查询!$J$7="",1,SEARCH(法术查询!$J$7,$F117)),IF(法术查询!$J$8="",1,SEARCH(法术查询!$J$8,G117)),IF(法术查询!$J$9="",1,SEARCH(法术查询!$J$9,N117)),IF(法术查询!$J$10="",1,IF(法术查询!$J$10=$AF$11,IF($M117=1,1,0),IF($M117="",1,0))),IF(法术查询!$J$11="",1,IF(法术查询!$J$11=$AF$11,IF($D117=1,1,0),IF($D117="",1,0))),IF(法术查询!$J$12="",1,SEARCH(法术查询!$J$12,$B117&amp;$C117&amp;$O117)),IF(法术查询!$J$13="",1,SEARCH(法术查询!$J$13,$B117&amp;$C117&amp;$O117)),IF(法术查询!$J$14="",1,SEARCH(法术查询!$J$14,$B117&amp;$C117&amp;$O117)),IF(法术查询!$J$16="",1,IF(法术查询!$J$16=$AF$11,IF($H117=1,1,0),IF($H117="",1,0))),IF(法术查询!$J$17="",1,IF(法术查询!$J$17=$AF$11,IF($I117=1,1,0),IF($I117="",1,0))),IF(法术查询!$J$18="",1,IF(法术查询!$J$18=$AF$11,IF($J117&lt;&gt;"",1,0),IF($J117="",1,0))),IF(法术查询!$J$19="",1,IF(法术查询!$J$19=$AF$11,IF($L117&lt;&gt;"",1,0),IF($L117="",1,0)))),$B117,""),"")</f>
        <v/>
      </c>
      <c r="AD116" s="180" t="str">
        <f t="array" ref="AD116">INDEX(AC:AC,SMALL(IF($AC$2:$AC$516&lt;&gt;"",ROW($2:$516),517),ROW(AC115)))&amp;""</f>
        <v/>
      </c>
      <c r="AE116" s="198" t="str">
        <f t="shared" si="5"/>
        <v/>
      </c>
      <c r="AJ116" s="250">
        <v>115</v>
      </c>
      <c r="AK116" s="180" t="str">
        <f>IF(法术书!AB22="","",法术书!AB22)</f>
        <v/>
      </c>
      <c r="AL116" s="119" t="str">
        <f t="array" ref="AL116">IFERROR(INDEX(AK$1:AK$301,SMALL(IF(MATCH(AK116,AK$1:AK$301,0)=ROW(AK116),ROW(AK$1:AK$301),999),ROW(AK116))),"")</f>
        <v/>
      </c>
      <c r="AM116" s="120" t="str">
        <f t="array" ref="AM116">INDEX(AL:AL,SMALL(IF($AL$2:$AL$301&lt;&gt;"",ROW($2:$301),302),ROW(AL115)))&amp;""</f>
        <v/>
      </c>
    </row>
    <row r="117" spans="1:39" ht="14.4" customHeight="1" x14ac:dyDescent="0.25">
      <c r="A117" s="250">
        <v>115</v>
      </c>
      <c r="B117" s="119" t="s">
        <v>6828</v>
      </c>
      <c r="C117" s="119" t="s">
        <v>6829</v>
      </c>
      <c r="E117" s="434" t="s">
        <v>6304</v>
      </c>
      <c r="F117" s="180" t="s">
        <v>6282</v>
      </c>
      <c r="G117" s="180" t="s">
        <v>6370</v>
      </c>
      <c r="H117" s="180">
        <v>1</v>
      </c>
      <c r="I117" s="180">
        <v>1</v>
      </c>
      <c r="N117" s="180" t="s">
        <v>6284</v>
      </c>
      <c r="O117" s="119" t="s">
        <v>6830</v>
      </c>
      <c r="P117" s="119">
        <v>1</v>
      </c>
      <c r="Q117" s="251" t="str">
        <f>IF(综合数据!$B$7=TRUE,"XGE","")</f>
        <v>XGE</v>
      </c>
      <c r="R117" s="180">
        <v>6</v>
      </c>
      <c r="T117" s="180">
        <v>6</v>
      </c>
      <c r="W117" s="180">
        <v>6</v>
      </c>
      <c r="X117" s="180">
        <v>6</v>
      </c>
      <c r="AA117" s="198"/>
      <c r="AB117" s="250" t="str">
        <f t="array" ref="AB117">INDEX(B:B,SMALL(IF($Q$3:$Q$517&lt;&gt;"",ROW($3:$517),518),ROW(B116)))&amp;""</f>
        <v>冰刃</v>
      </c>
      <c r="AC117" s="394" t="str">
        <f>IFERROR(IF(AND($Q118&lt;&gt;"",IF(法术查询!$J$4="",1,INDEX($R118:$Z118,1,VLOOKUP(法术查询!$J$4,$AF$2:$AG$10,2,0)))&lt;&gt;"",IF(法术查询!$J$5="",1,$P118=VLOOKUP(法术查询!$J$5,$AH$2:$AI$11,2,0)),IF(法术查询!$J$6="",1,IF(法术查询!$J$6=$E118,1,0)),IF(法术查询!$J$7="",1,SEARCH(法术查询!$J$7,$F118)),IF(法术查询!$J$8="",1,SEARCH(法术查询!$J$8,G118)),IF(法术查询!$J$9="",1,SEARCH(法术查询!$J$9,N118)),IF(法术查询!$J$10="",1,IF(法术查询!$J$10=$AF$11,IF($M118=1,1,0),IF($M118="",1,0))),IF(法术查询!$J$11="",1,IF(法术查询!$J$11=$AF$11,IF($D118=1,1,0),IF($D118="",1,0))),IF(法术查询!$J$12="",1,SEARCH(法术查询!$J$12,$B118&amp;$C118&amp;$O118)),IF(法术查询!$J$13="",1,SEARCH(法术查询!$J$13,$B118&amp;$C118&amp;$O118)),IF(法术查询!$J$14="",1,SEARCH(法术查询!$J$14,$B118&amp;$C118&amp;$O118)),IF(法术查询!$J$16="",1,IF(法术查询!$J$16=$AF$11,IF($H118=1,1,0),IF($H118="",1,0))),IF(法术查询!$J$17="",1,IF(法术查询!$J$17=$AF$11,IF($I118=1,1,0),IF($I118="",1,0))),IF(法术查询!$J$18="",1,IF(法术查询!$J$18=$AF$11,IF($J118&lt;&gt;"",1,0),IF($J118="",1,0))),IF(法术查询!$J$19="",1,IF(法术查询!$J$19=$AF$11,IF($L118&lt;&gt;"",1,0),IF($L118="",1,0)))),$B118,""),"")</f>
        <v/>
      </c>
      <c r="AD117" s="180" t="str">
        <f t="array" ref="AD117">INDEX(AC:AC,SMALL(IF($AC$2:$AC$516&lt;&gt;"",ROW($2:$516),517),ROW(AC116)))&amp;""</f>
        <v/>
      </c>
      <c r="AE117" s="198" t="str">
        <f t="shared" si="5"/>
        <v/>
      </c>
      <c r="AJ117" s="250">
        <v>116</v>
      </c>
      <c r="AK117" s="180" t="str">
        <f>IF(法术书!AB23="","",法术书!AB23)</f>
        <v/>
      </c>
      <c r="AL117" s="119" t="str">
        <f t="array" ref="AL117">IFERROR(INDEX(AK$1:AK$301,SMALL(IF(MATCH(AK117,AK$1:AK$301,0)=ROW(AK117),ROW(AK$1:AK$301),999),ROW(AK117))),"")</f>
        <v/>
      </c>
      <c r="AM117" s="120" t="str">
        <f t="array" ref="AM117">INDEX(AL:AL,SMALL(IF($AL$2:$AL$301&lt;&gt;"",ROW($2:$301),302),ROW(AL116)))&amp;""</f>
        <v/>
      </c>
    </row>
    <row r="118" spans="1:39" ht="14.4" customHeight="1" x14ac:dyDescent="0.25">
      <c r="A118" s="250">
        <v>116</v>
      </c>
      <c r="B118" s="119" t="s">
        <v>6831</v>
      </c>
      <c r="C118" s="119" t="s">
        <v>6832</v>
      </c>
      <c r="E118" s="378" t="s">
        <v>6281</v>
      </c>
      <c r="F118" s="180" t="s">
        <v>6282</v>
      </c>
      <c r="G118" s="180" t="s">
        <v>6283</v>
      </c>
      <c r="I118" s="180">
        <v>1</v>
      </c>
      <c r="J118" s="180">
        <v>1</v>
      </c>
      <c r="K118" s="119" t="s">
        <v>6833</v>
      </c>
      <c r="N118" s="180" t="s">
        <v>6284</v>
      </c>
      <c r="O118" s="119" t="s">
        <v>6834</v>
      </c>
      <c r="P118" s="119">
        <v>1</v>
      </c>
      <c r="Q118" s="251" t="str">
        <f>IF(综合数据!$B$7=TRUE,"XGE","")</f>
        <v>XGE</v>
      </c>
      <c r="T118" s="180">
        <v>6</v>
      </c>
      <c r="W118" s="180">
        <v>6</v>
      </c>
      <c r="X118" s="180">
        <v>6</v>
      </c>
      <c r="AA118" s="198"/>
      <c r="AB118" s="250" t="str">
        <f t="array" ref="AB118">INDEX(B:B,SMALL(IF($Q$3:$Q$517&lt;&gt;"",ROW($3:$517),518),ROW(B117)))&amp;""</f>
        <v>魔法圈套</v>
      </c>
      <c r="AC118" s="394" t="str">
        <f>IFERROR(IF(AND($Q119&lt;&gt;"",IF(法术查询!$J$4="",1,INDEX($R119:$Z119,1,VLOOKUP(法术查询!$J$4,$AF$2:$AG$10,2,0)))&lt;&gt;"",IF(法术查询!$J$5="",1,$P119=VLOOKUP(法术查询!$J$5,$AH$2:$AI$11,2,0)),IF(法术查询!$J$6="",1,IF(法术查询!$J$6=$E119,1,0)),IF(法术查询!$J$7="",1,SEARCH(法术查询!$J$7,$F119)),IF(法术查询!$J$8="",1,SEARCH(法术查询!$J$8,G119)),IF(法术查询!$J$9="",1,SEARCH(法术查询!$J$9,N119)),IF(法术查询!$J$10="",1,IF(法术查询!$J$10=$AF$11,IF($M119=1,1,0),IF($M119="",1,0))),IF(法术查询!$J$11="",1,IF(法术查询!$J$11=$AF$11,IF($D119=1,1,0),IF($D119="",1,0))),IF(法术查询!$J$12="",1,SEARCH(法术查询!$J$12,$B119&amp;$C119&amp;$O119)),IF(法术查询!$J$13="",1,SEARCH(法术查询!$J$13,$B119&amp;$C119&amp;$O119)),IF(法术查询!$J$14="",1,SEARCH(法术查询!$J$14,$B119&amp;$C119&amp;$O119)),IF(法术查询!$J$16="",1,IF(法术查询!$J$16=$AF$11,IF($H119=1,1,0),IF($H119="",1,0))),IF(法术查询!$J$17="",1,IF(法术查询!$J$17=$AF$11,IF($I119=1,1,0),IF($I119="",1,0))),IF(法术查询!$J$18="",1,IF(法术查询!$J$18=$AF$11,IF($J119&lt;&gt;"",1,0),IF($J119="",1,0))),IF(法术查询!$J$19="",1,IF(法术查询!$J$19=$AF$11,IF($L119&lt;&gt;"",1,0),IF($L119="",1,0)))),$B119,""),"")</f>
        <v/>
      </c>
      <c r="AD118" s="180" t="str">
        <f t="array" ref="AD118">INDEX(AC:AC,SMALL(IF($AC$2:$AC$516&lt;&gt;"",ROW($2:$516),517),ROW(AC117)))&amp;""</f>
        <v/>
      </c>
      <c r="AE118" s="198" t="str">
        <f t="shared" si="5"/>
        <v/>
      </c>
      <c r="AJ118" s="250">
        <v>117</v>
      </c>
      <c r="AK118" s="180" t="str">
        <f>IF(法术书!AB24="","",法术书!AB24)</f>
        <v/>
      </c>
      <c r="AL118" s="119" t="str">
        <f t="array" ref="AL118">IFERROR(INDEX(AK$1:AK$301,SMALL(IF(MATCH(AK118,AK$1:AK$301,0)=ROW(AK118),ROW(AK$1:AK$301),999),ROW(AK118))),"")</f>
        <v/>
      </c>
      <c r="AM118" s="120" t="str">
        <f t="array" ref="AM118">INDEX(AL:AL,SMALL(IF($AL$2:$AL$301&lt;&gt;"",ROW($2:$301),302),ROW(AL117)))&amp;""</f>
        <v/>
      </c>
    </row>
    <row r="119" spans="1:39" ht="14.4" customHeight="1" x14ac:dyDescent="0.25">
      <c r="A119" s="250">
        <v>117</v>
      </c>
      <c r="B119" s="119" t="s">
        <v>6835</v>
      </c>
      <c r="C119" s="119" t="s">
        <v>6836</v>
      </c>
      <c r="E119" s="440" t="s">
        <v>6290</v>
      </c>
      <c r="F119" s="180" t="s">
        <v>6349</v>
      </c>
      <c r="G119" s="180" t="s">
        <v>3682</v>
      </c>
      <c r="I119" s="180">
        <v>1</v>
      </c>
      <c r="J119" s="180">
        <v>1</v>
      </c>
      <c r="L119" s="119" t="s">
        <v>6837</v>
      </c>
      <c r="N119" s="180" t="s">
        <v>6388</v>
      </c>
      <c r="O119" s="119" t="s">
        <v>6838</v>
      </c>
      <c r="P119" s="119">
        <v>1</v>
      </c>
      <c r="Q119" s="251" t="str">
        <f>IF(综合数据!$B$7=TRUE,"XGE","")</f>
        <v>XGE</v>
      </c>
      <c r="T119" s="180">
        <v>6</v>
      </c>
      <c r="V119" s="180">
        <v>6</v>
      </c>
      <c r="X119" s="180">
        <v>6</v>
      </c>
      <c r="Z119" s="180">
        <v>9</v>
      </c>
      <c r="AA119" s="198"/>
      <c r="AB119" s="250" t="str">
        <f t="array" ref="AB119">INDEX(B:B,SMALL(IF($Q$3:$Q$517&lt;&gt;"",ROW($3:$517),518),ROW(B118)))&amp;""</f>
        <v>西风打击</v>
      </c>
      <c r="AC119" s="394" t="str">
        <f>IFERROR(IF(AND($Q120&lt;&gt;"",IF(法术查询!$J$4="",1,INDEX($R120:$Z120,1,VLOOKUP(法术查询!$J$4,$AF$2:$AG$10,2,0)))&lt;&gt;"",IF(法术查询!$J$5="",1,$P120=VLOOKUP(法术查询!$J$5,$AH$2:$AI$11,2,0)),IF(法术查询!$J$6="",1,IF(法术查询!$J$6=$E120,1,0)),IF(法术查询!$J$7="",1,SEARCH(法术查询!$J$7,$F120)),IF(法术查询!$J$8="",1,SEARCH(法术查询!$J$8,G120)),IF(法术查询!$J$9="",1,SEARCH(法术查询!$J$9,N120)),IF(法术查询!$J$10="",1,IF(法术查询!$J$10=$AF$11,IF($M120=1,1,0),IF($M120="",1,0))),IF(法术查询!$J$11="",1,IF(法术查询!$J$11=$AF$11,IF($D120=1,1,0),IF($D120="",1,0))),IF(法术查询!$J$12="",1,SEARCH(法术查询!$J$12,$B120&amp;$C120&amp;$O120)),IF(法术查询!$J$13="",1,SEARCH(法术查询!$J$13,$B120&amp;$C120&amp;$O120)),IF(法术查询!$J$14="",1,SEARCH(法术查询!$J$14,$B120&amp;$C120&amp;$O120)),IF(法术查询!$J$16="",1,IF(法术查询!$J$16=$AF$11,IF($H120=1,1,0),IF($H120="",1,0))),IF(法术查询!$J$17="",1,IF(法术查询!$J$17=$AF$11,IF($I120=1,1,0),IF($I120="",1,0))),IF(法术查询!$J$18="",1,IF(法术查询!$J$18=$AF$11,IF($J120&lt;&gt;"",1,0),IF($J120="",1,0))),IF(法术查询!$J$19="",1,IF(法术查询!$J$19=$AF$11,IF($L120&lt;&gt;"",1,0),IF($L120="",1,0)))),$B120,""),"")</f>
        <v/>
      </c>
      <c r="AD119" s="180" t="str">
        <f t="array" ref="AD119">INDEX(AC:AC,SMALL(IF($AC$2:$AC$516&lt;&gt;"",ROW($2:$516),517),ROW(AC118)))&amp;""</f>
        <v/>
      </c>
      <c r="AE119" s="198" t="str">
        <f t="shared" si="5"/>
        <v/>
      </c>
      <c r="AJ119" s="250">
        <v>118</v>
      </c>
      <c r="AK119" s="180" t="str">
        <f>IF(法术书!AB25="","",法术书!AB25)</f>
        <v/>
      </c>
      <c r="AL119" s="119" t="str">
        <f t="array" ref="AL119">IFERROR(INDEX(AK$1:AK$301,SMALL(IF(MATCH(AK119,AK$1:AK$301,0)=ROW(AK119),ROW(AK$1:AK$301),999),ROW(AK119))),"")</f>
        <v/>
      </c>
      <c r="AM119" s="120" t="str">
        <f t="array" ref="AM119">INDEX(AL:AL,SMALL(IF($AL$2:$AL$301&lt;&gt;"",ROW($2:$301),302),ROW(AL118)))&amp;""</f>
        <v/>
      </c>
    </row>
    <row r="120" spans="1:39" ht="14.4" customHeight="1" x14ac:dyDescent="0.25">
      <c r="A120" s="250">
        <v>118</v>
      </c>
      <c r="B120" s="119" t="s">
        <v>6839</v>
      </c>
      <c r="C120" s="119" t="s">
        <v>6840</v>
      </c>
      <c r="E120" s="435" t="s">
        <v>6312</v>
      </c>
      <c r="F120" s="180" t="s">
        <v>6352</v>
      </c>
      <c r="G120" s="180" t="s">
        <v>6291</v>
      </c>
      <c r="H120" s="180">
        <v>1</v>
      </c>
      <c r="M120" s="180">
        <v>1</v>
      </c>
      <c r="N120" s="180" t="s">
        <v>6306</v>
      </c>
      <c r="O120" s="119" t="s">
        <v>6841</v>
      </c>
      <c r="P120" s="119">
        <v>1</v>
      </c>
      <c r="Q120" s="251" t="str">
        <f>IF(综合数据!$B$7=TRUE,"XGE","")</f>
        <v>XGE</v>
      </c>
      <c r="V120" s="180">
        <v>6</v>
      </c>
      <c r="AA120" s="198"/>
      <c r="AB120" s="250" t="str">
        <f t="array" ref="AB120">INDEX(B:B,SMALL(IF($Q$3:$Q$517&lt;&gt;"",ROW($3:$517),518),ROW(B119)))&amp;""</f>
        <v>灵敏之赐</v>
      </c>
      <c r="AC120" s="394" t="str">
        <f>IFERROR(IF(AND($Q121&lt;&gt;"",IF(法术查询!$J$4="",1,INDEX($R121:$Z121,1,VLOOKUP(法术查询!$J$4,$AF$2:$AG$10,2,0)))&lt;&gt;"",IF(法术查询!$J$5="",1,$P121=VLOOKUP(法术查询!$J$5,$AH$2:$AI$11,2,0)),IF(法术查询!$J$6="",1,IF(法术查询!$J$6=$E121,1,0)),IF(法术查询!$J$7="",1,SEARCH(法术查询!$J$7,$F121)),IF(法术查询!$J$8="",1,SEARCH(法术查询!$J$8,G121)),IF(法术查询!$J$9="",1,SEARCH(法术查询!$J$9,N121)),IF(法术查询!$J$10="",1,IF(法术查询!$J$10=$AF$11,IF($M121=1,1,0),IF($M121="",1,0))),IF(法术查询!$J$11="",1,IF(法术查询!$J$11=$AF$11,IF($D121=1,1,0),IF($D121="",1,0))),IF(法术查询!$J$12="",1,SEARCH(法术查询!$J$12,$B121&amp;$C121&amp;$O121)),IF(法术查询!$J$13="",1,SEARCH(法术查询!$J$13,$B121&amp;$C121&amp;$O121)),IF(法术查询!$J$14="",1,SEARCH(法术查询!$J$14,$B121&amp;$C121&amp;$O121)),IF(法术查询!$J$16="",1,IF(法术查询!$J$16=$AF$11,IF($H121=1,1,0),IF($H121="",1,0))),IF(法术查询!$J$17="",1,IF(法术查询!$J$17=$AF$11,IF($I121=1,1,0),IF($I121="",1,0))),IF(法术查询!$J$18="",1,IF(法术查询!$J$18=$AF$11,IF($J121&lt;&gt;"",1,0),IF($J121="",1,0))),IF(法术查询!$J$19="",1,IF(法术查询!$J$19=$AF$11,IF($L121&lt;&gt;"",1,0),IF($L121="",1,0)))),$B121,""),"")</f>
        <v/>
      </c>
      <c r="AD120" s="180" t="str">
        <f t="array" ref="AD120">INDEX(AC:AC,SMALL(IF($AC$2:$AC$516&lt;&gt;"",ROW($2:$516),517),ROW(AC119)))&amp;""</f>
        <v/>
      </c>
      <c r="AE120" s="198" t="str">
        <f t="shared" si="5"/>
        <v/>
      </c>
      <c r="AJ120" s="250">
        <v>119</v>
      </c>
      <c r="AK120" s="180" t="str">
        <f>IF(法术书!AB26="","",法术书!AB26)</f>
        <v/>
      </c>
      <c r="AL120" s="119" t="str">
        <f t="array" ref="AL120">IFERROR(INDEX(AK$1:AK$301,SMALL(IF(MATCH(AK120,AK$1:AK$301,0)=ROW(AK120),ROW(AK$1:AK$301),999),ROW(AK120))),"")</f>
        <v/>
      </c>
      <c r="AM120" s="120" t="str">
        <f t="array" ref="AM120">INDEX(AL:AL,SMALL(IF($AL$2:$AL$301&lt;&gt;"",ROW($2:$301),302),ROW(AL119)))&amp;""</f>
        <v/>
      </c>
    </row>
    <row r="121" spans="1:39" ht="14.4" customHeight="1" x14ac:dyDescent="0.25">
      <c r="A121" s="250">
        <v>119</v>
      </c>
      <c r="B121" s="119" t="s">
        <v>6842</v>
      </c>
      <c r="C121" s="119" t="s">
        <v>6843</v>
      </c>
      <c r="E121" s="438" t="s">
        <v>6335</v>
      </c>
      <c r="F121" s="180" t="s">
        <v>6349</v>
      </c>
      <c r="G121" s="180" t="s">
        <v>3682</v>
      </c>
      <c r="H121" s="180">
        <v>1</v>
      </c>
      <c r="I121" s="180">
        <v>1</v>
      </c>
      <c r="N121" s="180" t="s">
        <v>6388</v>
      </c>
      <c r="O121" s="119" t="s">
        <v>6844</v>
      </c>
      <c r="P121" s="119">
        <v>1</v>
      </c>
      <c r="Q121" s="257" t="str">
        <f>IF(综合数据!$B$11=TRUE,"EGtW","")</f>
        <v>EGtW</v>
      </c>
      <c r="AA121" s="120" t="s">
        <v>3551</v>
      </c>
      <c r="AB121" s="250" t="str">
        <f t="array" ref="AB121">INDEX(B:B,SMALL(IF($Q$3:$Q$517&lt;&gt;"",ROW($3:$517),518),ROW(B120)))&amp;""</f>
        <v>扩大重力</v>
      </c>
      <c r="AC121" s="394" t="str">
        <f>IFERROR(IF(AND($Q122&lt;&gt;"",IF(法术查询!$J$4="",1,INDEX($R122:$Z122,1,VLOOKUP(法术查询!$J$4,$AF$2:$AG$10,2,0)))&lt;&gt;"",IF(法术查询!$J$5="",1,$P122=VLOOKUP(法术查询!$J$5,$AH$2:$AI$11,2,0)),IF(法术查询!$J$6="",1,IF(法术查询!$J$6=$E122,1,0)),IF(法术查询!$J$7="",1,SEARCH(法术查询!$J$7,$F122)),IF(法术查询!$J$8="",1,SEARCH(法术查询!$J$8,G122)),IF(法术查询!$J$9="",1,SEARCH(法术查询!$J$9,N122)),IF(法术查询!$J$10="",1,IF(法术查询!$J$10=$AF$11,IF($M122=1,1,0),IF($M122="",1,0))),IF(法术查询!$J$11="",1,IF(法术查询!$J$11=$AF$11,IF($D122=1,1,0),IF($D122="",1,0))),IF(法术查询!$J$12="",1,SEARCH(法术查询!$J$12,$B122&amp;$C122&amp;$O122)),IF(法术查询!$J$13="",1,SEARCH(法术查询!$J$13,$B122&amp;$C122&amp;$O122)),IF(法术查询!$J$14="",1,SEARCH(法术查询!$J$14,$B122&amp;$C122&amp;$O122)),IF(法术查询!$J$16="",1,IF(法术查询!$J$16=$AF$11,IF($H122=1,1,0),IF($H122="",1,0))),IF(法术查询!$J$17="",1,IF(法术查询!$J$17=$AF$11,IF($I122=1,1,0),IF($I122="",1,0))),IF(法术查询!$J$18="",1,IF(法术查询!$J$18=$AF$11,IF($J122&lt;&gt;"",1,0),IF($J122="",1,0))),IF(法术查询!$J$19="",1,IF(法术查询!$J$19=$AF$11,IF($L122&lt;&gt;"",1,0),IF($L122="",1,0)))),$B122,""),"")</f>
        <v/>
      </c>
      <c r="AD121" s="180" t="str">
        <f t="array" ref="AD121">INDEX(AC:AC,SMALL(IF($AC$2:$AC$516&lt;&gt;"",ROW($2:$516),517),ROW(AC120)))&amp;""</f>
        <v/>
      </c>
      <c r="AE121" s="198" t="str">
        <f t="shared" si="5"/>
        <v/>
      </c>
      <c r="AJ121" s="250">
        <v>120</v>
      </c>
      <c r="AK121" s="180" t="str">
        <f>IF(法术书!AB27="","",法术书!AB27)</f>
        <v/>
      </c>
      <c r="AL121" s="119" t="str">
        <f t="array" ref="AL121">IFERROR(INDEX(AK$1:AK$301,SMALL(IF(MATCH(AK121,AK$1:AK$301,0)=ROW(AK121),ROW(AK$1:AK$301),999),ROW(AK121))),"")</f>
        <v/>
      </c>
      <c r="AM121" s="120" t="str">
        <f t="array" ref="AM121">INDEX(AL:AL,SMALL(IF($AL$2:$AL$301&lt;&gt;"",ROW($2:$301),302),ROW(AL120)))&amp;""</f>
        <v/>
      </c>
    </row>
    <row r="122" spans="1:39" ht="14.4" customHeight="1" x14ac:dyDescent="0.25">
      <c r="A122" s="250">
        <v>120</v>
      </c>
      <c r="B122" s="119" t="s">
        <v>6845</v>
      </c>
      <c r="C122" s="119" t="s">
        <v>6846</v>
      </c>
      <c r="E122" s="435" t="s">
        <v>6312</v>
      </c>
      <c r="F122" s="180" t="s">
        <v>6282</v>
      </c>
      <c r="G122" s="180" t="s">
        <v>6283</v>
      </c>
      <c r="H122" s="180">
        <v>1</v>
      </c>
      <c r="I122" s="180">
        <v>1</v>
      </c>
      <c r="N122" s="180" t="s">
        <v>6292</v>
      </c>
      <c r="O122" s="119" t="s">
        <v>6847</v>
      </c>
      <c r="P122" s="119">
        <v>1</v>
      </c>
      <c r="Q122" s="257" t="str">
        <f>IF(综合数据!$B$11=TRUE,"EGtW","")</f>
        <v>EGtW</v>
      </c>
      <c r="AA122" s="120" t="s">
        <v>3558</v>
      </c>
      <c r="AB122" s="250" t="str">
        <f t="array" ref="AB122">INDEX(B:B,SMALL(IF($Q$3:$Q$517&lt;&gt;"",ROW($3:$517),518),ROW(B121)))&amp;""</f>
        <v>扭曲价值</v>
      </c>
      <c r="AC122" s="394" t="str">
        <f>IFERROR(IF(AND($Q123&lt;&gt;"",IF(法术查询!$J$4="",1,INDEX($R123:$Z123,1,VLOOKUP(法术查询!$J$4,$AF$2:$AG$10,2,0)))&lt;&gt;"",IF(法术查询!$J$5="",1,$P123=VLOOKUP(法术查询!$J$5,$AH$2:$AI$11,2,0)),IF(法术查询!$J$6="",1,IF(法术查询!$J$6=$E123,1,0)),IF(法术查询!$J$7="",1,SEARCH(法术查询!$J$7,$F123)),IF(法术查询!$J$8="",1,SEARCH(法术查询!$J$8,G123)),IF(法术查询!$J$9="",1,SEARCH(法术查询!$J$9,N123)),IF(法术查询!$J$10="",1,IF(法术查询!$J$10=$AF$11,IF($M123=1,1,0),IF($M123="",1,0))),IF(法术查询!$J$11="",1,IF(法术查询!$J$11=$AF$11,IF($D123=1,1,0),IF($D123="",1,0))),IF(法术查询!$J$12="",1,SEARCH(法术查询!$J$12,$B123&amp;$C123&amp;$O123)),IF(法术查询!$J$13="",1,SEARCH(法术查询!$J$13,$B123&amp;$C123&amp;$O123)),IF(法术查询!$J$14="",1,SEARCH(法术查询!$J$14,$B123&amp;$C123&amp;$O123)),IF(法术查询!$J$16="",1,IF(法术查询!$J$16=$AF$11,IF($H123=1,1,0),IF($H123="",1,0))),IF(法术查询!$J$17="",1,IF(法术查询!$J$17=$AF$11,IF($I123=1,1,0),IF($I123="",1,0))),IF(法术查询!$J$18="",1,IF(法术查询!$J$18=$AF$11,IF($J123&lt;&gt;"",1,0),IF($J123="",1,0))),IF(法术查询!$J$19="",1,IF(法术查询!$J$19=$AF$11,IF($L123&lt;&gt;"",1,0),IF($L123="",1,0)))),$B123,""),"")</f>
        <v/>
      </c>
      <c r="AD122" s="180" t="str">
        <f t="array" ref="AD122">INDEX(AC:AC,SMALL(IF($AC$2:$AC$516&lt;&gt;"",ROW($2:$516),517),ROW(AC121)))&amp;""</f>
        <v/>
      </c>
      <c r="AE122" s="198" t="str">
        <f t="shared" si="5"/>
        <v/>
      </c>
      <c r="AJ122" s="250">
        <v>121</v>
      </c>
      <c r="AK122" s="180" t="str">
        <f>IF(法术书!AB28="","",法术书!AB28)</f>
        <v/>
      </c>
      <c r="AL122" s="119" t="str">
        <f t="array" ref="AL122">IFERROR(INDEX(AK$1:AK$301,SMALL(IF(MATCH(AK122,AK$1:AK$301,0)=ROW(AK122),ROW(AK$1:AK$301),999),ROW(AK122))),"")</f>
        <v/>
      </c>
      <c r="AM122" s="120" t="str">
        <f t="array" ref="AM122">INDEX(AL:AL,SMALL(IF($AL$2:$AL$301&lt;&gt;"",ROW($2:$301),302),ROW(AL121)))&amp;""</f>
        <v/>
      </c>
    </row>
    <row r="123" spans="1:39" ht="14.4" customHeight="1" x14ac:dyDescent="0.25">
      <c r="A123" s="250">
        <v>121</v>
      </c>
      <c r="B123" s="119" t="s">
        <v>6848</v>
      </c>
      <c r="C123" s="119" t="s">
        <v>6849</v>
      </c>
      <c r="E123" s="285" t="s">
        <v>6366</v>
      </c>
      <c r="F123" s="180" t="s">
        <v>6349</v>
      </c>
      <c r="G123" s="180" t="s">
        <v>3682</v>
      </c>
      <c r="H123" s="180">
        <v>1</v>
      </c>
      <c r="N123" s="180" t="s">
        <v>6388</v>
      </c>
      <c r="O123" s="119" t="s">
        <v>6850</v>
      </c>
      <c r="P123" s="119">
        <v>1</v>
      </c>
      <c r="Q123" s="248" t="str">
        <f>IF(综合数据!$B$12=TRUE,"AcqInc.","")</f>
        <v>AcqInc.</v>
      </c>
      <c r="R123" s="180">
        <v>11</v>
      </c>
      <c r="W123" s="180">
        <v>11</v>
      </c>
      <c r="X123" s="180">
        <v>11</v>
      </c>
      <c r="Y123" s="180">
        <v>11</v>
      </c>
      <c r="AA123" s="198"/>
      <c r="AB123" s="250" t="str">
        <f t="array" ref="AB123">INDEX(B:B,SMALL(IF($Q$3:$Q$517&lt;&gt;"",ROW($3:$517),518),ROW(B122)))&amp;""</f>
        <v>吉姆的魔法飞弹</v>
      </c>
      <c r="AC123" s="394" t="str">
        <f>IFERROR(IF(AND($Q124&lt;&gt;"",IF(法术查询!$J$4="",1,INDEX($R124:$Z124,1,VLOOKUP(法术查询!$J$4,$AF$2:$AG$10,2,0)))&lt;&gt;"",IF(法术查询!$J$5="",1,$P124=VLOOKUP(法术查询!$J$5,$AH$2:$AI$11,2,0)),IF(法术查询!$J$6="",1,IF(法术查询!$J$6=$E124,1,0)),IF(法术查询!$J$7="",1,SEARCH(法术查询!$J$7,$F124)),IF(法术查询!$J$8="",1,SEARCH(法术查询!$J$8,G124)),IF(法术查询!$J$9="",1,SEARCH(法术查询!$J$9,N124)),IF(法术查询!$J$10="",1,IF(法术查询!$J$10=$AF$11,IF($M124=1,1,0),IF($M124="",1,0))),IF(法术查询!$J$11="",1,IF(法术查询!$J$11=$AF$11,IF($D124=1,1,0),IF($D124="",1,0))),IF(法术查询!$J$12="",1,SEARCH(法术查询!$J$12,$B124&amp;$C124&amp;$O124)),IF(法术查询!$J$13="",1,SEARCH(法术查询!$J$13,$B124&amp;$C124&amp;$O124)),IF(法术查询!$J$14="",1,SEARCH(法术查询!$J$14,$B124&amp;$C124&amp;$O124)),IF(法术查询!$J$16="",1,IF(法术查询!$J$16=$AF$11,IF($H124=1,1,0),IF($H124="",1,0))),IF(法术查询!$J$17="",1,IF(法术查询!$J$17=$AF$11,IF($I124=1,1,0),IF($I124="",1,0))),IF(法术查询!$J$18="",1,IF(法术查询!$J$18=$AF$11,IF($J124&lt;&gt;"",1,0),IF($J124="",1,0))),IF(法术查询!$J$19="",1,IF(法术查询!$J$19=$AF$11,IF($L124&lt;&gt;"",1,0),IF($L124="",1,0)))),$B124,""),"")</f>
        <v/>
      </c>
      <c r="AD123" s="180" t="str">
        <f t="array" ref="AD123">INDEX(AC:AC,SMALL(IF($AC$2:$AC$516&lt;&gt;"",ROW($2:$516),517),ROW(AC122)))&amp;""</f>
        <v/>
      </c>
      <c r="AE123" s="198" t="str">
        <f t="shared" si="5"/>
        <v/>
      </c>
      <c r="AJ123" s="250">
        <v>122</v>
      </c>
      <c r="AK123" s="180" t="str">
        <f>IF(法术书!AB29="","",法术书!AB29)</f>
        <v/>
      </c>
      <c r="AL123" s="119" t="str">
        <f t="array" ref="AL123">IFERROR(INDEX(AK$1:AK$301,SMALL(IF(MATCH(AK123,AK$1:AK$301,0)=ROW(AK123),ROW(AK$1:AK$301),999),ROW(AK123))),"")</f>
        <v/>
      </c>
      <c r="AM123" s="120" t="str">
        <f t="array" ref="AM123">INDEX(AL:AL,SMALL(IF($AL$2:$AL$301&lt;&gt;"",ROW($2:$301),302),ROW(AL122)))&amp;""</f>
        <v/>
      </c>
    </row>
    <row r="124" spans="1:39" ht="14.4" customHeight="1" x14ac:dyDescent="0.25">
      <c r="A124" s="250">
        <v>122</v>
      </c>
      <c r="B124" s="119" t="s">
        <v>6851</v>
      </c>
      <c r="C124" s="119" t="s">
        <v>6852</v>
      </c>
      <c r="E124" s="434" t="s">
        <v>6304</v>
      </c>
      <c r="F124" s="180" t="s">
        <v>6282</v>
      </c>
      <c r="G124" s="180" t="s">
        <v>6298</v>
      </c>
      <c r="H124" s="180">
        <v>1</v>
      </c>
      <c r="I124" s="180">
        <v>1</v>
      </c>
      <c r="J124" s="180">
        <v>1</v>
      </c>
      <c r="L124" s="119" t="s">
        <v>6853</v>
      </c>
      <c r="N124" s="180" t="s">
        <v>6284</v>
      </c>
      <c r="O124" s="119" t="s">
        <v>6854</v>
      </c>
      <c r="P124" s="119">
        <v>1</v>
      </c>
      <c r="Q124" s="248" t="str">
        <f>IF(综合数据!$B$12=TRUE,"AcqInc.","")</f>
        <v>AcqInc.</v>
      </c>
      <c r="X124" s="180">
        <v>11</v>
      </c>
      <c r="AA124" s="198"/>
      <c r="AB124" s="250" t="str">
        <f t="array" ref="AB124">INDEX(B:B,SMALL(IF($Q$3:$Q$517&lt;&gt;"",ROW($3:$517),518),ROW(B123)))&amp;""</f>
        <v>塔莎酸蚀酿</v>
      </c>
      <c r="AC124" s="394" t="str">
        <f>IFERROR(IF(AND($Q125&lt;&gt;"",IF(法术查询!$J$4="",1,INDEX($R125:$Z125,1,VLOOKUP(法术查询!$J$4,$AF$2:$AG$10,2,0)))&lt;&gt;"",IF(法术查询!$J$5="",1,$P125=VLOOKUP(法术查询!$J$5,$AH$2:$AI$11,2,0)),IF(法术查询!$J$6="",1,IF(法术查询!$J$6=$E125,1,0)),IF(法术查询!$J$7="",1,SEARCH(法术查询!$J$7,$F125)),IF(法术查询!$J$8="",1,SEARCH(法术查询!$J$8,G125)),IF(法术查询!$J$9="",1,SEARCH(法术查询!$J$9,N125)),IF(法术查询!$J$10="",1,IF(法术查询!$J$10=$AF$11,IF($M125=1,1,0),IF($M125="",1,0))),IF(法术查询!$J$11="",1,IF(法术查询!$J$11=$AF$11,IF($D125=1,1,0),IF($D125="",1,0))),IF(法术查询!$J$12="",1,SEARCH(法术查询!$J$12,$B125&amp;$C125&amp;$O125)),IF(法术查询!$J$13="",1,SEARCH(法术查询!$J$13,$B125&amp;$C125&amp;$O125)),IF(法术查询!$J$14="",1,SEARCH(法术查询!$J$14,$B125&amp;$C125&amp;$O125)),IF(法术查询!$J$16="",1,IF(法术查询!$J$16=$AF$11,IF($H125=1,1,0),IF($H125="",1,0))),IF(法术查询!$J$17="",1,IF(法术查询!$J$17=$AF$11,IF($I125=1,1,0),IF($I125="",1,0))),IF(法术查询!$J$18="",1,IF(法术查询!$J$18=$AF$11,IF($J125&lt;&gt;"",1,0),IF($J125="",1,0))),IF(法术查询!$J$19="",1,IF(法术查询!$J$19=$AF$11,IF($L125&lt;&gt;"",1,0),IF($L125="",1,0)))),$B125,""),"")</f>
        <v/>
      </c>
      <c r="AD124" s="180" t="str">
        <f t="array" ref="AD124">INDEX(AC:AC,SMALL(IF($AC$2:$AC$516&lt;&gt;"",ROW($2:$516),517),ROW(AC123)))&amp;""</f>
        <v/>
      </c>
      <c r="AE124" s="198" t="str">
        <f t="shared" si="5"/>
        <v/>
      </c>
      <c r="AJ124" s="250">
        <v>123</v>
      </c>
      <c r="AK124" s="180" t="str">
        <f>IF(法术书!AB30="","",法术书!AB30)</f>
        <v/>
      </c>
      <c r="AL124" s="119" t="str">
        <f t="array" ref="AL124">IFERROR(INDEX(AK$1:AK$301,SMALL(IF(MATCH(AK124,AK$1:AK$301,0)=ROW(AK124),ROW(AK$1:AK$301),999),ROW(AK124))),"")</f>
        <v/>
      </c>
      <c r="AM124" s="120" t="str">
        <f t="array" ref="AM124">INDEX(AL:AL,SMALL(IF($AL$2:$AL$301&lt;&gt;"",ROW($2:$301),302),ROW(AL123)))&amp;""</f>
        <v/>
      </c>
    </row>
    <row r="125" spans="1:39" ht="14.4" customHeight="1" x14ac:dyDescent="0.25">
      <c r="A125" s="250">
        <v>123</v>
      </c>
      <c r="B125" s="119" t="s">
        <v>6855</v>
      </c>
      <c r="C125" s="119" t="s">
        <v>6856</v>
      </c>
      <c r="E125" s="434" t="s">
        <v>6304</v>
      </c>
      <c r="F125" s="180" t="s">
        <v>6282</v>
      </c>
      <c r="G125" s="180" t="s">
        <v>6511</v>
      </c>
      <c r="H125" s="180">
        <v>1</v>
      </c>
      <c r="I125" s="180">
        <v>1</v>
      </c>
      <c r="J125" s="180">
        <v>1</v>
      </c>
      <c r="K125" s="119" t="s">
        <v>6857</v>
      </c>
      <c r="L125" s="119"/>
      <c r="M125" s="180">
        <v>1</v>
      </c>
      <c r="N125" s="180" t="s">
        <v>6306</v>
      </c>
      <c r="O125" s="119" t="s">
        <v>6858</v>
      </c>
      <c r="P125" s="119">
        <v>1</v>
      </c>
      <c r="Q125" s="443" t="str">
        <f>IF(综合数据!$B$14=TRUE,"TCE","")</f>
        <v>TCE</v>
      </c>
      <c r="W125" s="180">
        <v>13</v>
      </c>
      <c r="X125" s="180">
        <v>13</v>
      </c>
      <c r="Z125" s="180">
        <v>13</v>
      </c>
      <c r="AA125" s="198"/>
      <c r="AB125" s="250" t="str">
        <f t="array" ref="AB125">INDEX(B:B,SMALL(IF($Q$3:$Q$517&lt;&gt;"",ROW($3:$517),518),ROW(B124)))&amp;""</f>
        <v>银光锐语</v>
      </c>
      <c r="AC125" s="394" t="str">
        <f>IFERROR(IF(AND($Q126&lt;&gt;"",IF(法术查询!$J$4="",1,INDEX($R126:$Z126,1,VLOOKUP(法术查询!$J$4,$AF$2:$AG$10,2,0)))&lt;&gt;"",IF(法术查询!$J$5="",1,$P126=VLOOKUP(法术查询!$J$5,$AH$2:$AI$11,2,0)),IF(法术查询!$J$6="",1,IF(法术查询!$J$6=$E126,1,0)),IF(法术查询!$J$7="",1,SEARCH(法术查询!$J$7,$F126)),IF(法术查询!$J$8="",1,SEARCH(法术查询!$J$8,G126)),IF(法术查询!$J$9="",1,SEARCH(法术查询!$J$9,N126)),IF(法术查询!$J$10="",1,IF(法术查询!$J$10=$AF$11,IF($M126=1,1,0),IF($M126="",1,0))),IF(法术查询!$J$11="",1,IF(法术查询!$J$11=$AF$11,IF($D126=1,1,0),IF($D126="",1,0))),IF(法术查询!$J$12="",1,SEARCH(法术查询!$J$12,$B126&amp;$C126&amp;$O126)),IF(法术查询!$J$13="",1,SEARCH(法术查询!$J$13,$B126&amp;$C126&amp;$O126)),IF(法术查询!$J$14="",1,SEARCH(法术查询!$J$14,$B126&amp;$C126&amp;$O126)),IF(法术查询!$J$16="",1,IF(法术查询!$J$16=$AF$11,IF($H126=1,1,0),IF($H126="",1,0))),IF(法术查询!$J$17="",1,IF(法术查询!$J$17=$AF$11,IF($I126=1,1,0),IF($I126="",1,0))),IF(法术查询!$J$18="",1,IF(法术查询!$J$18=$AF$11,IF($J126&lt;&gt;"",1,0),IF($J126="",1,0))),IF(法术查询!$J$19="",1,IF(法术查询!$J$19=$AF$11,IF($L126&lt;&gt;"",1,0),IF($L126="",1,0)))),$B126,""),"")</f>
        <v/>
      </c>
      <c r="AD125" s="180" t="str">
        <f t="array" ref="AD125">INDEX(AC:AC,SMALL(IF($AC$2:$AC$516&lt;&gt;"",ROW($2:$516),517),ROW(AC124)))&amp;""</f>
        <v/>
      </c>
      <c r="AE125" s="198" t="str">
        <f t="shared" si="5"/>
        <v/>
      </c>
      <c r="AJ125" s="250">
        <v>124</v>
      </c>
      <c r="AK125" s="180" t="str">
        <f>IF(法术书!AB31="","",法术书!AB31)</f>
        <v/>
      </c>
      <c r="AL125" s="119" t="str">
        <f t="array" ref="AL125">IFERROR(INDEX(AK$1:AK$301,SMALL(IF(MATCH(AK125,AK$1:AK$301,0)=ROW(AK125),ROW(AK$1:AK$301),999),ROW(AK125))),"")</f>
        <v/>
      </c>
      <c r="AM125" s="120" t="str">
        <f t="array" ref="AM125">INDEX(AL:AL,SMALL(IF($AL$2:$AL$301&lt;&gt;"",ROW($2:$301),302),ROW(AL124)))&amp;""</f>
        <v/>
      </c>
    </row>
    <row r="126" spans="1:39" ht="14.4" customHeight="1" x14ac:dyDescent="0.25">
      <c r="A126" s="250">
        <v>124</v>
      </c>
      <c r="B126" s="119" t="s">
        <v>6859</v>
      </c>
      <c r="C126" s="119" t="s">
        <v>6860</v>
      </c>
      <c r="E126" s="180" t="s">
        <v>6328</v>
      </c>
      <c r="F126" s="180" t="s">
        <v>6465</v>
      </c>
      <c r="G126" s="180" t="s">
        <v>6283</v>
      </c>
      <c r="H126" s="180">
        <v>1</v>
      </c>
      <c r="N126" s="180" t="s">
        <v>6284</v>
      </c>
      <c r="O126" s="119" t="s">
        <v>6861</v>
      </c>
      <c r="P126" s="119">
        <v>1</v>
      </c>
      <c r="Q126" s="444" t="str">
        <f>IF(综合数据!$B$17=TRUE,"SCC","")</f>
        <v>SCC</v>
      </c>
      <c r="R126" s="180">
        <v>16</v>
      </c>
      <c r="W126" s="180">
        <v>16</v>
      </c>
      <c r="X126" s="180">
        <v>16</v>
      </c>
      <c r="AA126" s="120" t="s">
        <v>6862</v>
      </c>
      <c r="AB126" s="250" t="str">
        <f t="array" ref="AB126">INDEX(B:B,SMALL(IF($Q$3:$Q$517&lt;&gt;"",ROW($3:$517),518),ROW(B125)))&amp;""</f>
        <v>援助术</v>
      </c>
      <c r="AC126" s="394" t="str">
        <f>IFERROR(IF(AND($Q127&lt;&gt;"",IF(法术查询!$J$4="",1,INDEX($R127:$Z127,1,VLOOKUP(法术查询!$J$4,$AF$2:$AG$10,2,0)))&lt;&gt;"",IF(法术查询!$J$5="",1,$P127=VLOOKUP(法术查询!$J$5,$AH$2:$AI$11,2,0)),IF(法术查询!$J$6="",1,IF(法术查询!$J$6=$E127,1,0)),IF(法术查询!$J$7="",1,SEARCH(法术查询!$J$7,$F127)),IF(法术查询!$J$8="",1,SEARCH(法术查询!$J$8,G127)),IF(法术查询!$J$9="",1,SEARCH(法术查询!$J$9,N127)),IF(法术查询!$J$10="",1,IF(法术查询!$J$10=$AF$11,IF($M127=1,1,0),IF($M127="",1,0))),IF(法术查询!$J$11="",1,IF(法术查询!$J$11=$AF$11,IF($D127=1,1,0),IF($D127="",1,0))),IF(法术查询!$J$12="",1,SEARCH(法术查询!$J$12,$B127&amp;$C127&amp;$O127)),IF(法术查询!$J$13="",1,SEARCH(法术查询!$J$13,$B127&amp;$C127&amp;$O127)),IF(法术查询!$J$14="",1,SEARCH(法术查询!$J$14,$B127&amp;$C127&amp;$O127)),IF(法术查询!$J$16="",1,IF(法术查询!$J$16=$AF$11,IF($H127=1,1,0),IF($H127="",1,0))),IF(法术查询!$J$17="",1,IF(法术查询!$J$17=$AF$11,IF($I127=1,1,0),IF($I127="",1,0))),IF(法术查询!$J$18="",1,IF(法术查询!$J$18=$AF$11,IF($J127&lt;&gt;"",1,0),IF($J127="",1,0))),IF(法术查询!$J$19="",1,IF(法术查询!$J$19=$AF$11,IF($L127&lt;&gt;"",1,0),IF($L127="",1,0)))),$B127,""),"")</f>
        <v/>
      </c>
      <c r="AD126" s="180" t="str">
        <f t="array" ref="AD126">INDEX(AC:AC,SMALL(IF($AC$2:$AC$516&lt;&gt;"",ROW($2:$516),517),ROW(AC125)))&amp;""</f>
        <v/>
      </c>
      <c r="AE126" s="198" t="str">
        <f t="shared" si="5"/>
        <v/>
      </c>
      <c r="AJ126" s="250">
        <v>125</v>
      </c>
      <c r="AK126" s="180" t="str">
        <f>IF(法术书!AB32="","",法术书!AB32)</f>
        <v/>
      </c>
      <c r="AL126" s="119" t="str">
        <f t="array" ref="AL126">IFERROR(INDEX(AK$1:AK$301,SMALL(IF(MATCH(AK126,AK$1:AK$301,0)=ROW(AK126),ROW(AK$1:AK$301),999),ROW(AK126))),"")</f>
        <v/>
      </c>
      <c r="AM126" s="120" t="str">
        <f t="array" ref="AM126">INDEX(AL:AL,SMALL(IF($AL$2:$AL$301&lt;&gt;"",ROW($2:$301),302),ROW(AL125)))&amp;""</f>
        <v/>
      </c>
    </row>
    <row r="127" spans="1:39" ht="14.4" customHeight="1" x14ac:dyDescent="0.25">
      <c r="A127" s="250">
        <v>125</v>
      </c>
      <c r="B127" s="119" t="s">
        <v>6863</v>
      </c>
      <c r="C127" s="119" t="s">
        <v>6864</v>
      </c>
      <c r="E127" s="440" t="s">
        <v>6290</v>
      </c>
      <c r="F127" s="180" t="s">
        <v>6282</v>
      </c>
      <c r="G127" s="180" t="s">
        <v>6313</v>
      </c>
      <c r="H127" s="180">
        <v>1</v>
      </c>
      <c r="I127" s="180">
        <v>1</v>
      </c>
      <c r="J127" s="180">
        <v>1</v>
      </c>
      <c r="K127" s="119" t="s">
        <v>6865</v>
      </c>
      <c r="N127" s="180" t="s">
        <v>6388</v>
      </c>
      <c r="O127" s="119" t="s">
        <v>6866</v>
      </c>
      <c r="P127" s="119">
        <v>2</v>
      </c>
      <c r="Q127" s="119" t="s">
        <v>242</v>
      </c>
      <c r="R127" s="180" t="str">
        <f>IF(综合数据!$B$14=TRUE,"13","")</f>
        <v>13</v>
      </c>
      <c r="S127" s="180">
        <v>1</v>
      </c>
      <c r="U127" s="180">
        <v>1</v>
      </c>
      <c r="V127" s="180" t="str">
        <f>IF(综合数据!$B$14=TRUE,"13","")</f>
        <v>13</v>
      </c>
      <c r="Z127" s="180">
        <v>9</v>
      </c>
      <c r="AA127" s="120" t="s">
        <v>6867</v>
      </c>
      <c r="AB127" s="250" t="str">
        <f t="array" ref="AB127">INDEX(B:B,SMALL(IF($Q$3:$Q$517&lt;&gt;"",ROW($3:$517),518),ROW(B126)))&amp;""</f>
        <v>变身术</v>
      </c>
      <c r="AC127" s="394" t="str">
        <f>IFERROR(IF(AND($Q128&lt;&gt;"",IF(法术查询!$J$4="",1,INDEX($R128:$Z128,1,VLOOKUP(法术查询!$J$4,$AF$2:$AG$10,2,0)))&lt;&gt;"",IF(法术查询!$J$5="",1,$P128=VLOOKUP(法术查询!$J$5,$AH$2:$AI$11,2,0)),IF(法术查询!$J$6="",1,IF(法术查询!$J$6=$E128,1,0)),IF(法术查询!$J$7="",1,SEARCH(法术查询!$J$7,$F128)),IF(法术查询!$J$8="",1,SEARCH(法术查询!$J$8,G128)),IF(法术查询!$J$9="",1,SEARCH(法术查询!$J$9,N128)),IF(法术查询!$J$10="",1,IF(法术查询!$J$10=$AF$11,IF($M128=1,1,0),IF($M128="",1,0))),IF(法术查询!$J$11="",1,IF(法术查询!$J$11=$AF$11,IF($D128=1,1,0),IF($D128="",1,0))),IF(法术查询!$J$12="",1,SEARCH(法术查询!$J$12,$B128&amp;$C128&amp;$O128)),IF(法术查询!$J$13="",1,SEARCH(法术查询!$J$13,$B128&amp;$C128&amp;$O128)),IF(法术查询!$J$14="",1,SEARCH(法术查询!$J$14,$B128&amp;$C128&amp;$O128)),IF(法术查询!$J$16="",1,IF(法术查询!$J$16=$AF$11,IF($H128=1,1,0),IF($H128="",1,0))),IF(法术查询!$J$17="",1,IF(法术查询!$J$17=$AF$11,IF($I128=1,1,0),IF($I128="",1,0))),IF(法术查询!$J$18="",1,IF(法术查询!$J$18=$AF$11,IF($J128&lt;&gt;"",1,0),IF($J128="",1,0))),IF(法术查询!$J$19="",1,IF(法术查询!$J$19=$AF$11,IF($L128&lt;&gt;"",1,0),IF($L128="",1,0)))),$B128,""),"")</f>
        <v/>
      </c>
      <c r="AD127" s="180" t="str">
        <f t="array" ref="AD127">INDEX(AC:AC,SMALL(IF($AC$2:$AC$516&lt;&gt;"",ROW($2:$516),517),ROW(AC126)))&amp;""</f>
        <v/>
      </c>
      <c r="AE127" s="198" t="str">
        <f t="shared" si="5"/>
        <v/>
      </c>
      <c r="AJ127" s="250">
        <v>126</v>
      </c>
      <c r="AK127" s="180" t="str">
        <f>IF(法术书!AB33="","",法术书!AB33)</f>
        <v/>
      </c>
      <c r="AL127" s="119" t="str">
        <f t="array" ref="AL127">IFERROR(INDEX(AK$1:AK$301,SMALL(IF(MATCH(AK127,AK$1:AK$301,0)=ROW(AK127),ROW(AK$1:AK$301),999),ROW(AK127))),"")</f>
        <v/>
      </c>
      <c r="AM127" s="120" t="str">
        <f t="array" ref="AM127">INDEX(AL:AL,SMALL(IF($AL$2:$AL$301&lt;&gt;"",ROW($2:$301),302),ROW(AL126)))&amp;""</f>
        <v/>
      </c>
    </row>
    <row r="128" spans="1:39" ht="14.4" customHeight="1" x14ac:dyDescent="0.25">
      <c r="A128" s="250">
        <v>126</v>
      </c>
      <c r="B128" s="119" t="s">
        <v>6868</v>
      </c>
      <c r="C128" s="119" t="s">
        <v>6869</v>
      </c>
      <c r="E128" s="435" t="s">
        <v>6312</v>
      </c>
      <c r="F128" s="180" t="s">
        <v>6282</v>
      </c>
      <c r="G128" s="180" t="s">
        <v>6291</v>
      </c>
      <c r="H128" s="180">
        <v>1</v>
      </c>
      <c r="I128" s="180">
        <v>1</v>
      </c>
      <c r="M128" s="180">
        <v>1</v>
      </c>
      <c r="N128" s="180" t="s">
        <v>6379</v>
      </c>
      <c r="O128" s="119" t="s">
        <v>6870</v>
      </c>
      <c r="P128" s="119">
        <v>2</v>
      </c>
      <c r="Q128" s="119" t="s">
        <v>242</v>
      </c>
      <c r="W128" s="180">
        <v>1</v>
      </c>
      <c r="X128" s="180">
        <v>1</v>
      </c>
      <c r="Z128" s="180">
        <v>9</v>
      </c>
      <c r="AA128" s="120" t="s">
        <v>6871</v>
      </c>
      <c r="AB128" s="250" t="str">
        <f t="array" ref="AB128">INDEX(B:B,SMALL(IF($Q$3:$Q$517&lt;&gt;"",ROW($3:$517),518),ROW(B127)))&amp;""</f>
        <v>动物信使</v>
      </c>
      <c r="AC128" s="394" t="str">
        <f>IFERROR(IF(AND($Q129&lt;&gt;"",IF(法术查询!$J$4="",1,INDEX($R129:$Z129,1,VLOOKUP(法术查询!$J$4,$AF$2:$AG$10,2,0)))&lt;&gt;"",IF(法术查询!$J$5="",1,$P129=VLOOKUP(法术查询!$J$5,$AH$2:$AI$11,2,0)),IF(法术查询!$J$6="",1,IF(法术查询!$J$6=$E129,1,0)),IF(法术查询!$J$7="",1,SEARCH(法术查询!$J$7,$F129)),IF(法术查询!$J$8="",1,SEARCH(法术查询!$J$8,G129)),IF(法术查询!$J$9="",1,SEARCH(法术查询!$J$9,N129)),IF(法术查询!$J$10="",1,IF(法术查询!$J$10=$AF$11,IF($M129=1,1,0),IF($M129="",1,0))),IF(法术查询!$J$11="",1,IF(法术查询!$J$11=$AF$11,IF($D129=1,1,0),IF($D129="",1,0))),IF(法术查询!$J$12="",1,SEARCH(法术查询!$J$12,$B129&amp;$C129&amp;$O129)),IF(法术查询!$J$13="",1,SEARCH(法术查询!$J$13,$B129&amp;$C129&amp;$O129)),IF(法术查询!$J$14="",1,SEARCH(法术查询!$J$14,$B129&amp;$C129&amp;$O129)),IF(法术查询!$J$16="",1,IF(法术查询!$J$16=$AF$11,IF($H129=1,1,0),IF($H129="",1,0))),IF(法术查询!$J$17="",1,IF(法术查询!$J$17=$AF$11,IF($I129=1,1,0),IF($I129="",1,0))),IF(法术查询!$J$18="",1,IF(法术查询!$J$18=$AF$11,IF($J129&lt;&gt;"",1,0),IF($J129="",1,0))),IF(法术查询!$J$19="",1,IF(法术查询!$J$19=$AF$11,IF($L129&lt;&gt;"",1,0),IF($L129="",1,0)))),$B129,""),"")</f>
        <v/>
      </c>
      <c r="AD128" s="180" t="str">
        <f t="array" ref="AD128">INDEX(AC:AC,SMALL(IF($AC$2:$AC$516&lt;&gt;"",ROW($2:$516),517),ROW(AC127)))&amp;""</f>
        <v/>
      </c>
      <c r="AE128" s="198" t="str">
        <f t="shared" si="5"/>
        <v/>
      </c>
      <c r="AJ128" s="250">
        <v>127</v>
      </c>
      <c r="AK128" s="180" t="str">
        <f>IF(法术书!AB34="","",法术书!AB34)</f>
        <v/>
      </c>
      <c r="AL128" s="119" t="str">
        <f t="array" ref="AL128">IFERROR(INDEX(AK$1:AK$301,SMALL(IF(MATCH(AK128,AK$1:AK$301,0)=ROW(AK128),ROW(AK$1:AK$301),999),ROW(AK128))),"")</f>
        <v/>
      </c>
      <c r="AM128" s="120" t="str">
        <f t="array" ref="AM128">INDEX(AL:AL,SMALL(IF($AL$2:$AL$301&lt;&gt;"",ROW($2:$301),302),ROW(AL127)))&amp;""</f>
        <v/>
      </c>
    </row>
    <row r="129" spans="1:39" ht="14.4" customHeight="1" x14ac:dyDescent="0.25">
      <c r="A129" s="250">
        <v>127</v>
      </c>
      <c r="B129" s="119" t="s">
        <v>6872</v>
      </c>
      <c r="C129" s="119" t="s">
        <v>6873</v>
      </c>
      <c r="D129" s="180">
        <v>1</v>
      </c>
      <c r="E129" s="379" t="s">
        <v>6328</v>
      </c>
      <c r="F129" s="180" t="s">
        <v>6282</v>
      </c>
      <c r="G129" s="180" t="s">
        <v>6313</v>
      </c>
      <c r="H129" s="180">
        <v>1</v>
      </c>
      <c r="I129" s="180">
        <v>1</v>
      </c>
      <c r="J129" s="180">
        <v>1</v>
      </c>
      <c r="K129" s="119" t="s">
        <v>6549</v>
      </c>
      <c r="N129" s="180" t="s">
        <v>6399</v>
      </c>
      <c r="O129" s="119" t="s">
        <v>6874</v>
      </c>
      <c r="P129" s="119">
        <v>2</v>
      </c>
      <c r="Q129" s="119" t="s">
        <v>242</v>
      </c>
      <c r="R129" s="180">
        <v>1</v>
      </c>
      <c r="T129" s="180">
        <v>1</v>
      </c>
      <c r="V129" s="180">
        <v>1</v>
      </c>
      <c r="AA129" s="120" t="s">
        <v>6875</v>
      </c>
      <c r="AB129" s="250" t="str">
        <f t="array" ref="AB129">INDEX(B:B,SMALL(IF($Q$3:$Q$517&lt;&gt;"",ROW($3:$517),518),ROW(B128)))&amp;""</f>
        <v>秘法锁</v>
      </c>
      <c r="AC129" s="394" t="str">
        <f>IFERROR(IF(AND($Q130&lt;&gt;"",IF(法术查询!$J$4="",1,INDEX($R130:$Z130,1,VLOOKUP(法术查询!$J$4,$AF$2:$AG$10,2,0)))&lt;&gt;"",IF(法术查询!$J$5="",1,$P130=VLOOKUP(法术查询!$J$5,$AH$2:$AI$11,2,0)),IF(法术查询!$J$6="",1,IF(法术查询!$J$6=$E130,1,0)),IF(法术查询!$J$7="",1,SEARCH(法术查询!$J$7,$F130)),IF(法术查询!$J$8="",1,SEARCH(法术查询!$J$8,G130)),IF(法术查询!$J$9="",1,SEARCH(法术查询!$J$9,N130)),IF(法术查询!$J$10="",1,IF(法术查询!$J$10=$AF$11,IF($M130=1,1,0),IF($M130="",1,0))),IF(法术查询!$J$11="",1,IF(法术查询!$J$11=$AF$11,IF($D130=1,1,0),IF($D130="",1,0))),IF(法术查询!$J$12="",1,SEARCH(法术查询!$J$12,$B130&amp;$C130&amp;$O130)),IF(法术查询!$J$13="",1,SEARCH(法术查询!$J$13,$B130&amp;$C130&amp;$O130)),IF(法术查询!$J$14="",1,SEARCH(法术查询!$J$14,$B130&amp;$C130&amp;$O130)),IF(法术查询!$J$16="",1,IF(法术查询!$J$16=$AF$11,IF($H130=1,1,0),IF($H130="",1,0))),IF(法术查询!$J$17="",1,IF(法术查询!$J$17=$AF$11,IF($I130=1,1,0),IF($I130="",1,0))),IF(法术查询!$J$18="",1,IF(法术查询!$J$18=$AF$11,IF($J130&lt;&gt;"",1,0),IF($J130="",1,0))),IF(法术查询!$J$19="",1,IF(法术查询!$J$19=$AF$11,IF($L130&lt;&gt;"",1,0),IF($L130="",1,0)))),$B130,""),"")</f>
        <v/>
      </c>
      <c r="AD129" s="180" t="str">
        <f t="array" ref="AD129">INDEX(AC:AC,SMALL(IF($AC$2:$AC$516&lt;&gt;"",ROW($2:$516),517),ROW(AC128)))&amp;""</f>
        <v/>
      </c>
      <c r="AE129" s="198" t="str">
        <f t="shared" si="5"/>
        <v/>
      </c>
      <c r="AJ129" s="250">
        <v>128</v>
      </c>
      <c r="AK129" s="180" t="str">
        <f>IF(法术书!AB35="","",法术书!AB35)</f>
        <v/>
      </c>
      <c r="AL129" s="119" t="str">
        <f t="array" ref="AL129">IFERROR(INDEX(AK$1:AK$301,SMALL(IF(MATCH(AK129,AK$1:AK$301,0)=ROW(AK129),ROW(AK$1:AK$301),999),ROW(AK129))),"")</f>
        <v/>
      </c>
      <c r="AM129" s="120" t="str">
        <f t="array" ref="AM129">INDEX(AL:AL,SMALL(IF($AL$2:$AL$301&lt;&gt;"",ROW($2:$301),302),ROW(AL128)))&amp;""</f>
        <v/>
      </c>
    </row>
    <row r="130" spans="1:39" ht="14.4" customHeight="1" x14ac:dyDescent="0.25">
      <c r="A130" s="250">
        <v>128</v>
      </c>
      <c r="B130" s="119" t="s">
        <v>6876</v>
      </c>
      <c r="C130" s="119" t="s">
        <v>6877</v>
      </c>
      <c r="E130" s="440" t="s">
        <v>6290</v>
      </c>
      <c r="F130" s="180" t="s">
        <v>6282</v>
      </c>
      <c r="G130" s="180" t="s">
        <v>3682</v>
      </c>
      <c r="H130" s="180">
        <v>1</v>
      </c>
      <c r="I130" s="180">
        <v>1</v>
      </c>
      <c r="J130" s="180">
        <v>1</v>
      </c>
      <c r="L130" s="119" t="s">
        <v>6878</v>
      </c>
      <c r="N130" s="180" t="s">
        <v>6434</v>
      </c>
      <c r="O130" s="119" t="s">
        <v>6879</v>
      </c>
      <c r="P130" s="119">
        <v>2</v>
      </c>
      <c r="Q130" s="119" t="s">
        <v>242</v>
      </c>
      <c r="X130" s="180">
        <v>1</v>
      </c>
      <c r="Z130" s="180">
        <v>9</v>
      </c>
      <c r="AA130" s="120" t="s">
        <v>6880</v>
      </c>
      <c r="AB130" s="250" t="str">
        <f t="array" ref="AB130">INDEX(B:B,SMALL(IF($Q$3:$Q$517&lt;&gt;"",ROW($3:$517),518),ROW(B129)))&amp;""</f>
        <v>卜筮术</v>
      </c>
      <c r="AC130" s="394" t="str">
        <f>IFERROR(IF(AND($Q131&lt;&gt;"",IF(法术查询!$J$4="",1,INDEX($R131:$Z131,1,VLOOKUP(法术查询!$J$4,$AF$2:$AG$10,2,0)))&lt;&gt;"",IF(法术查询!$J$5="",1,$P131=VLOOKUP(法术查询!$J$5,$AH$2:$AI$11,2,0)),IF(法术查询!$J$6="",1,IF(法术查询!$J$6=$E131,1,0)),IF(法术查询!$J$7="",1,SEARCH(法术查询!$J$7,$F131)),IF(法术查询!$J$8="",1,SEARCH(法术查询!$J$8,G131)),IF(法术查询!$J$9="",1,SEARCH(法术查询!$J$9,N131)),IF(法术查询!$J$10="",1,IF(法术查询!$J$10=$AF$11,IF($M131=1,1,0),IF($M131="",1,0))),IF(法术查询!$J$11="",1,IF(法术查询!$J$11=$AF$11,IF($D131=1,1,0),IF($D131="",1,0))),IF(法术查询!$J$12="",1,SEARCH(法术查询!$J$12,$B131&amp;$C131&amp;$O131)),IF(法术查询!$J$13="",1,SEARCH(法术查询!$J$13,$B131&amp;$C131&amp;$O131)),IF(法术查询!$J$14="",1,SEARCH(法术查询!$J$14,$B131&amp;$C131&amp;$O131)),IF(法术查询!$J$16="",1,IF(法术查询!$J$16=$AF$11,IF($H131=1,1,0),IF($H131="",1,0))),IF(法术查询!$J$17="",1,IF(法术查询!$J$17=$AF$11,IF($I131=1,1,0),IF($I131="",1,0))),IF(法术查询!$J$18="",1,IF(法术查询!$J$18=$AF$11,IF($J131&lt;&gt;"",1,0),IF($J131="",1,0))),IF(法术查询!$J$19="",1,IF(法术查询!$J$19=$AF$11,IF($L131&lt;&gt;"",1,0),IF($L131="",1,0)))),$B131,""),"")</f>
        <v/>
      </c>
      <c r="AD130" s="180" t="str">
        <f t="array" ref="AD130">INDEX(AC:AC,SMALL(IF($AC$2:$AC$516&lt;&gt;"",ROW($2:$516),517),ROW(AC129)))&amp;""</f>
        <v/>
      </c>
      <c r="AE130" s="198" t="str">
        <f t="shared" si="5"/>
        <v/>
      </c>
      <c r="AJ130" s="250">
        <v>129</v>
      </c>
      <c r="AK130" s="180" t="str">
        <f>IF(法术书!AB36="","",法术书!AB36)</f>
        <v/>
      </c>
      <c r="AL130" s="119" t="str">
        <f t="array" ref="AL130">IFERROR(INDEX(AK$1:AK$301,SMALL(IF(MATCH(AK130,AK$1:AK$301,0)=ROW(AK130),ROW(AK$1:AK$301),999),ROW(AK130))),"")</f>
        <v/>
      </c>
      <c r="AM130" s="120" t="str">
        <f t="array" ref="AM130">INDEX(AL:AL,SMALL(IF($AL$2:$AL$301&lt;&gt;"",ROW($2:$301),302),ROW(AL129)))&amp;""</f>
        <v/>
      </c>
    </row>
    <row r="131" spans="1:39" ht="14.4" customHeight="1" x14ac:dyDescent="0.25">
      <c r="A131" s="250">
        <v>129</v>
      </c>
      <c r="B131" s="119" t="s">
        <v>6881</v>
      </c>
      <c r="C131" s="119" t="s">
        <v>6882</v>
      </c>
      <c r="D131" s="180">
        <v>1</v>
      </c>
      <c r="E131" s="438" t="s">
        <v>6335</v>
      </c>
      <c r="F131" s="180" t="s">
        <v>6349</v>
      </c>
      <c r="G131" s="180" t="s">
        <v>6291</v>
      </c>
      <c r="H131" s="180">
        <v>1</v>
      </c>
      <c r="I131" s="180">
        <v>1</v>
      </c>
      <c r="J131" s="180">
        <v>1</v>
      </c>
      <c r="K131" s="119" t="s">
        <v>6883</v>
      </c>
      <c r="N131" s="180" t="s">
        <v>6284</v>
      </c>
      <c r="O131" s="119" t="s">
        <v>6884</v>
      </c>
      <c r="P131" s="119">
        <v>2</v>
      </c>
      <c r="Q131" s="119" t="s">
        <v>242</v>
      </c>
      <c r="S131" s="180">
        <v>1</v>
      </c>
      <c r="T131" s="180" t="str">
        <f>IF(综合数据!$B$14=TRUE,"13","")</f>
        <v>13</v>
      </c>
      <c r="X131" s="180" t="str">
        <f>IF(综合数据!$B$14=TRUE,"13","")</f>
        <v>13</v>
      </c>
      <c r="AA131" s="120" t="s">
        <v>6885</v>
      </c>
      <c r="AB131" s="250" t="str">
        <f t="array" ref="AB131">INDEX(B:B,SMALL(IF($Q$3:$Q$517&lt;&gt;"",ROW($3:$517),518),ROW(B130)))&amp;""</f>
        <v>树肤术</v>
      </c>
      <c r="AC131" s="394" t="str">
        <f>IFERROR(IF(AND($Q132&lt;&gt;"",IF(法术查询!$J$4="",1,INDEX($R132:$Z132,1,VLOOKUP(法术查询!$J$4,$AF$2:$AG$10,2,0)))&lt;&gt;"",IF(法术查询!$J$5="",1,$P132=VLOOKUP(法术查询!$J$5,$AH$2:$AI$11,2,0)),IF(法术查询!$J$6="",1,IF(法术查询!$J$6=$E132,1,0)),IF(法术查询!$J$7="",1,SEARCH(法术查询!$J$7,$F132)),IF(法术查询!$J$8="",1,SEARCH(法术查询!$J$8,G132)),IF(法术查询!$J$9="",1,SEARCH(法术查询!$J$9,N132)),IF(法术查询!$J$10="",1,IF(法术查询!$J$10=$AF$11,IF($M132=1,1,0),IF($M132="",1,0))),IF(法术查询!$J$11="",1,IF(法术查询!$J$11=$AF$11,IF($D132=1,1,0),IF($D132="",1,0))),IF(法术查询!$J$12="",1,SEARCH(法术查询!$J$12,$B132&amp;$C132&amp;$O132)),IF(法术查询!$J$13="",1,SEARCH(法术查询!$J$13,$B132&amp;$C132&amp;$O132)),IF(法术查询!$J$14="",1,SEARCH(法术查询!$J$14,$B132&amp;$C132&amp;$O132)),IF(法术查询!$J$16="",1,IF(法术查询!$J$16=$AF$11,IF($H132=1,1,0),IF($H132="",1,0))),IF(法术查询!$J$17="",1,IF(法术查询!$J$17=$AF$11,IF($I132=1,1,0),IF($I132="",1,0))),IF(法术查询!$J$18="",1,IF(法术查询!$J$18=$AF$11,IF($J132&lt;&gt;"",1,0),IF($J132="",1,0))),IF(法术查询!$J$19="",1,IF(法术查询!$J$19=$AF$11,IF($L132&lt;&gt;"",1,0),IF($L132="",1,0)))),$B132,""),"")</f>
        <v/>
      </c>
      <c r="AD131" s="180" t="str">
        <f t="array" ref="AD131">INDEX(AC:AC,SMALL(IF($AC$2:$AC$516&lt;&gt;"",ROW($2:$516),517),ROW(AC130)))&amp;""</f>
        <v/>
      </c>
      <c r="AE131" s="198" t="str">
        <f t="shared" ref="AE131:AE194" si="6">IF(AD131="","",VLOOKUP(AD131,B:C,2,0))</f>
        <v/>
      </c>
      <c r="AJ131" s="250">
        <v>130</v>
      </c>
      <c r="AK131" s="180" t="str">
        <f>IF(法术书!AB37="","",法术书!AB37)</f>
        <v/>
      </c>
      <c r="AL131" s="119" t="str">
        <f t="array" ref="AL131">IFERROR(INDEX(AK$1:AK$301,SMALL(IF(MATCH(AK131,AK$1:AK$301,0)=ROW(AK131),ROW(AK$1:AK$301),999),ROW(AK131))),"")</f>
        <v/>
      </c>
      <c r="AM131" s="120" t="str">
        <f t="array" ref="AM131">INDEX(AL:AL,SMALL(IF($AL$2:$AL$301&lt;&gt;"",ROW($2:$301),302),ROW(AL130)))&amp;""</f>
        <v/>
      </c>
    </row>
    <row r="132" spans="1:39" ht="14.4" customHeight="1" x14ac:dyDescent="0.25">
      <c r="A132" s="250">
        <v>130</v>
      </c>
      <c r="B132" s="119" t="s">
        <v>6886</v>
      </c>
      <c r="C132" s="119" t="s">
        <v>6887</v>
      </c>
      <c r="E132" s="435" t="s">
        <v>6312</v>
      </c>
      <c r="F132" s="180" t="s">
        <v>6282</v>
      </c>
      <c r="G132" s="180" t="s">
        <v>3682</v>
      </c>
      <c r="H132" s="180">
        <v>1</v>
      </c>
      <c r="I132" s="180">
        <v>1</v>
      </c>
      <c r="J132" s="180">
        <v>1</v>
      </c>
      <c r="K132" s="119" t="s">
        <v>6888</v>
      </c>
      <c r="M132" s="180">
        <v>1</v>
      </c>
      <c r="N132" s="180" t="s">
        <v>6379</v>
      </c>
      <c r="O132" s="119" t="s">
        <v>6889</v>
      </c>
      <c r="P132" s="119">
        <v>2</v>
      </c>
      <c r="Q132" s="119" t="s">
        <v>242</v>
      </c>
      <c r="T132" s="180">
        <v>1</v>
      </c>
      <c r="V132" s="180">
        <v>1</v>
      </c>
      <c r="AA132" s="120" t="s">
        <v>6890</v>
      </c>
      <c r="AB132" s="250" t="str">
        <f t="array" ref="AB132">INDEX(B:B,SMALL(IF($Q$3:$Q$517&lt;&gt;"",ROW($3:$517),518),ROW(B131)))&amp;""</f>
        <v>野兽知觉</v>
      </c>
      <c r="AC132" s="394" t="str">
        <f>IFERROR(IF(AND($Q133&lt;&gt;"",IF(法术查询!$J$4="",1,INDEX($R133:$Z133,1,VLOOKUP(法术查询!$J$4,$AF$2:$AG$10,2,0)))&lt;&gt;"",IF(法术查询!$J$5="",1,$P133=VLOOKUP(法术查询!$J$5,$AH$2:$AI$11,2,0)),IF(法术查询!$J$6="",1,IF(法术查询!$J$6=$E133,1,0)),IF(法术查询!$J$7="",1,SEARCH(法术查询!$J$7,$F133)),IF(法术查询!$J$8="",1,SEARCH(法术查询!$J$8,G133)),IF(法术查询!$J$9="",1,SEARCH(法术查询!$J$9,N133)),IF(法术查询!$J$10="",1,IF(法术查询!$J$10=$AF$11,IF($M133=1,1,0),IF($M133="",1,0))),IF(法术查询!$J$11="",1,IF(法术查询!$J$11=$AF$11,IF($D133=1,1,0),IF($D133="",1,0))),IF(法术查询!$J$12="",1,SEARCH(法术查询!$J$12,$B133&amp;$C133&amp;$O133)),IF(法术查询!$J$13="",1,SEARCH(法术查询!$J$13,$B133&amp;$C133&amp;$O133)),IF(法术查询!$J$14="",1,SEARCH(法术查询!$J$14,$B133&amp;$C133&amp;$O133)),IF(法术查询!$J$16="",1,IF(法术查询!$J$16=$AF$11,IF($H133=1,1,0),IF($H133="",1,0))),IF(法术查询!$J$17="",1,IF(法术查询!$J$17=$AF$11,IF($I133=1,1,0),IF($I133="",1,0))),IF(法术查询!$J$18="",1,IF(法术查询!$J$18=$AF$11,IF($J133&lt;&gt;"",1,0),IF($J133="",1,0))),IF(法术查询!$J$19="",1,IF(法术查询!$J$19=$AF$11,IF($L133&lt;&gt;"",1,0),IF($L133="",1,0)))),$B133,""),"")</f>
        <v/>
      </c>
      <c r="AD132" s="180" t="str">
        <f t="array" ref="AD132">INDEX(AC:AC,SMALL(IF($AC$2:$AC$516&lt;&gt;"",ROW($2:$516),517),ROW(AC131)))&amp;""</f>
        <v/>
      </c>
      <c r="AE132" s="198" t="str">
        <f t="shared" si="6"/>
        <v/>
      </c>
      <c r="AJ132" s="250">
        <v>131</v>
      </c>
      <c r="AK132" s="180" t="str">
        <f>IF(法术书!AB38="","",法术书!AB38)</f>
        <v/>
      </c>
      <c r="AL132" s="119" t="str">
        <f t="array" ref="AL132">IFERROR(INDEX(AK$1:AK$301,SMALL(IF(MATCH(AK132,AK$1:AK$301,0)=ROW(AK132),ROW(AK$1:AK$301),999),ROW(AK132))),"")</f>
        <v/>
      </c>
      <c r="AM132" s="120" t="str">
        <f t="array" ref="AM132">INDEX(AL:AL,SMALL(IF($AL$2:$AL$301&lt;&gt;"",ROW($2:$301),302),ROW(AL131)))&amp;""</f>
        <v/>
      </c>
    </row>
    <row r="133" spans="1:39" ht="14.4" customHeight="1" x14ac:dyDescent="0.25">
      <c r="A133" s="250">
        <v>131</v>
      </c>
      <c r="B133" s="119" t="s">
        <v>6891</v>
      </c>
      <c r="C133" s="119" t="s">
        <v>6892</v>
      </c>
      <c r="D133" s="180">
        <v>1</v>
      </c>
      <c r="E133" s="438" t="s">
        <v>6335</v>
      </c>
      <c r="F133" s="180" t="s">
        <v>6282</v>
      </c>
      <c r="G133" s="180" t="s">
        <v>3682</v>
      </c>
      <c r="I133" s="180">
        <v>1</v>
      </c>
      <c r="M133" s="180">
        <v>1</v>
      </c>
      <c r="N133" s="180" t="s">
        <v>6379</v>
      </c>
      <c r="O133" s="119" t="s">
        <v>6893</v>
      </c>
      <c r="P133" s="119">
        <v>2</v>
      </c>
      <c r="Q133" s="119" t="s">
        <v>242</v>
      </c>
      <c r="T133" s="180">
        <v>1</v>
      </c>
      <c r="V133" s="180">
        <v>1</v>
      </c>
      <c r="AA133" s="120" t="s">
        <v>6894</v>
      </c>
      <c r="AB133" s="250" t="str">
        <f t="array" ref="AB133">INDEX(B:B,SMALL(IF($Q$3:$Q$517&lt;&gt;"",ROW($3:$517),518),ROW(B132)))&amp;""</f>
        <v>目盲/耳聋术</v>
      </c>
      <c r="AC133" s="394" t="str">
        <f>IFERROR(IF(AND($Q134&lt;&gt;"",IF(法术查询!$J$4="",1,INDEX($R134:$Z134,1,VLOOKUP(法术查询!$J$4,$AF$2:$AG$10,2,0)))&lt;&gt;"",IF(法术查询!$J$5="",1,$P134=VLOOKUP(法术查询!$J$5,$AH$2:$AI$11,2,0)),IF(法术查询!$J$6="",1,IF(法术查询!$J$6=$E134,1,0)),IF(法术查询!$J$7="",1,SEARCH(法术查询!$J$7,$F134)),IF(法术查询!$J$8="",1,SEARCH(法术查询!$J$8,G134)),IF(法术查询!$J$9="",1,SEARCH(法术查询!$J$9,N134)),IF(法术查询!$J$10="",1,IF(法术查询!$J$10=$AF$11,IF($M134=1,1,0),IF($M134="",1,0))),IF(法术查询!$J$11="",1,IF(法术查询!$J$11=$AF$11,IF($D134=1,1,0),IF($D134="",1,0))),IF(法术查询!$J$12="",1,SEARCH(法术查询!$J$12,$B134&amp;$C134&amp;$O134)),IF(法术查询!$J$13="",1,SEARCH(法术查询!$J$13,$B134&amp;$C134&amp;$O134)),IF(法术查询!$J$14="",1,SEARCH(法术查询!$J$14,$B134&amp;$C134&amp;$O134)),IF(法术查询!$J$16="",1,IF(法术查询!$J$16=$AF$11,IF($H134=1,1,0),IF($H134="",1,0))),IF(法术查询!$J$17="",1,IF(法术查询!$J$17=$AF$11,IF($I134=1,1,0),IF($I134="",1,0))),IF(法术查询!$J$18="",1,IF(法术查询!$J$18=$AF$11,IF($J134&lt;&gt;"",1,0),IF($J134="",1,0))),IF(法术查询!$J$19="",1,IF(法术查询!$J$19=$AF$11,IF($L134&lt;&gt;"",1,0),IF($L134="",1,0)))),$B134,""),"")</f>
        <v/>
      </c>
      <c r="AD133" s="180" t="str">
        <f t="array" ref="AD133">INDEX(AC:AC,SMALL(IF($AC$2:$AC$516&lt;&gt;"",ROW($2:$516),517),ROW(AC132)))&amp;""</f>
        <v/>
      </c>
      <c r="AE133" s="198" t="str">
        <f t="shared" si="6"/>
        <v/>
      </c>
      <c r="AJ133" s="250">
        <v>132</v>
      </c>
      <c r="AK133" s="180" t="str">
        <f>IF(法术书!AB39="","",法术书!AB39)</f>
        <v/>
      </c>
      <c r="AL133" s="119" t="str">
        <f t="array" ref="AL133">IFERROR(INDEX(AK$1:AK$301,SMALL(IF(MATCH(AK133,AK$1:AK$301,0)=ROW(AK133),ROW(AK$1:AK$301),999),ROW(AK133))),"")</f>
        <v/>
      </c>
      <c r="AM133" s="120" t="str">
        <f t="array" ref="AM133">INDEX(AL:AL,SMALL(IF($AL$2:$AL$301&lt;&gt;"",ROW($2:$301),302),ROW(AL132)))&amp;""</f>
        <v/>
      </c>
    </row>
    <row r="134" spans="1:39" ht="14.4" customHeight="1" x14ac:dyDescent="0.25">
      <c r="A134" s="250">
        <v>132</v>
      </c>
      <c r="B134" s="119" t="s">
        <v>6895</v>
      </c>
      <c r="C134" s="119" t="s">
        <v>6896</v>
      </c>
      <c r="E134" s="441" t="s">
        <v>6297</v>
      </c>
      <c r="F134" s="180" t="s">
        <v>6282</v>
      </c>
      <c r="G134" s="180" t="s">
        <v>6313</v>
      </c>
      <c r="H134" s="180">
        <v>1</v>
      </c>
      <c r="N134" s="180" t="s">
        <v>6349</v>
      </c>
      <c r="O134" s="119" t="s">
        <v>6897</v>
      </c>
      <c r="P134" s="119">
        <v>2</v>
      </c>
      <c r="Q134" s="119" t="s">
        <v>242</v>
      </c>
      <c r="R134" s="180">
        <v>1</v>
      </c>
      <c r="S134" s="180">
        <v>1</v>
      </c>
      <c r="W134" s="180">
        <v>1</v>
      </c>
      <c r="X134" s="180">
        <v>1</v>
      </c>
      <c r="AA134" s="120" t="s">
        <v>6898</v>
      </c>
      <c r="AB134" s="250" t="str">
        <f t="array" ref="AB134">INDEX(B:B,SMALL(IF($Q$3:$Q$517&lt;&gt;"",ROW($3:$517),518),ROW(B133)))&amp;""</f>
        <v>朦胧术</v>
      </c>
      <c r="AC134" s="394" t="str">
        <f>IFERROR(IF(AND($Q135&lt;&gt;"",IF(法术查询!$J$4="",1,INDEX($R135:$Z135,1,VLOOKUP(法术查询!$J$4,$AF$2:$AG$10,2,0)))&lt;&gt;"",IF(法术查询!$J$5="",1,$P135=VLOOKUP(法术查询!$J$5,$AH$2:$AI$11,2,0)),IF(法术查询!$J$6="",1,IF(法术查询!$J$6=$E135,1,0)),IF(法术查询!$J$7="",1,SEARCH(法术查询!$J$7,$F135)),IF(法术查询!$J$8="",1,SEARCH(法术查询!$J$8,G135)),IF(法术查询!$J$9="",1,SEARCH(法术查询!$J$9,N135)),IF(法术查询!$J$10="",1,IF(法术查询!$J$10=$AF$11,IF($M135=1,1,0),IF($M135="",1,0))),IF(法术查询!$J$11="",1,IF(法术查询!$J$11=$AF$11,IF($D135=1,1,0),IF($D135="",1,0))),IF(法术查询!$J$12="",1,SEARCH(法术查询!$J$12,$B135&amp;$C135&amp;$O135)),IF(法术查询!$J$13="",1,SEARCH(法术查询!$J$13,$B135&amp;$C135&amp;$O135)),IF(法术查询!$J$14="",1,SEARCH(法术查询!$J$14,$B135&amp;$C135&amp;$O135)),IF(法术查询!$J$16="",1,IF(法术查询!$J$16=$AF$11,IF($H135=1,1,0),IF($H135="",1,0))),IF(法术查询!$J$17="",1,IF(法术查询!$J$17=$AF$11,IF($I135=1,1,0),IF($I135="",1,0))),IF(法术查询!$J$18="",1,IF(法术查询!$J$18=$AF$11,IF($J135&lt;&gt;"",1,0),IF($J135="",1,0))),IF(法术查询!$J$19="",1,IF(法术查询!$J$19=$AF$11,IF($L135&lt;&gt;"",1,0),IF($L135="",1,0)))),$B135,""),"")</f>
        <v/>
      </c>
      <c r="AD134" s="180" t="str">
        <f t="array" ref="AD134">INDEX(AC:AC,SMALL(IF($AC$2:$AC$516&lt;&gt;"",ROW($2:$516),517),ROW(AC133)))&amp;""</f>
        <v/>
      </c>
      <c r="AE134" s="198" t="str">
        <f t="shared" si="6"/>
        <v/>
      </c>
      <c r="AJ134" s="250">
        <v>133</v>
      </c>
      <c r="AK134" s="180" t="str">
        <f>IF(法术书!AB40="","",法术书!AB40)</f>
        <v/>
      </c>
      <c r="AL134" s="119" t="str">
        <f t="array" ref="AL134">IFERROR(INDEX(AK$1:AK$301,SMALL(IF(MATCH(AK134,AK$1:AK$301,0)=ROW(AK134),ROW(AK$1:AK$301),999),ROW(AK134))),"")</f>
        <v/>
      </c>
      <c r="AM134" s="120" t="str">
        <f t="array" ref="AM134">INDEX(AL:AL,SMALL(IF($AL$2:$AL$301&lt;&gt;"",ROW($2:$301),302),ROW(AL133)))&amp;""</f>
        <v/>
      </c>
    </row>
    <row r="135" spans="1:39" ht="14.4" customHeight="1" x14ac:dyDescent="0.25">
      <c r="A135" s="250">
        <v>133</v>
      </c>
      <c r="B135" s="119" t="s">
        <v>6899</v>
      </c>
      <c r="C135" s="119" t="s">
        <v>6900</v>
      </c>
      <c r="E135" s="285" t="s">
        <v>6366</v>
      </c>
      <c r="F135" s="180" t="s">
        <v>6282</v>
      </c>
      <c r="G135" s="180" t="s">
        <v>6291</v>
      </c>
      <c r="H135" s="180">
        <v>1</v>
      </c>
      <c r="M135" s="180">
        <v>1</v>
      </c>
      <c r="N135" s="180" t="s">
        <v>6306</v>
      </c>
      <c r="O135" s="119" t="s">
        <v>6901</v>
      </c>
      <c r="P135" s="119">
        <v>2</v>
      </c>
      <c r="Q135" s="119" t="s">
        <v>242</v>
      </c>
      <c r="W135" s="180">
        <v>1</v>
      </c>
      <c r="X135" s="180">
        <v>1</v>
      </c>
      <c r="Z135" s="180">
        <v>9</v>
      </c>
      <c r="AA135" s="120" t="s">
        <v>6902</v>
      </c>
      <c r="AB135" s="250" t="str">
        <f t="array" ref="AB135">INDEX(B:B,SMALL(IF($Q$3:$Q$517&lt;&gt;"",ROW($3:$517),518),ROW(B134)))&amp;""</f>
        <v>印记斩</v>
      </c>
      <c r="AC135" s="394" t="str">
        <f>IFERROR(IF(AND($Q136&lt;&gt;"",IF(法术查询!$J$4="",1,INDEX($R136:$Z136,1,VLOOKUP(法术查询!$J$4,$AF$2:$AG$10,2,0)))&lt;&gt;"",IF(法术查询!$J$5="",1,$P136=VLOOKUP(法术查询!$J$5,$AH$2:$AI$11,2,0)),IF(法术查询!$J$6="",1,IF(法术查询!$J$6=$E136,1,0)),IF(法术查询!$J$7="",1,SEARCH(法术查询!$J$7,$F136)),IF(法术查询!$J$8="",1,SEARCH(法术查询!$J$8,G136)),IF(法术查询!$J$9="",1,SEARCH(法术查询!$J$9,N136)),IF(法术查询!$J$10="",1,IF(法术查询!$J$10=$AF$11,IF($M136=1,1,0),IF($M136="",1,0))),IF(法术查询!$J$11="",1,IF(法术查询!$J$11=$AF$11,IF($D136=1,1,0),IF($D136="",1,0))),IF(法术查询!$J$12="",1,SEARCH(法术查询!$J$12,$B136&amp;$C136&amp;$O136)),IF(法术查询!$J$13="",1,SEARCH(法术查询!$J$13,$B136&amp;$C136&amp;$O136)),IF(法术查询!$J$14="",1,SEARCH(法术查询!$J$14,$B136&amp;$C136&amp;$O136)),IF(法术查询!$J$16="",1,IF(法术查询!$J$16=$AF$11,IF($H136=1,1,0),IF($H136="",1,0))),IF(法术查询!$J$17="",1,IF(法术查询!$J$17=$AF$11,IF($I136=1,1,0),IF($I136="",1,0))),IF(法术查询!$J$18="",1,IF(法术查询!$J$18=$AF$11,IF($J136&lt;&gt;"",1,0),IF($J136="",1,0))),IF(法术查询!$J$19="",1,IF(法术查询!$J$19=$AF$11,IF($L136&lt;&gt;"",1,0),IF($L136="",1,0)))),$B136,""),"")</f>
        <v/>
      </c>
      <c r="AD135" s="180" t="str">
        <f t="array" ref="AD135">INDEX(AC:AC,SMALL(IF($AC$2:$AC$516&lt;&gt;"",ROW($2:$516),517),ROW(AC134)))&amp;""</f>
        <v/>
      </c>
      <c r="AE135" s="198" t="str">
        <f t="shared" si="6"/>
        <v/>
      </c>
      <c r="AJ135" s="250">
        <v>134</v>
      </c>
      <c r="AK135" s="180" t="str">
        <f>IF(法术书!AB41="","",法术书!AB41)</f>
        <v/>
      </c>
      <c r="AL135" s="119" t="str">
        <f t="array" ref="AL135">IFERROR(INDEX(AK$1:AK$301,SMALL(IF(MATCH(AK135,AK$1:AK$301,0)=ROW(AK135),ROW(AK$1:AK$301),999),ROW(AK135))),"")</f>
        <v/>
      </c>
      <c r="AM135" s="120" t="str">
        <f t="array" ref="AM135">INDEX(AL:AL,SMALL(IF($AL$2:$AL$301&lt;&gt;"",ROW($2:$301),302),ROW(AL134)))&amp;""</f>
        <v/>
      </c>
    </row>
    <row r="136" spans="1:39" ht="14.4" customHeight="1" x14ac:dyDescent="0.25">
      <c r="A136" s="250">
        <v>134</v>
      </c>
      <c r="B136" s="119" t="s">
        <v>6903</v>
      </c>
      <c r="C136" s="119" t="s">
        <v>6904</v>
      </c>
      <c r="E136" s="434" t="s">
        <v>6304</v>
      </c>
      <c r="F136" s="180" t="s">
        <v>6352</v>
      </c>
      <c r="G136" s="180" t="s">
        <v>6291</v>
      </c>
      <c r="H136" s="180">
        <v>1</v>
      </c>
      <c r="M136" s="180">
        <v>1</v>
      </c>
      <c r="N136" s="180" t="s">
        <v>6306</v>
      </c>
      <c r="O136" s="119" t="s">
        <v>6905</v>
      </c>
      <c r="P136" s="119">
        <v>2</v>
      </c>
      <c r="Q136" s="119" t="s">
        <v>242</v>
      </c>
      <c r="U136" s="180">
        <v>1</v>
      </c>
      <c r="AA136" s="120" t="s">
        <v>6906</v>
      </c>
      <c r="AB136" s="250" t="str">
        <f t="array" ref="AB136">INDEX(B:B,SMALL(IF($Q$3:$Q$517&lt;&gt;"",ROW($3:$517),518),ROW(B135)))&amp;""</f>
        <v>安定心神</v>
      </c>
      <c r="AC136" s="394" t="str">
        <f>IFERROR(IF(AND($Q137&lt;&gt;"",IF(法术查询!$J$4="",1,INDEX($R137:$Z137,1,VLOOKUP(法术查询!$J$4,$AF$2:$AG$10,2,0)))&lt;&gt;"",IF(法术查询!$J$5="",1,$P137=VLOOKUP(法术查询!$J$5,$AH$2:$AI$11,2,0)),IF(法术查询!$J$6="",1,IF(法术查询!$J$6=$E137,1,0)),IF(法术查询!$J$7="",1,SEARCH(法术查询!$J$7,$F137)),IF(法术查询!$J$8="",1,SEARCH(法术查询!$J$8,G137)),IF(法术查询!$J$9="",1,SEARCH(法术查询!$J$9,N137)),IF(法术查询!$J$10="",1,IF(法术查询!$J$10=$AF$11,IF($M137=1,1,0),IF($M137="",1,0))),IF(法术查询!$J$11="",1,IF(法术查询!$J$11=$AF$11,IF($D137=1,1,0),IF($D137="",1,0))),IF(法术查询!$J$12="",1,SEARCH(法术查询!$J$12,$B137&amp;$C137&amp;$O137)),IF(法术查询!$J$13="",1,SEARCH(法术查询!$J$13,$B137&amp;$C137&amp;$O137)),IF(法术查询!$J$14="",1,SEARCH(法术查询!$J$14,$B137&amp;$C137&amp;$O137)),IF(法术查询!$J$16="",1,IF(法术查询!$J$16=$AF$11,IF($H137=1,1,0),IF($H137="",1,0))),IF(法术查询!$J$17="",1,IF(法术查询!$J$17=$AF$11,IF($I137=1,1,0),IF($I137="",1,0))),IF(法术查询!$J$18="",1,IF(法术查询!$J$18=$AF$11,IF($J137&lt;&gt;"",1,0),IF($J137="",1,0))),IF(法术查询!$J$19="",1,IF(法术查询!$J$19=$AF$11,IF($L137&lt;&gt;"",1,0),IF($L137="",1,0)))),$B137,""),"")</f>
        <v/>
      </c>
      <c r="AD136" s="180" t="str">
        <f t="array" ref="AD136">INDEX(AC:AC,SMALL(IF($AC$2:$AC$516&lt;&gt;"",ROW($2:$516),517),ROW(AC135)))&amp;""</f>
        <v/>
      </c>
      <c r="AE136" s="198" t="str">
        <f t="shared" si="6"/>
        <v/>
      </c>
      <c r="AJ136" s="250">
        <v>135</v>
      </c>
      <c r="AK136" s="180" t="str">
        <f>IF(法术书!AB42="","",法术书!AB42)</f>
        <v/>
      </c>
      <c r="AL136" s="119" t="str">
        <f t="array" ref="AL136">IFERROR(INDEX(AK$1:AK$301,SMALL(IF(MATCH(AK136,AK$1:AK$301,0)=ROW(AK136),ROW(AK$1:AK$301),999),ROW(AK136))),"")</f>
        <v/>
      </c>
      <c r="AM136" s="120" t="str">
        <f t="array" ref="AM136">INDEX(AL:AL,SMALL(IF($AL$2:$AL$301&lt;&gt;"",ROW($2:$301),302),ROW(AL135)))&amp;""</f>
        <v/>
      </c>
    </row>
    <row r="137" spans="1:39" ht="14.4" customHeight="1" x14ac:dyDescent="0.25">
      <c r="A137" s="250">
        <v>135</v>
      </c>
      <c r="B137" s="119" t="s">
        <v>6907</v>
      </c>
      <c r="C137" s="119" t="s">
        <v>6908</v>
      </c>
      <c r="E137" s="379" t="s">
        <v>6328</v>
      </c>
      <c r="F137" s="180" t="s">
        <v>6282</v>
      </c>
      <c r="G137" s="180" t="s">
        <v>6283</v>
      </c>
      <c r="H137" s="180">
        <v>1</v>
      </c>
      <c r="I137" s="180">
        <v>1</v>
      </c>
      <c r="M137" s="180">
        <v>1</v>
      </c>
      <c r="N137" s="180" t="s">
        <v>6306</v>
      </c>
      <c r="O137" s="119" t="s">
        <v>6909</v>
      </c>
      <c r="P137" s="119">
        <v>2</v>
      </c>
      <c r="Q137" s="119" t="s">
        <v>242</v>
      </c>
      <c r="R137" s="180">
        <v>1</v>
      </c>
      <c r="S137" s="180">
        <v>1</v>
      </c>
      <c r="AA137" s="120" t="s">
        <v>6910</v>
      </c>
      <c r="AB137" s="250" t="str">
        <f t="array" ref="AB137">INDEX(B:B,SMALL(IF($Q$3:$Q$517&lt;&gt;"",ROW($3:$517),518),ROW(B136)))&amp;""</f>
        <v>匕首之云</v>
      </c>
      <c r="AC137" s="394" t="str">
        <f>IFERROR(IF(AND($Q138&lt;&gt;"",IF(法术查询!$J$4="",1,INDEX($R138:$Z138,1,VLOOKUP(法术查询!$J$4,$AF$2:$AG$10,2,0)))&lt;&gt;"",IF(法术查询!$J$5="",1,$P138=VLOOKUP(法术查询!$J$5,$AH$2:$AI$11,2,0)),IF(法术查询!$J$6="",1,IF(法术查询!$J$6=$E138,1,0)),IF(法术查询!$J$7="",1,SEARCH(法术查询!$J$7,$F138)),IF(法术查询!$J$8="",1,SEARCH(法术查询!$J$8,G138)),IF(法术查询!$J$9="",1,SEARCH(法术查询!$J$9,N138)),IF(法术查询!$J$10="",1,IF(法术查询!$J$10=$AF$11,IF($M138=1,1,0),IF($M138="",1,0))),IF(法术查询!$J$11="",1,IF(法术查询!$J$11=$AF$11,IF($D138=1,1,0),IF($D138="",1,0))),IF(法术查询!$J$12="",1,SEARCH(法术查询!$J$12,$B138&amp;$C138&amp;$O138)),IF(法术查询!$J$13="",1,SEARCH(法术查询!$J$13,$B138&amp;$C138&amp;$O138)),IF(法术查询!$J$14="",1,SEARCH(法术查询!$J$14,$B138&amp;$C138&amp;$O138)),IF(法术查询!$J$16="",1,IF(法术查询!$J$16=$AF$11,IF($H138=1,1,0),IF($H138="",1,0))),IF(法术查询!$J$17="",1,IF(法术查询!$J$17=$AF$11,IF($I138=1,1,0),IF($I138="",1,0))),IF(法术查询!$J$18="",1,IF(法术查询!$J$18=$AF$11,IF($J138&lt;&gt;"",1,0),IF($J138="",1,0))),IF(法术查询!$J$19="",1,IF(法术查询!$J$19=$AF$11,IF($L138&lt;&gt;"",1,0),IF($L138="",1,0)))),$B138,""),"")</f>
        <v/>
      </c>
      <c r="AD137" s="180" t="str">
        <f t="array" ref="AD137">INDEX(AC:AC,SMALL(IF($AC$2:$AC$516&lt;&gt;"",ROW($2:$516),517),ROW(AC136)))&amp;""</f>
        <v/>
      </c>
      <c r="AE137" s="198" t="str">
        <f t="shared" si="6"/>
        <v/>
      </c>
      <c r="AJ137" s="250">
        <v>136</v>
      </c>
      <c r="AK137" s="180" t="str">
        <f>IF(法术书!AB43="","",法术书!AB43)</f>
        <v/>
      </c>
      <c r="AL137" s="119" t="str">
        <f t="array" ref="AL137">IFERROR(INDEX(AK$1:AK$301,SMALL(IF(MATCH(AK137,AK$1:AK$301,0)=ROW(AK137),ROW(AK$1:AK$301),999),ROW(AK137))),"")</f>
        <v/>
      </c>
      <c r="AM137" s="120" t="str">
        <f t="array" ref="AM137">INDEX(AL:AL,SMALL(IF($AL$2:$AL$301&lt;&gt;"",ROW($2:$301),302),ROW(AL136)))&amp;""</f>
        <v/>
      </c>
    </row>
    <row r="138" spans="1:39" ht="14.4" customHeight="1" x14ac:dyDescent="0.25">
      <c r="A138" s="250">
        <v>136</v>
      </c>
      <c r="B138" s="119" t="s">
        <v>6911</v>
      </c>
      <c r="C138" s="119" t="s">
        <v>6912</v>
      </c>
      <c r="E138" s="378" t="s">
        <v>6281</v>
      </c>
      <c r="F138" s="180" t="s">
        <v>6282</v>
      </c>
      <c r="G138" s="180" t="s">
        <v>6283</v>
      </c>
      <c r="H138" s="180">
        <v>1</v>
      </c>
      <c r="I138" s="180">
        <v>1</v>
      </c>
      <c r="J138" s="180">
        <v>1</v>
      </c>
      <c r="K138" s="119" t="s">
        <v>6913</v>
      </c>
      <c r="M138" s="180">
        <v>1</v>
      </c>
      <c r="N138" s="180" t="s">
        <v>6306</v>
      </c>
      <c r="O138" s="119" t="s">
        <v>6914</v>
      </c>
      <c r="P138" s="119">
        <v>2</v>
      </c>
      <c r="Q138" s="119" t="s">
        <v>242</v>
      </c>
      <c r="R138" s="180">
        <v>1</v>
      </c>
      <c r="W138" s="180">
        <v>1</v>
      </c>
      <c r="X138" s="180">
        <v>1</v>
      </c>
      <c r="Y138" s="180">
        <v>1</v>
      </c>
      <c r="AA138" s="198"/>
      <c r="AB138" s="250" t="str">
        <f t="array" ref="AB138">INDEX(B:B,SMALL(IF($Q$3:$Q$517&lt;&gt;"",ROW($3:$517),518),ROW(B137)))&amp;""</f>
        <v>不灭明焰</v>
      </c>
      <c r="AC138" s="394" t="str">
        <f>IFERROR(IF(AND($Q139&lt;&gt;"",IF(法术查询!$J$4="",1,INDEX($R139:$Z139,1,VLOOKUP(法术查询!$J$4,$AF$2:$AG$10,2,0)))&lt;&gt;"",IF(法术查询!$J$5="",1,$P139=VLOOKUP(法术查询!$J$5,$AH$2:$AI$11,2,0)),IF(法术查询!$J$6="",1,IF(法术查询!$J$6=$E139,1,0)),IF(法术查询!$J$7="",1,SEARCH(法术查询!$J$7,$F139)),IF(法术查询!$J$8="",1,SEARCH(法术查询!$J$8,G139)),IF(法术查询!$J$9="",1,SEARCH(法术查询!$J$9,N139)),IF(法术查询!$J$10="",1,IF(法术查询!$J$10=$AF$11,IF($M139=1,1,0),IF($M139="",1,0))),IF(法术查询!$J$11="",1,IF(法术查询!$J$11=$AF$11,IF($D139=1,1,0),IF($D139="",1,0))),IF(法术查询!$J$12="",1,SEARCH(法术查询!$J$12,$B139&amp;$C139&amp;$O139)),IF(法术查询!$J$13="",1,SEARCH(法术查询!$J$13,$B139&amp;$C139&amp;$O139)),IF(法术查询!$J$14="",1,SEARCH(法术查询!$J$14,$B139&amp;$C139&amp;$O139)),IF(法术查询!$J$16="",1,IF(法术查询!$J$16=$AF$11,IF($H139=1,1,0),IF($H139="",1,0))),IF(法术查询!$J$17="",1,IF(法术查询!$J$17=$AF$11,IF($I139=1,1,0),IF($I139="",1,0))),IF(法术查询!$J$18="",1,IF(法术查询!$J$18=$AF$11,IF($J139&lt;&gt;"",1,0),IF($J139="",1,0))),IF(法术查询!$J$19="",1,IF(法术查询!$J$19=$AF$11,IF($L139&lt;&gt;"",1,0),IF($L139="",1,0)))),$B139,""),"")</f>
        <v/>
      </c>
      <c r="AD138" s="180" t="str">
        <f t="array" ref="AD138">INDEX(AC:AC,SMALL(IF($AC$2:$AC$516&lt;&gt;"",ROW($2:$516),517),ROW(AC137)))&amp;""</f>
        <v/>
      </c>
      <c r="AE138" s="198" t="str">
        <f t="shared" si="6"/>
        <v/>
      </c>
      <c r="AJ138" s="250">
        <v>137</v>
      </c>
      <c r="AK138" s="180" t="str">
        <f>IF(法术书!AB44="","",法术书!AB44)</f>
        <v/>
      </c>
      <c r="AL138" s="119" t="str">
        <f t="array" ref="AL138">IFERROR(INDEX(AK$1:AK$301,SMALL(IF(MATCH(AK138,AK$1:AK$301,0)=ROW(AK138),ROW(AK$1:AK$301),999),ROW(AK138))),"")</f>
        <v/>
      </c>
      <c r="AM138" s="120" t="str">
        <f t="array" ref="AM138">INDEX(AL:AL,SMALL(IF($AL$2:$AL$301&lt;&gt;"",ROW($2:$301),302),ROW(AL137)))&amp;""</f>
        <v/>
      </c>
    </row>
    <row r="139" spans="1:39" ht="14.4" customHeight="1" x14ac:dyDescent="0.25">
      <c r="A139" s="250">
        <v>137</v>
      </c>
      <c r="B139" s="119" t="s">
        <v>6915</v>
      </c>
      <c r="C139" s="119" t="s">
        <v>6916</v>
      </c>
      <c r="E139" s="434" t="s">
        <v>6304</v>
      </c>
      <c r="F139" s="180" t="s">
        <v>6282</v>
      </c>
      <c r="G139" s="180" t="s">
        <v>3682</v>
      </c>
      <c r="H139" s="180">
        <v>1</v>
      </c>
      <c r="I139" s="180">
        <v>1</v>
      </c>
      <c r="J139" s="180">
        <v>1</v>
      </c>
      <c r="L139" s="119" t="s">
        <v>6917</v>
      </c>
      <c r="N139" s="180" t="s">
        <v>6434</v>
      </c>
      <c r="O139" s="119" t="s">
        <v>6918</v>
      </c>
      <c r="P139" s="119">
        <v>2</v>
      </c>
      <c r="Q139" s="119" t="s">
        <v>242</v>
      </c>
      <c r="S139" s="180">
        <v>1</v>
      </c>
      <c r="T139" s="180" t="str">
        <f>IF(综合数据!$B$14=TRUE,"13","")</f>
        <v>13</v>
      </c>
      <c r="X139" s="180">
        <v>1</v>
      </c>
      <c r="Z139" s="180">
        <v>9</v>
      </c>
      <c r="AA139" s="198" t="s">
        <v>778</v>
      </c>
      <c r="AB139" s="250" t="str">
        <f t="array" ref="AB139">INDEX(B:B,SMALL(IF($Q$3:$Q$517&lt;&gt;"",ROW($3:$517),518),ROW(B138)))&amp;""</f>
        <v>警戒之箭</v>
      </c>
      <c r="AC139" s="394" t="str">
        <f>IFERROR(IF(AND($Q140&lt;&gt;"",IF(法术查询!$J$4="",1,INDEX($R140:$Z140,1,VLOOKUP(法术查询!$J$4,$AF$2:$AG$10,2,0)))&lt;&gt;"",IF(法术查询!$J$5="",1,$P140=VLOOKUP(法术查询!$J$5,$AH$2:$AI$11,2,0)),IF(法术查询!$J$6="",1,IF(法术查询!$J$6=$E140,1,0)),IF(法术查询!$J$7="",1,SEARCH(法术查询!$J$7,$F140)),IF(法术查询!$J$8="",1,SEARCH(法术查询!$J$8,G140)),IF(法术查询!$J$9="",1,SEARCH(法术查询!$J$9,N140)),IF(法术查询!$J$10="",1,IF(法术查询!$J$10=$AF$11,IF($M140=1,1,0),IF($M140="",1,0))),IF(法术查询!$J$11="",1,IF(法术查询!$J$11=$AF$11,IF($D140=1,1,0),IF($D140="",1,0))),IF(法术查询!$J$12="",1,SEARCH(法术查询!$J$12,$B140&amp;$C140&amp;$O140)),IF(法术查询!$J$13="",1,SEARCH(法术查询!$J$13,$B140&amp;$C140&amp;$O140)),IF(法术查询!$J$14="",1,SEARCH(法术查询!$J$14,$B140&amp;$C140&amp;$O140)),IF(法术查询!$J$16="",1,IF(法术查询!$J$16=$AF$11,IF($H140=1,1,0),IF($H140="",1,0))),IF(法术查询!$J$17="",1,IF(法术查询!$J$17=$AF$11,IF($I140=1,1,0),IF($I140="",1,0))),IF(法术查询!$J$18="",1,IF(法术查询!$J$18=$AF$11,IF($J140&lt;&gt;"",1,0),IF($J140="",1,0))),IF(法术查询!$J$19="",1,IF(法术查询!$J$19=$AF$11,IF($L140&lt;&gt;"",1,0),IF($L140="",1,0)))),$B140,""),"")</f>
        <v/>
      </c>
      <c r="AD139" s="180" t="str">
        <f t="array" ref="AD139">INDEX(AC:AC,SMALL(IF($AC$2:$AC$516&lt;&gt;"",ROW($2:$516),517),ROW(AC138)))&amp;""</f>
        <v/>
      </c>
      <c r="AE139" s="198" t="str">
        <f t="shared" si="6"/>
        <v/>
      </c>
      <c r="AJ139" s="250">
        <v>138</v>
      </c>
      <c r="AK139" s="180" t="str">
        <f>IF(法术书!AB45="","",法术书!AB45)</f>
        <v/>
      </c>
      <c r="AL139" s="119" t="str">
        <f t="array" ref="AL139">IFERROR(INDEX(AK$1:AK$301,SMALL(IF(MATCH(AK139,AK$1:AK$301,0)=ROW(AK139),ROW(AK$1:AK$301),999),ROW(AK139))),"")</f>
        <v/>
      </c>
      <c r="AM139" s="120" t="str">
        <f t="array" ref="AM139">INDEX(AL:AL,SMALL(IF($AL$2:$AL$301&lt;&gt;"",ROW($2:$301),302),ROW(AL138)))&amp;""</f>
        <v/>
      </c>
    </row>
    <row r="140" spans="1:39" ht="14.4" customHeight="1" x14ac:dyDescent="0.25">
      <c r="A140" s="250">
        <v>138</v>
      </c>
      <c r="B140" s="119" t="s">
        <v>6919</v>
      </c>
      <c r="C140" s="119" t="s">
        <v>6920</v>
      </c>
      <c r="E140" s="435" t="s">
        <v>6312</v>
      </c>
      <c r="F140" s="180" t="s">
        <v>6282</v>
      </c>
      <c r="G140" s="180" t="s">
        <v>6363</v>
      </c>
      <c r="H140" s="180">
        <v>1</v>
      </c>
      <c r="I140" s="180">
        <v>1</v>
      </c>
      <c r="J140" s="180">
        <v>1</v>
      </c>
      <c r="K140" s="119" t="s">
        <v>6921</v>
      </c>
      <c r="N140" s="180" t="s">
        <v>6388</v>
      </c>
      <c r="O140" s="119" t="s">
        <v>6922</v>
      </c>
      <c r="P140" s="119">
        <v>2</v>
      </c>
      <c r="Q140" s="119" t="s">
        <v>242</v>
      </c>
      <c r="V140" s="180">
        <v>1</v>
      </c>
      <c r="AA140" s="198"/>
      <c r="AB140" s="250" t="str">
        <f t="array" ref="AB140">INDEX(B:B,SMALL(IF($Q$3:$Q$517&lt;&gt;"",ROW($3:$517),518),ROW(B139)))&amp;""</f>
        <v>疯狂冠冕</v>
      </c>
      <c r="AC140" s="394" t="str">
        <f>IFERROR(IF(AND($Q141&lt;&gt;"",IF(法术查询!$J$4="",1,INDEX($R141:$Z141,1,VLOOKUP(法术查询!$J$4,$AF$2:$AG$10,2,0)))&lt;&gt;"",IF(法术查询!$J$5="",1,$P141=VLOOKUP(法术查询!$J$5,$AH$2:$AI$11,2,0)),IF(法术查询!$J$6="",1,IF(法术查询!$J$6=$E141,1,0)),IF(法术查询!$J$7="",1,SEARCH(法术查询!$J$7,$F141)),IF(法术查询!$J$8="",1,SEARCH(法术查询!$J$8,G141)),IF(法术查询!$J$9="",1,SEARCH(法术查询!$J$9,N141)),IF(法术查询!$J$10="",1,IF(法术查询!$J$10=$AF$11,IF($M141=1,1,0),IF($M141="",1,0))),IF(法术查询!$J$11="",1,IF(法术查询!$J$11=$AF$11,IF($D141=1,1,0),IF($D141="",1,0))),IF(法术查询!$J$12="",1,SEARCH(法术查询!$J$12,$B141&amp;$C141&amp;$O141)),IF(法术查询!$J$13="",1,SEARCH(法术查询!$J$13,$B141&amp;$C141&amp;$O141)),IF(法术查询!$J$14="",1,SEARCH(法术查询!$J$14,$B141&amp;$C141&amp;$O141)),IF(法术查询!$J$16="",1,IF(法术查询!$J$16=$AF$11,IF($H141=1,1,0),IF($H141="",1,0))),IF(法术查询!$J$17="",1,IF(法术查询!$J$17=$AF$11,IF($I141=1,1,0),IF($I141="",1,0))),IF(法术查询!$J$18="",1,IF(法术查询!$J$18=$AF$11,IF($J141&lt;&gt;"",1,0),IF($J141="",1,0))),IF(法术查询!$J$19="",1,IF(法术查询!$J$19=$AF$11,IF($L141&lt;&gt;"",1,0),IF($L141="",1,0)))),$B141,""),"")</f>
        <v/>
      </c>
      <c r="AD140" s="180" t="str">
        <f t="array" ref="AD140">INDEX(AC:AC,SMALL(IF($AC$2:$AC$516&lt;&gt;"",ROW($2:$516),517),ROW(AC139)))&amp;""</f>
        <v/>
      </c>
      <c r="AE140" s="198" t="str">
        <f t="shared" si="6"/>
        <v/>
      </c>
      <c r="AJ140" s="250">
        <v>139</v>
      </c>
      <c r="AK140" s="180" t="str">
        <f>IF(法术书!AB46="","",法术书!AB46)</f>
        <v/>
      </c>
      <c r="AL140" s="119" t="str">
        <f t="array" ref="AL140">IFERROR(INDEX(AK$1:AK$301,SMALL(IF(MATCH(AK140,AK$1:AK$301,0)=ROW(AK140),ROW(AK$1:AK$301),999),ROW(AK140))),"")</f>
        <v/>
      </c>
      <c r="AM140" s="120" t="str">
        <f t="array" ref="AM140">INDEX(AL:AL,SMALL(IF($AL$2:$AL$301&lt;&gt;"",ROW($2:$301),302),ROW(AL139)))&amp;""</f>
        <v/>
      </c>
    </row>
    <row r="141" spans="1:39" ht="14.4" customHeight="1" x14ac:dyDescent="0.25">
      <c r="A141" s="250">
        <v>139</v>
      </c>
      <c r="B141" s="119" t="s">
        <v>6923</v>
      </c>
      <c r="C141" s="119" t="s">
        <v>6924</v>
      </c>
      <c r="E141" s="379" t="s">
        <v>6328</v>
      </c>
      <c r="F141" s="180" t="s">
        <v>6282</v>
      </c>
      <c r="G141" s="180" t="s">
        <v>6298</v>
      </c>
      <c r="H141" s="180">
        <v>1</v>
      </c>
      <c r="I141" s="180">
        <v>1</v>
      </c>
      <c r="M141" s="180">
        <v>1</v>
      </c>
      <c r="N141" s="180" t="s">
        <v>6306</v>
      </c>
      <c r="O141" s="119" t="s">
        <v>6925</v>
      </c>
      <c r="P141" s="119">
        <v>2</v>
      </c>
      <c r="Q141" s="119" t="s">
        <v>242</v>
      </c>
      <c r="R141" s="180">
        <v>1</v>
      </c>
      <c r="W141" s="180">
        <v>1</v>
      </c>
      <c r="X141" s="180">
        <v>1</v>
      </c>
      <c r="Y141" s="180">
        <v>1</v>
      </c>
      <c r="AA141" s="120" t="s">
        <v>6926</v>
      </c>
      <c r="AB141" s="250" t="str">
        <f t="array" ref="AB141">INDEX(B:B,SMALL(IF($Q$3:$Q$517&lt;&gt;"",ROW($3:$517),518),ROW(B140)))&amp;""</f>
        <v>黑暗术</v>
      </c>
      <c r="AC141" s="394" t="str">
        <f>IFERROR(IF(AND($Q142&lt;&gt;"",IF(法术查询!$J$4="",1,INDEX($R142:$Z142,1,VLOOKUP(法术查询!$J$4,$AF$2:$AG$10,2,0)))&lt;&gt;"",IF(法术查询!$J$5="",1,$P142=VLOOKUP(法术查询!$J$5,$AH$2:$AI$11,2,0)),IF(法术查询!$J$6="",1,IF(法术查询!$J$6=$E142,1,0)),IF(法术查询!$J$7="",1,SEARCH(法术查询!$J$7,$F142)),IF(法术查询!$J$8="",1,SEARCH(法术查询!$J$8,G142)),IF(法术查询!$J$9="",1,SEARCH(法术查询!$J$9,N142)),IF(法术查询!$J$10="",1,IF(法术查询!$J$10=$AF$11,IF($M142=1,1,0),IF($M142="",1,0))),IF(法术查询!$J$11="",1,IF(法术查询!$J$11=$AF$11,IF($D142=1,1,0),IF($D142="",1,0))),IF(法术查询!$J$12="",1,SEARCH(法术查询!$J$12,$B142&amp;$C142&amp;$O142)),IF(法术查询!$J$13="",1,SEARCH(法术查询!$J$13,$B142&amp;$C142&amp;$O142)),IF(法术查询!$J$14="",1,SEARCH(法术查询!$J$14,$B142&amp;$C142&amp;$O142)),IF(法术查询!$J$16="",1,IF(法术查询!$J$16=$AF$11,IF($H142=1,1,0),IF($H142="",1,0))),IF(法术查询!$J$17="",1,IF(法术查询!$J$17=$AF$11,IF($I142=1,1,0),IF($I142="",1,0))),IF(法术查询!$J$18="",1,IF(法术查询!$J$18=$AF$11,IF($J142&lt;&gt;"",1,0),IF($J142="",1,0))),IF(法术查询!$J$19="",1,IF(法术查询!$J$19=$AF$11,IF($L142&lt;&gt;"",1,0),IF($L142="",1,0)))),$B142,""),"")</f>
        <v/>
      </c>
      <c r="AD141" s="180" t="str">
        <f t="array" ref="AD141">INDEX(AC:AC,SMALL(IF($AC$2:$AC$516&lt;&gt;"",ROW($2:$516),517),ROW(AC140)))&amp;""</f>
        <v/>
      </c>
      <c r="AE141" s="198" t="str">
        <f t="shared" si="6"/>
        <v/>
      </c>
      <c r="AJ141" s="250">
        <v>140</v>
      </c>
      <c r="AK141" s="180" t="str">
        <f>IF(法术书!AB47="","",法术书!AB47)</f>
        <v/>
      </c>
      <c r="AL141" s="119" t="str">
        <f t="array" ref="AL141">IFERROR(INDEX(AK$1:AK$301,SMALL(IF(MATCH(AK141,AK$1:AK$301,0)=ROW(AK141),ROW(AK$1:AK$301),999),ROW(AK141))),"")</f>
        <v/>
      </c>
      <c r="AM141" s="120" t="str">
        <f t="array" ref="AM141">INDEX(AL:AL,SMALL(IF($AL$2:$AL$301&lt;&gt;"",ROW($2:$301),302),ROW(AL140)))&amp;""</f>
        <v/>
      </c>
    </row>
    <row r="142" spans="1:39" ht="14.4" customHeight="1" x14ac:dyDescent="0.25">
      <c r="A142" s="250">
        <v>140</v>
      </c>
      <c r="B142" s="119" t="s">
        <v>6927</v>
      </c>
      <c r="C142" s="119" t="s">
        <v>6928</v>
      </c>
      <c r="E142" s="434" t="s">
        <v>6304</v>
      </c>
      <c r="F142" s="180" t="s">
        <v>6282</v>
      </c>
      <c r="G142" s="180" t="s">
        <v>6283</v>
      </c>
      <c r="H142" s="180">
        <v>1</v>
      </c>
      <c r="J142" s="180">
        <v>1</v>
      </c>
      <c r="K142" s="119" t="s">
        <v>6929</v>
      </c>
      <c r="M142" s="180">
        <v>1</v>
      </c>
      <c r="N142" s="180" t="s">
        <v>6471</v>
      </c>
      <c r="O142" s="119" t="s">
        <v>6930</v>
      </c>
      <c r="P142" s="119">
        <v>2</v>
      </c>
      <c r="Q142" s="119" t="s">
        <v>242</v>
      </c>
      <c r="W142" s="180">
        <v>1</v>
      </c>
      <c r="X142" s="180">
        <v>1</v>
      </c>
      <c r="Y142" s="180">
        <v>1</v>
      </c>
      <c r="AA142" s="120" t="s">
        <v>6931</v>
      </c>
      <c r="AB142" s="250" t="str">
        <f t="array" ref="AB142">INDEX(B:B,SMALL(IF($Q$3:$Q$517&lt;&gt;"",ROW($3:$517),518),ROW(B141)))&amp;""</f>
        <v>黑暗视觉</v>
      </c>
      <c r="AC142" s="394" t="str">
        <f>IFERROR(IF(AND($Q143&lt;&gt;"",IF(法术查询!$J$4="",1,INDEX($R143:$Z143,1,VLOOKUP(法术查询!$J$4,$AF$2:$AG$10,2,0)))&lt;&gt;"",IF(法术查询!$J$5="",1,$P143=VLOOKUP(法术查询!$J$5,$AH$2:$AI$11,2,0)),IF(法术查询!$J$6="",1,IF(法术查询!$J$6=$E143,1,0)),IF(法术查询!$J$7="",1,SEARCH(法术查询!$J$7,$F143)),IF(法术查询!$J$8="",1,SEARCH(法术查询!$J$8,G143)),IF(法术查询!$J$9="",1,SEARCH(法术查询!$J$9,N143)),IF(法术查询!$J$10="",1,IF(法术查询!$J$10=$AF$11,IF($M143=1,1,0),IF($M143="",1,0))),IF(法术查询!$J$11="",1,IF(法术查询!$J$11=$AF$11,IF($D143=1,1,0),IF($D143="",1,0))),IF(法术查询!$J$12="",1,SEARCH(法术查询!$J$12,$B143&amp;$C143&amp;$O143)),IF(法术查询!$J$13="",1,SEARCH(法术查询!$J$13,$B143&amp;$C143&amp;$O143)),IF(法术查询!$J$14="",1,SEARCH(法术查询!$J$14,$B143&amp;$C143&amp;$O143)),IF(法术查询!$J$16="",1,IF(法术查询!$J$16=$AF$11,IF($H143=1,1,0),IF($H143="",1,0))),IF(法术查询!$J$17="",1,IF(法术查询!$J$17=$AF$11,IF($I143=1,1,0),IF($I143="",1,0))),IF(法术查询!$J$18="",1,IF(法术查询!$J$18=$AF$11,IF($J143&lt;&gt;"",1,0),IF($J143="",1,0))),IF(法术查询!$J$19="",1,IF(法术查询!$J$19=$AF$11,IF($L143&lt;&gt;"",1,0),IF($L143="",1,0)))),$B143,""),"")</f>
        <v/>
      </c>
      <c r="AD142" s="180" t="str">
        <f t="array" ref="AD142">INDEX(AC:AC,SMALL(IF($AC$2:$AC$516&lt;&gt;"",ROW($2:$516),517),ROW(AC141)))&amp;""</f>
        <v/>
      </c>
      <c r="AE142" s="198" t="str">
        <f t="shared" si="6"/>
        <v/>
      </c>
      <c r="AJ142" s="250">
        <v>141</v>
      </c>
      <c r="AK142" s="180" t="str">
        <f>IF(法术书!AB48="","",法术书!AB48)</f>
        <v/>
      </c>
      <c r="AL142" s="119" t="str">
        <f t="array" ref="AL142">IFERROR(INDEX(AK$1:AK$301,SMALL(IF(MATCH(AK142,AK$1:AK$301,0)=ROW(AK142),ROW(AK$1:AK$301),999),ROW(AK142))),"")</f>
        <v/>
      </c>
      <c r="AM142" s="120" t="str">
        <f t="array" ref="AM142">INDEX(AL:AL,SMALL(IF($AL$2:$AL$301&lt;&gt;"",ROW($2:$301),302),ROW(AL141)))&amp;""</f>
        <v/>
      </c>
    </row>
    <row r="143" spans="1:39" ht="14.4" customHeight="1" x14ac:dyDescent="0.25">
      <c r="A143" s="250">
        <v>141</v>
      </c>
      <c r="B143" s="119" t="s">
        <v>823</v>
      </c>
      <c r="C143" s="119" t="s">
        <v>6932</v>
      </c>
      <c r="E143" s="435" t="s">
        <v>6312</v>
      </c>
      <c r="F143" s="180" t="s">
        <v>6282</v>
      </c>
      <c r="G143" s="180" t="s">
        <v>3682</v>
      </c>
      <c r="H143" s="180">
        <v>1</v>
      </c>
      <c r="I143" s="180">
        <v>1</v>
      </c>
      <c r="J143" s="180">
        <v>1</v>
      </c>
      <c r="K143" s="119" t="s">
        <v>6933</v>
      </c>
      <c r="N143" s="180" t="s">
        <v>6388</v>
      </c>
      <c r="O143" s="119" t="s">
        <v>6934</v>
      </c>
      <c r="P143" s="119">
        <v>2</v>
      </c>
      <c r="Q143" s="119" t="s">
        <v>242</v>
      </c>
      <c r="T143" s="180">
        <v>1</v>
      </c>
      <c r="V143" s="180">
        <v>1</v>
      </c>
      <c r="W143" s="180">
        <v>1</v>
      </c>
      <c r="X143" s="180">
        <v>1</v>
      </c>
      <c r="Z143" s="180">
        <v>9</v>
      </c>
      <c r="AA143" s="198" t="s">
        <v>1590</v>
      </c>
      <c r="AB143" s="250" t="str">
        <f t="array" ref="AB143">INDEX(B:B,SMALL(IF($Q$3:$Q$517&lt;&gt;"",ROW($3:$517),518),ROW(B142)))&amp;""</f>
        <v>侦测思想</v>
      </c>
      <c r="AC143" s="394" t="str">
        <f>IFERROR(IF(AND($Q144&lt;&gt;"",IF(法术查询!$J$4="",1,INDEX($R144:$Z144,1,VLOOKUP(法术查询!$J$4,$AF$2:$AG$10,2,0)))&lt;&gt;"",IF(法术查询!$J$5="",1,$P144=VLOOKUP(法术查询!$J$5,$AH$2:$AI$11,2,0)),IF(法术查询!$J$6="",1,IF(法术查询!$J$6=$E144,1,0)),IF(法术查询!$J$7="",1,SEARCH(法术查询!$J$7,$F144)),IF(法术查询!$J$8="",1,SEARCH(法术查询!$J$8,G144)),IF(法术查询!$J$9="",1,SEARCH(法术查询!$J$9,N144)),IF(法术查询!$J$10="",1,IF(法术查询!$J$10=$AF$11,IF($M144=1,1,0),IF($M144="",1,0))),IF(法术查询!$J$11="",1,IF(法术查询!$J$11=$AF$11,IF($D144=1,1,0),IF($D144="",1,0))),IF(法术查询!$J$12="",1,SEARCH(法术查询!$J$12,$B144&amp;$C144&amp;$O144)),IF(法术查询!$J$13="",1,SEARCH(法术查询!$J$13,$B144&amp;$C144&amp;$O144)),IF(法术查询!$J$14="",1,SEARCH(法术查询!$J$14,$B144&amp;$C144&amp;$O144)),IF(法术查询!$J$16="",1,IF(法术查询!$J$16=$AF$11,IF($H144=1,1,0),IF($H144="",1,0))),IF(法术查询!$J$17="",1,IF(法术查询!$J$17=$AF$11,IF($I144=1,1,0),IF($I144="",1,0))),IF(法术查询!$J$18="",1,IF(法术查询!$J$18=$AF$11,IF($J144&lt;&gt;"",1,0),IF($J144="",1,0))),IF(法术查询!$J$19="",1,IF(法术查询!$J$19=$AF$11,IF($L144&lt;&gt;"",1,0),IF($L144="",1,0)))),$B144,""),"")</f>
        <v/>
      </c>
      <c r="AD143" s="180" t="str">
        <f t="array" ref="AD143">INDEX(AC:AC,SMALL(IF($AC$2:$AC$516&lt;&gt;"",ROW($2:$516),517),ROW(AC142)))&amp;""</f>
        <v/>
      </c>
      <c r="AE143" s="198" t="str">
        <f t="shared" si="6"/>
        <v/>
      </c>
      <c r="AJ143" s="250">
        <v>142</v>
      </c>
      <c r="AK143" s="180" t="str">
        <f>IF(法术书!AB49="","",法术书!AB49)</f>
        <v/>
      </c>
      <c r="AL143" s="119" t="str">
        <f t="array" ref="AL143">IFERROR(INDEX(AK$1:AK$301,SMALL(IF(MATCH(AK143,AK$1:AK$301,0)=ROW(AK143),ROW(AK$1:AK$301),999),ROW(AK143))),"")</f>
        <v/>
      </c>
      <c r="AM143" s="120" t="str">
        <f t="array" ref="AM143">INDEX(AL:AL,SMALL(IF($AL$2:$AL$301&lt;&gt;"",ROW($2:$301),302),ROW(AL142)))&amp;""</f>
        <v/>
      </c>
    </row>
    <row r="144" spans="1:39" ht="14.4" customHeight="1" x14ac:dyDescent="0.25">
      <c r="A144" s="250">
        <v>142</v>
      </c>
      <c r="B144" s="119" t="s">
        <v>6935</v>
      </c>
      <c r="C144" s="119" t="s">
        <v>6936</v>
      </c>
      <c r="E144" s="438" t="s">
        <v>6335</v>
      </c>
      <c r="F144" s="180" t="s">
        <v>6282</v>
      </c>
      <c r="G144" s="180" t="s">
        <v>6291</v>
      </c>
      <c r="H144" s="180">
        <v>1</v>
      </c>
      <c r="I144" s="180">
        <v>1</v>
      </c>
      <c r="J144" s="180">
        <v>1</v>
      </c>
      <c r="K144" s="119" t="s">
        <v>6937</v>
      </c>
      <c r="M144" s="180">
        <v>1</v>
      </c>
      <c r="N144" s="180" t="s">
        <v>6306</v>
      </c>
      <c r="O144" s="119" t="s">
        <v>6938</v>
      </c>
      <c r="P144" s="119">
        <v>2</v>
      </c>
      <c r="Q144" s="119" t="s">
        <v>242</v>
      </c>
      <c r="R144" s="180">
        <v>1</v>
      </c>
      <c r="W144" s="180">
        <v>1</v>
      </c>
      <c r="X144" s="180">
        <v>1</v>
      </c>
      <c r="AA144" s="120" t="s">
        <v>6939</v>
      </c>
      <c r="AB144" s="250" t="str">
        <f t="array" ref="AB144">INDEX(B:B,SMALL(IF($Q$3:$Q$517&lt;&gt;"",ROW($3:$517),518),ROW(B143)))&amp;""</f>
        <v>强化属性</v>
      </c>
      <c r="AC144" s="394" t="str">
        <f>IFERROR(IF(AND($Q145&lt;&gt;"",IF(法术查询!$J$4="",1,INDEX($R145:$Z145,1,VLOOKUP(法术查询!$J$4,$AF$2:$AG$10,2,0)))&lt;&gt;"",IF(法术查询!$J$5="",1,$P145=VLOOKUP(法术查询!$J$5,$AH$2:$AI$11,2,0)),IF(法术查询!$J$6="",1,IF(法术查询!$J$6=$E145,1,0)),IF(法术查询!$J$7="",1,SEARCH(法术查询!$J$7,$F145)),IF(法术查询!$J$8="",1,SEARCH(法术查询!$J$8,G145)),IF(法术查询!$J$9="",1,SEARCH(法术查询!$J$9,N145)),IF(法术查询!$J$10="",1,IF(法术查询!$J$10=$AF$11,IF($M145=1,1,0),IF($M145="",1,0))),IF(法术查询!$J$11="",1,IF(法术查询!$J$11=$AF$11,IF($D145=1,1,0),IF($D145="",1,0))),IF(法术查询!$J$12="",1,SEARCH(法术查询!$J$12,$B145&amp;$C145&amp;$O145)),IF(法术查询!$J$13="",1,SEARCH(法术查询!$J$13,$B145&amp;$C145&amp;$O145)),IF(法术查询!$J$14="",1,SEARCH(法术查询!$J$14,$B145&amp;$C145&amp;$O145)),IF(法术查询!$J$16="",1,IF(法术查询!$J$16=$AF$11,IF($H145=1,1,0),IF($H145="",1,0))),IF(法术查询!$J$17="",1,IF(法术查询!$J$17=$AF$11,IF($I145=1,1,0),IF($I145="",1,0))),IF(法术查询!$J$18="",1,IF(法术查询!$J$18=$AF$11,IF($J145&lt;&gt;"",1,0),IF($J145="",1,0))),IF(法术查询!$J$19="",1,IF(法术查询!$J$19=$AF$11,IF($L145&lt;&gt;"",1,0),IF($L145="",1,0)))),$B145,""),"")</f>
        <v/>
      </c>
      <c r="AD144" s="180" t="str">
        <f t="array" ref="AD144">INDEX(AC:AC,SMALL(IF($AC$2:$AC$516&lt;&gt;"",ROW($2:$516),517),ROW(AC143)))&amp;""</f>
        <v/>
      </c>
      <c r="AE144" s="198" t="str">
        <f t="shared" si="6"/>
        <v/>
      </c>
      <c r="AJ144" s="250">
        <v>143</v>
      </c>
      <c r="AK144" s="180" t="str">
        <f>IF(法术书!AB50="","",法术书!AB50)</f>
        <v/>
      </c>
      <c r="AL144" s="119" t="str">
        <f t="array" ref="AL144">IFERROR(INDEX(AK$1:AK$301,SMALL(IF(MATCH(AK144,AK$1:AK$301,0)=ROW(AK144),ROW(AK$1:AK$301),999),ROW(AK144))),"")</f>
        <v/>
      </c>
      <c r="AM144" s="120" t="str">
        <f t="array" ref="AM144">INDEX(AL:AL,SMALL(IF($AL$2:$AL$301&lt;&gt;"",ROW($2:$301),302),ROW(AL143)))&amp;""</f>
        <v/>
      </c>
    </row>
    <row r="145" spans="1:39" ht="14.4" customHeight="1" x14ac:dyDescent="0.25">
      <c r="A145" s="250">
        <v>143</v>
      </c>
      <c r="B145" s="119" t="s">
        <v>6940</v>
      </c>
      <c r="C145" s="119" t="s">
        <v>6941</v>
      </c>
      <c r="E145" s="435" t="s">
        <v>6312</v>
      </c>
      <c r="F145" s="180" t="s">
        <v>6282</v>
      </c>
      <c r="G145" s="180" t="s">
        <v>3682</v>
      </c>
      <c r="H145" s="180">
        <v>1</v>
      </c>
      <c r="I145" s="180">
        <v>1</v>
      </c>
      <c r="J145" s="180">
        <v>1</v>
      </c>
      <c r="K145" s="119" t="s">
        <v>6942</v>
      </c>
      <c r="M145" s="180">
        <v>1</v>
      </c>
      <c r="N145" s="180" t="s">
        <v>6379</v>
      </c>
      <c r="O145" s="119" t="s">
        <v>6943</v>
      </c>
      <c r="P145" s="119">
        <v>2</v>
      </c>
      <c r="Q145" s="119" t="s">
        <v>242</v>
      </c>
      <c r="R145" s="180">
        <v>1</v>
      </c>
      <c r="S145" s="180">
        <v>1</v>
      </c>
      <c r="T145" s="180">
        <v>1</v>
      </c>
      <c r="V145" s="180" t="str">
        <f>IF(综合数据!$B$14=TRUE,"13","")</f>
        <v>13</v>
      </c>
      <c r="W145" s="180">
        <v>1</v>
      </c>
      <c r="X145" s="180" t="str">
        <f>IF(综合数据!$B$14=TRUE,"13","")</f>
        <v>13</v>
      </c>
      <c r="Z145" s="180">
        <v>9</v>
      </c>
      <c r="AA145" s="120" t="s">
        <v>6944</v>
      </c>
      <c r="AB145" s="250" t="str">
        <f t="array" ref="AB145">INDEX(B:B,SMALL(IF($Q$3:$Q$517&lt;&gt;"",ROW($3:$517),518),ROW(B144)))&amp;""</f>
        <v>变巨/缩小术</v>
      </c>
      <c r="AC145" s="394" t="str">
        <f>IFERROR(IF(AND($Q146&lt;&gt;"",IF(法术查询!$J$4="",1,INDEX($R146:$Z146,1,VLOOKUP(法术查询!$J$4,$AF$2:$AG$10,2,0)))&lt;&gt;"",IF(法术查询!$J$5="",1,$P146=VLOOKUP(法术查询!$J$5,$AH$2:$AI$11,2,0)),IF(法术查询!$J$6="",1,IF(法术查询!$J$6=$E146,1,0)),IF(法术查询!$J$7="",1,SEARCH(法术查询!$J$7,$F146)),IF(法术查询!$J$8="",1,SEARCH(法术查询!$J$8,G146)),IF(法术查询!$J$9="",1,SEARCH(法术查询!$J$9,N146)),IF(法术查询!$J$10="",1,IF(法术查询!$J$10=$AF$11,IF($M146=1,1,0),IF($M146="",1,0))),IF(法术查询!$J$11="",1,IF(法术查询!$J$11=$AF$11,IF($D146=1,1,0),IF($D146="",1,0))),IF(法术查询!$J$12="",1,SEARCH(法术查询!$J$12,$B146&amp;$C146&amp;$O146)),IF(法术查询!$J$13="",1,SEARCH(法术查询!$J$13,$B146&amp;$C146&amp;$O146)),IF(法术查询!$J$14="",1,SEARCH(法术查询!$J$14,$B146&amp;$C146&amp;$O146)),IF(法术查询!$J$16="",1,IF(法术查询!$J$16=$AF$11,IF($H146=1,1,0),IF($H146="",1,0))),IF(法术查询!$J$17="",1,IF(法术查询!$J$17=$AF$11,IF($I146=1,1,0),IF($I146="",1,0))),IF(法术查询!$J$18="",1,IF(法术查询!$J$18=$AF$11,IF($J146&lt;&gt;"",1,0),IF($J146="",1,0))),IF(法术查询!$J$19="",1,IF(法术查询!$J$19=$AF$11,IF($L146&lt;&gt;"",1,0),IF($L146="",1,0)))),$B146,""),"")</f>
        <v/>
      </c>
      <c r="AD145" s="180" t="str">
        <f t="array" ref="AD145">INDEX(AC:AC,SMALL(IF($AC$2:$AC$516&lt;&gt;"",ROW($2:$516),517),ROW(AC144)))&amp;""</f>
        <v/>
      </c>
      <c r="AE145" s="198" t="str">
        <f t="shared" si="6"/>
        <v/>
      </c>
      <c r="AJ145" s="250">
        <v>144</v>
      </c>
      <c r="AK145" s="180" t="str">
        <f>IF(法术书!AB51="","",法术书!AB51)</f>
        <v/>
      </c>
      <c r="AL145" s="119" t="str">
        <f t="array" ref="AL145">IFERROR(INDEX(AK$1:AK$301,SMALL(IF(MATCH(AK145,AK$1:AK$301,0)=ROW(AK145),ROW(AK$1:AK$301),999),ROW(AK145))),"")</f>
        <v/>
      </c>
      <c r="AM145" s="120" t="str">
        <f t="array" ref="AM145">INDEX(AL:AL,SMALL(IF($AL$2:$AL$301&lt;&gt;"",ROW($2:$301),302),ROW(AL144)))&amp;""</f>
        <v/>
      </c>
    </row>
    <row r="146" spans="1:39" ht="14.4" customHeight="1" x14ac:dyDescent="0.25">
      <c r="A146" s="250">
        <v>144</v>
      </c>
      <c r="B146" s="119" t="s">
        <v>6945</v>
      </c>
      <c r="C146" s="119" t="s">
        <v>6946</v>
      </c>
      <c r="E146" s="435" t="s">
        <v>6312</v>
      </c>
      <c r="F146" s="180" t="s">
        <v>6282</v>
      </c>
      <c r="G146" s="180" t="s">
        <v>6313</v>
      </c>
      <c r="H146" s="180">
        <v>1</v>
      </c>
      <c r="I146" s="180">
        <v>1</v>
      </c>
      <c r="J146" s="180">
        <v>1</v>
      </c>
      <c r="K146" s="119" t="s">
        <v>6947</v>
      </c>
      <c r="M146" s="180">
        <v>1</v>
      </c>
      <c r="N146" s="180" t="s">
        <v>6306</v>
      </c>
      <c r="O146" s="119" t="s">
        <v>6948</v>
      </c>
      <c r="P146" s="119">
        <v>2</v>
      </c>
      <c r="Q146" s="119" t="s">
        <v>242</v>
      </c>
      <c r="R146" s="180" t="str">
        <f>IF(综合数据!$B$14=TRUE,"13","")</f>
        <v>13</v>
      </c>
      <c r="T146" s="180" t="str">
        <f>IF(综合数据!$B$14=TRUE,"13","")</f>
        <v>13</v>
      </c>
      <c r="W146" s="180">
        <v>1</v>
      </c>
      <c r="X146" s="180">
        <v>1</v>
      </c>
      <c r="Z146" s="180">
        <v>9</v>
      </c>
      <c r="AA146" s="120" t="s">
        <v>6949</v>
      </c>
      <c r="AB146" s="250" t="str">
        <f t="array" ref="AB146">INDEX(B:B,SMALL(IF($Q$3:$Q$517&lt;&gt;"",ROW($3:$517),518),ROW(B145)))&amp;""</f>
        <v>注目术</v>
      </c>
      <c r="AC146" s="394" t="str">
        <f>IFERROR(IF(AND($Q147&lt;&gt;"",IF(法术查询!$J$4="",1,INDEX($R147:$Z147,1,VLOOKUP(法术查询!$J$4,$AF$2:$AG$10,2,0)))&lt;&gt;"",IF(法术查询!$J$5="",1,$P147=VLOOKUP(法术查询!$J$5,$AH$2:$AI$11,2,0)),IF(法术查询!$J$6="",1,IF(法术查询!$J$6=$E147,1,0)),IF(法术查询!$J$7="",1,SEARCH(法术查询!$J$7,$F147)),IF(法术查询!$J$8="",1,SEARCH(法术查询!$J$8,G147)),IF(法术查询!$J$9="",1,SEARCH(法术查询!$J$9,N147)),IF(法术查询!$J$10="",1,IF(法术查询!$J$10=$AF$11,IF($M147=1,1,0),IF($M147="",1,0))),IF(法术查询!$J$11="",1,IF(法术查询!$J$11=$AF$11,IF($D147=1,1,0),IF($D147="",1,0))),IF(法术查询!$J$12="",1,SEARCH(法术查询!$J$12,$B147&amp;$C147&amp;$O147)),IF(法术查询!$J$13="",1,SEARCH(法术查询!$J$13,$B147&amp;$C147&amp;$O147)),IF(法术查询!$J$14="",1,SEARCH(法术查询!$J$14,$B147&amp;$C147&amp;$O147)),IF(法术查询!$J$16="",1,IF(法术查询!$J$16=$AF$11,IF($H147=1,1,0),IF($H147="",1,0))),IF(法术查询!$J$17="",1,IF(法术查询!$J$17=$AF$11,IF($I147=1,1,0),IF($I147="",1,0))),IF(法术查询!$J$18="",1,IF(法术查询!$J$18=$AF$11,IF($J147&lt;&gt;"",1,0),IF($J147="",1,0))),IF(法术查询!$J$19="",1,IF(法术查询!$J$19=$AF$11,IF($L147&lt;&gt;"",1,0),IF($L147="",1,0)))),$B147,""),"")</f>
        <v/>
      </c>
      <c r="AD146" s="180" t="str">
        <f t="array" ref="AD146">INDEX(AC:AC,SMALL(IF($AC$2:$AC$516&lt;&gt;"",ROW($2:$516),517),ROW(AC145)))&amp;""</f>
        <v/>
      </c>
      <c r="AE146" s="198" t="str">
        <f t="shared" si="6"/>
        <v/>
      </c>
      <c r="AJ146" s="250">
        <v>145</v>
      </c>
      <c r="AK146" s="180" t="str">
        <f>IF(法术书!AB52="","",法术书!AB52)</f>
        <v/>
      </c>
      <c r="AL146" s="119" t="str">
        <f t="array" ref="AL146">IFERROR(INDEX(AK$1:AK$301,SMALL(IF(MATCH(AK146,AK$1:AK$301,0)=ROW(AK146),ROW(AK$1:AK$301),999),ROW(AK146))),"")</f>
        <v/>
      </c>
      <c r="AM146" s="120" t="str">
        <f t="array" ref="AM146">INDEX(AL:AL,SMALL(IF($AL$2:$AL$301&lt;&gt;"",ROW($2:$301),302),ROW(AL145)))&amp;""</f>
        <v/>
      </c>
    </row>
    <row r="147" spans="1:39" ht="14.4" customHeight="1" x14ac:dyDescent="0.25">
      <c r="A147" s="250">
        <v>145</v>
      </c>
      <c r="B147" s="119" t="s">
        <v>6950</v>
      </c>
      <c r="C147" s="119" t="s">
        <v>6951</v>
      </c>
      <c r="E147" s="379" t="s">
        <v>6328</v>
      </c>
      <c r="F147" s="180" t="s">
        <v>6282</v>
      </c>
      <c r="G147" s="180" t="s">
        <v>6283</v>
      </c>
      <c r="H147" s="180">
        <v>1</v>
      </c>
      <c r="I147" s="180">
        <v>1</v>
      </c>
      <c r="N147" s="180" t="s">
        <v>6349</v>
      </c>
      <c r="O147" s="119" t="s">
        <v>6952</v>
      </c>
      <c r="P147" s="119">
        <v>2</v>
      </c>
      <c r="Q147" s="119" t="s">
        <v>242</v>
      </c>
      <c r="R147" s="180">
        <v>1</v>
      </c>
      <c r="Y147" s="180">
        <v>1</v>
      </c>
      <c r="AA147" s="120" t="s">
        <v>6953</v>
      </c>
      <c r="AB147" s="250" t="str">
        <f t="array" ref="AB147">INDEX(B:B,SMALL(IF($Q$3:$Q$517&lt;&gt;"",ROW($3:$517),518),ROW(B146)))&amp;""</f>
        <v>召唤坐骑</v>
      </c>
      <c r="AC147" s="394" t="str">
        <f>IFERROR(IF(AND($Q148&lt;&gt;"",IF(法术查询!$J$4="",1,INDEX($R148:$Z148,1,VLOOKUP(法术查询!$J$4,$AF$2:$AG$10,2,0)))&lt;&gt;"",IF(法术查询!$J$5="",1,$P148=VLOOKUP(法术查询!$J$5,$AH$2:$AI$11,2,0)),IF(法术查询!$J$6="",1,IF(法术查询!$J$6=$E148,1,0)),IF(法术查询!$J$7="",1,SEARCH(法术查询!$J$7,$F148)),IF(法术查询!$J$8="",1,SEARCH(法术查询!$J$8,G148)),IF(法术查询!$J$9="",1,SEARCH(法术查询!$J$9,N148)),IF(法术查询!$J$10="",1,IF(法术查询!$J$10=$AF$11,IF($M148=1,1,0),IF($M148="",1,0))),IF(法术查询!$J$11="",1,IF(法术查询!$J$11=$AF$11,IF($D148=1,1,0),IF($D148="",1,0))),IF(法术查询!$J$12="",1,SEARCH(法术查询!$J$12,$B148&amp;$C148&amp;$O148)),IF(法术查询!$J$13="",1,SEARCH(法术查询!$J$13,$B148&amp;$C148&amp;$O148)),IF(法术查询!$J$14="",1,SEARCH(法术查询!$J$14,$B148&amp;$C148&amp;$O148)),IF(法术查询!$J$16="",1,IF(法术查询!$J$16=$AF$11,IF($H148=1,1,0),IF($H148="",1,0))),IF(法术查询!$J$17="",1,IF(法术查询!$J$17=$AF$11,IF($I148=1,1,0),IF($I148="",1,0))),IF(法术查询!$J$18="",1,IF(法术查询!$J$18=$AF$11,IF($J148&lt;&gt;"",1,0),IF($J148="",1,0))),IF(法术查询!$J$19="",1,IF(法术查询!$J$19=$AF$11,IF($L148&lt;&gt;"",1,0),IF($L148="",1,0)))),$B148,""),"")</f>
        <v/>
      </c>
      <c r="AD147" s="180" t="str">
        <f t="array" ref="AD147">INDEX(AC:AC,SMALL(IF($AC$2:$AC$516&lt;&gt;"",ROW($2:$516),517),ROW(AC146)))&amp;""</f>
        <v/>
      </c>
      <c r="AE147" s="198" t="str">
        <f t="shared" si="6"/>
        <v/>
      </c>
      <c r="AJ147" s="250">
        <v>146</v>
      </c>
      <c r="AK147" s="180" t="str">
        <f>IF(法术书!AB53="","",法术书!AB53)</f>
        <v/>
      </c>
      <c r="AL147" s="119" t="str">
        <f t="array" ref="AL147">IFERROR(INDEX(AK$1:AK$301,SMALL(IF(MATCH(AK147,AK$1:AK$301,0)=ROW(AK147),ROW(AK$1:AK$301),999),ROW(AK147))),"")</f>
        <v/>
      </c>
      <c r="AM147" s="120" t="str">
        <f t="array" ref="AM147">INDEX(AL:AL,SMALL(IF($AL$2:$AL$301&lt;&gt;"",ROW($2:$301),302),ROW(AL146)))&amp;""</f>
        <v/>
      </c>
    </row>
    <row r="148" spans="1:39" ht="14.4" customHeight="1" x14ac:dyDescent="0.25">
      <c r="A148" s="250">
        <v>146</v>
      </c>
      <c r="B148" s="119" t="s">
        <v>6954</v>
      </c>
      <c r="C148" s="119" t="s">
        <v>6955</v>
      </c>
      <c r="E148" s="378" t="s">
        <v>6281</v>
      </c>
      <c r="F148" s="180" t="s">
        <v>6371</v>
      </c>
      <c r="G148" s="180" t="s">
        <v>6313</v>
      </c>
      <c r="H148" s="180">
        <v>1</v>
      </c>
      <c r="I148" s="180">
        <v>1</v>
      </c>
      <c r="N148" s="180" t="s">
        <v>6284</v>
      </c>
      <c r="O148" s="119" t="s">
        <v>6956</v>
      </c>
      <c r="P148" s="119">
        <v>2</v>
      </c>
      <c r="Q148" s="119" t="s">
        <v>242</v>
      </c>
      <c r="U148" s="180">
        <v>1</v>
      </c>
      <c r="AA148" s="198"/>
      <c r="AB148" s="250" t="str">
        <f t="array" ref="AB148">INDEX(B:B,SMALL(IF($Q$3:$Q$517&lt;&gt;"",ROW($3:$517),518),ROW(B147)))&amp;""</f>
        <v>寻找陷阱</v>
      </c>
      <c r="AC148" s="394" t="str">
        <f>IFERROR(IF(AND($Q149&lt;&gt;"",IF(法术查询!$J$4="",1,INDEX($R149:$Z149,1,VLOOKUP(法术查询!$J$4,$AF$2:$AG$10,2,0)))&lt;&gt;"",IF(法术查询!$J$5="",1,$P149=VLOOKUP(法术查询!$J$5,$AH$2:$AI$11,2,0)),IF(法术查询!$J$6="",1,IF(法术查询!$J$6=$E149,1,0)),IF(法术查询!$J$7="",1,SEARCH(法术查询!$J$7,$F149)),IF(法术查询!$J$8="",1,SEARCH(法术查询!$J$8,G149)),IF(法术查询!$J$9="",1,SEARCH(法术查询!$J$9,N149)),IF(法术查询!$J$10="",1,IF(法术查询!$J$10=$AF$11,IF($M149=1,1,0),IF($M149="",1,0))),IF(法术查询!$J$11="",1,IF(法术查询!$J$11=$AF$11,IF($D149=1,1,0),IF($D149="",1,0))),IF(法术查询!$J$12="",1,SEARCH(法术查询!$J$12,$B149&amp;$C149&amp;$O149)),IF(法术查询!$J$13="",1,SEARCH(法术查询!$J$13,$B149&amp;$C149&amp;$O149)),IF(法术查询!$J$14="",1,SEARCH(法术查询!$J$14,$B149&amp;$C149&amp;$O149)),IF(法术查询!$J$16="",1,IF(法术查询!$J$16=$AF$11,IF($H149=1,1,0),IF($H149="",1,0))),IF(法术查询!$J$17="",1,IF(法术查询!$J$17=$AF$11,IF($I149=1,1,0),IF($I149="",1,0))),IF(法术查询!$J$18="",1,IF(法术查询!$J$18=$AF$11,IF($J149&lt;&gt;"",1,0),IF($J149="",1,0))),IF(法术查询!$J$19="",1,IF(法术查询!$J$19=$AF$11,IF($L149&lt;&gt;"",1,0),IF($L149="",1,0)))),$B149,""),"")</f>
        <v/>
      </c>
      <c r="AD148" s="180" t="str">
        <f t="array" ref="AD148">INDEX(AC:AC,SMALL(IF($AC$2:$AC$516&lt;&gt;"",ROW($2:$516),517),ROW(AC147)))&amp;""</f>
        <v/>
      </c>
      <c r="AE148" s="198" t="str">
        <f t="shared" si="6"/>
        <v/>
      </c>
      <c r="AJ148" s="250">
        <v>147</v>
      </c>
      <c r="AK148" s="180" t="str">
        <f>IF(法术书!AB54="","",法术书!AB54)</f>
        <v/>
      </c>
      <c r="AL148" s="119" t="str">
        <f t="array" ref="AL148">IFERROR(INDEX(AK$1:AK$301,SMALL(IF(MATCH(AK148,AK$1:AK$301,0)=ROW(AK148),ROW(AK$1:AK$301),999),ROW(AK148))),"")</f>
        <v/>
      </c>
      <c r="AM148" s="120" t="str">
        <f t="array" ref="AM148">INDEX(AL:AL,SMALL(IF($AL$2:$AL$301&lt;&gt;"",ROW($2:$301),302),ROW(AL147)))&amp;""</f>
        <v/>
      </c>
    </row>
    <row r="149" spans="1:39" ht="14.4" customHeight="1" x14ac:dyDescent="0.25">
      <c r="A149" s="250">
        <v>147</v>
      </c>
      <c r="B149" s="119" t="s">
        <v>6957</v>
      </c>
      <c r="C149" s="119" t="s">
        <v>6958</v>
      </c>
      <c r="E149" s="438" t="s">
        <v>6335</v>
      </c>
      <c r="F149" s="180" t="s">
        <v>6282</v>
      </c>
      <c r="G149" s="180" t="s">
        <v>6298</v>
      </c>
      <c r="H149" s="180">
        <v>1</v>
      </c>
      <c r="I149" s="180">
        <v>1</v>
      </c>
      <c r="N149" s="180" t="s">
        <v>6284</v>
      </c>
      <c r="O149" s="119" t="s">
        <v>6959</v>
      </c>
      <c r="P149" s="119">
        <v>2</v>
      </c>
      <c r="Q149" s="119" t="s">
        <v>242</v>
      </c>
      <c r="S149" s="180">
        <v>1</v>
      </c>
      <c r="T149" s="180">
        <v>1</v>
      </c>
      <c r="V149" s="180">
        <v>1</v>
      </c>
      <c r="AA149" s="198" t="s">
        <v>817</v>
      </c>
      <c r="AB149" s="250" t="str">
        <f t="array" ref="AB149">INDEX(B:B,SMALL(IF($Q$3:$Q$517&lt;&gt;"",ROW($3:$517),518),ROW(B148)))&amp;""</f>
        <v>火焰刀</v>
      </c>
      <c r="AC149" s="394" t="str">
        <f>IFERROR(IF(AND($Q150&lt;&gt;"",IF(法术查询!$J$4="",1,INDEX($R150:$Z150,1,VLOOKUP(法术查询!$J$4,$AF$2:$AG$10,2,0)))&lt;&gt;"",IF(法术查询!$J$5="",1,$P150=VLOOKUP(法术查询!$J$5,$AH$2:$AI$11,2,0)),IF(法术查询!$J$6="",1,IF(法术查询!$J$6=$E150,1,0)),IF(法术查询!$J$7="",1,SEARCH(法术查询!$J$7,$F150)),IF(法术查询!$J$8="",1,SEARCH(法术查询!$J$8,G150)),IF(法术查询!$J$9="",1,SEARCH(法术查询!$J$9,N150)),IF(法术查询!$J$10="",1,IF(法术查询!$J$10=$AF$11,IF($M150=1,1,0),IF($M150="",1,0))),IF(法术查询!$J$11="",1,IF(法术查询!$J$11=$AF$11,IF($D150=1,1,0),IF($D150="",1,0))),IF(法术查询!$J$12="",1,SEARCH(法术查询!$J$12,$B150&amp;$C150&amp;$O150)),IF(法术查询!$J$13="",1,SEARCH(法术查询!$J$13,$B150&amp;$C150&amp;$O150)),IF(法术查询!$J$14="",1,SEARCH(法术查询!$J$14,$B150&amp;$C150&amp;$O150)),IF(法术查询!$J$16="",1,IF(法术查询!$J$16=$AF$11,IF($H150=1,1,0),IF($H150="",1,0))),IF(法术查询!$J$17="",1,IF(法术查询!$J$17=$AF$11,IF($I150=1,1,0),IF($I150="",1,0))),IF(法术查询!$J$18="",1,IF(法术查询!$J$18=$AF$11,IF($J150&lt;&gt;"",1,0),IF($J150="",1,0))),IF(法术查询!$J$19="",1,IF(法术查询!$J$19=$AF$11,IF($L150&lt;&gt;"",1,0),IF($L150="",1,0)))),$B150,""),"")</f>
        <v/>
      </c>
      <c r="AD149" s="180" t="str">
        <f t="array" ref="AD149">INDEX(AC:AC,SMALL(IF($AC$2:$AC$516&lt;&gt;"",ROW($2:$516),517),ROW(AC148)))&amp;""</f>
        <v/>
      </c>
      <c r="AE149" s="198" t="str">
        <f t="shared" si="6"/>
        <v/>
      </c>
      <c r="AJ149" s="250">
        <v>148</v>
      </c>
      <c r="AK149" s="180" t="str">
        <f>IF(法术书!AB55="","",法术书!AB55)</f>
        <v/>
      </c>
      <c r="AL149" s="119" t="str">
        <f t="array" ref="AL149">IFERROR(INDEX(AK$1:AK$301,SMALL(IF(MATCH(AK149,AK$1:AK$301,0)=ROW(AK149),ROW(AK$1:AK$301),999),ROW(AK149))),"")</f>
        <v/>
      </c>
      <c r="AM149" s="120" t="str">
        <f t="array" ref="AM149">INDEX(AL:AL,SMALL(IF($AL$2:$AL$301&lt;&gt;"",ROW($2:$301),302),ROW(AL148)))&amp;""</f>
        <v/>
      </c>
    </row>
    <row r="150" spans="1:39" ht="14.4" customHeight="1" x14ac:dyDescent="0.25">
      <c r="A150" s="250">
        <v>148</v>
      </c>
      <c r="B150" s="119" t="s">
        <v>6960</v>
      </c>
      <c r="C150" s="119" t="s">
        <v>6961</v>
      </c>
      <c r="E150" s="434" t="s">
        <v>6304</v>
      </c>
      <c r="F150" s="180" t="s">
        <v>6352</v>
      </c>
      <c r="G150" s="180" t="s">
        <v>6291</v>
      </c>
      <c r="H150" s="180">
        <v>1</v>
      </c>
      <c r="I150" s="180">
        <v>1</v>
      </c>
      <c r="J150" s="180">
        <v>1</v>
      </c>
      <c r="K150" s="119" t="s">
        <v>6962</v>
      </c>
      <c r="M150" s="180">
        <v>1</v>
      </c>
      <c r="N150" s="180" t="s">
        <v>6471</v>
      </c>
      <c r="O150" s="119" t="s">
        <v>6963</v>
      </c>
      <c r="P150" s="119">
        <v>2</v>
      </c>
      <c r="Q150" s="119" t="s">
        <v>242</v>
      </c>
      <c r="T150" s="180">
        <v>1</v>
      </c>
      <c r="W150" s="180" t="str">
        <f>IF(综合数据!$B$14=TRUE,"13","")</f>
        <v>13</v>
      </c>
      <c r="AA150" s="120" t="s">
        <v>6964</v>
      </c>
      <c r="AB150" s="250" t="str">
        <f t="array" ref="AB150">INDEX(B:B,SMALL(IF($Q$3:$Q$517&lt;&gt;"",ROW($3:$517),518),ROW(B149)))&amp;""</f>
        <v>炽焰法球</v>
      </c>
      <c r="AC150" s="394" t="str">
        <f>IFERROR(IF(AND($Q151&lt;&gt;"",IF(法术查询!$J$4="",1,INDEX($R151:$Z151,1,VLOOKUP(法术查询!$J$4,$AF$2:$AG$10,2,0)))&lt;&gt;"",IF(法术查询!$J$5="",1,$P151=VLOOKUP(法术查询!$J$5,$AH$2:$AI$11,2,0)),IF(法术查询!$J$6="",1,IF(法术查询!$J$6=$E151,1,0)),IF(法术查询!$J$7="",1,SEARCH(法术查询!$J$7,$F151)),IF(法术查询!$J$8="",1,SEARCH(法术查询!$J$8,G151)),IF(法术查询!$J$9="",1,SEARCH(法术查询!$J$9,N151)),IF(法术查询!$J$10="",1,IF(法术查询!$J$10=$AF$11,IF($M151=1,1,0),IF($M151="",1,0))),IF(法术查询!$J$11="",1,IF(法术查询!$J$11=$AF$11,IF($D151=1,1,0),IF($D151="",1,0))),IF(法术查询!$J$12="",1,SEARCH(法术查询!$J$12,$B151&amp;$C151&amp;$O151)),IF(法术查询!$J$13="",1,SEARCH(法术查询!$J$13,$B151&amp;$C151&amp;$O151)),IF(法术查询!$J$14="",1,SEARCH(法术查询!$J$14,$B151&amp;$C151&amp;$O151)),IF(法术查询!$J$16="",1,IF(法术查询!$J$16=$AF$11,IF($H151=1,1,0),IF($H151="",1,0))),IF(法术查询!$J$17="",1,IF(法术查询!$J$17=$AF$11,IF($I151=1,1,0),IF($I151="",1,0))),IF(法术查询!$J$18="",1,IF(法术查询!$J$18=$AF$11,IF($J151&lt;&gt;"",1,0),IF($J151="",1,0))),IF(法术查询!$J$19="",1,IF(法术查询!$J$19=$AF$11,IF($L151&lt;&gt;"",1,0),IF($L151="",1,0)))),$B151,""),"")</f>
        <v/>
      </c>
      <c r="AD150" s="180" t="str">
        <f t="array" ref="AD150">INDEX(AC:AC,SMALL(IF($AC$2:$AC$516&lt;&gt;"",ROW($2:$516),517),ROW(AC149)))&amp;""</f>
        <v/>
      </c>
      <c r="AE150" s="198" t="str">
        <f t="shared" si="6"/>
        <v/>
      </c>
      <c r="AJ150" s="250">
        <v>149</v>
      </c>
      <c r="AK150" s="180" t="str">
        <f>IF(法术书!AB56="","",法术书!AB56)</f>
        <v/>
      </c>
      <c r="AL150" s="119" t="str">
        <f t="array" ref="AL150">IFERROR(INDEX(AK$1:AK$301,SMALL(IF(MATCH(AK150,AK$1:AK$301,0)=ROW(AK150),ROW(AK$1:AK$301),999),ROW(AK150))),"")</f>
        <v/>
      </c>
      <c r="AM150" s="120" t="str">
        <f t="array" ref="AM150">INDEX(AL:AL,SMALL(IF($AL$2:$AL$301&lt;&gt;"",ROW($2:$301),302),ROW(AL149)))&amp;""</f>
        <v/>
      </c>
    </row>
    <row r="151" spans="1:39" ht="14.4" customHeight="1" x14ac:dyDescent="0.25">
      <c r="A151" s="250">
        <v>149</v>
      </c>
      <c r="B151" s="119" t="s">
        <v>6965</v>
      </c>
      <c r="C151" s="119" t="s">
        <v>6966</v>
      </c>
      <c r="E151" s="378" t="s">
        <v>6281</v>
      </c>
      <c r="F151" s="180" t="s">
        <v>6282</v>
      </c>
      <c r="G151" s="180" t="s">
        <v>6283</v>
      </c>
      <c r="H151" s="180">
        <v>1</v>
      </c>
      <c r="I151" s="180">
        <v>1</v>
      </c>
      <c r="J151" s="180">
        <v>1</v>
      </c>
      <c r="K151" s="119" t="s">
        <v>6967</v>
      </c>
      <c r="M151" s="180">
        <v>1</v>
      </c>
      <c r="N151" s="180" t="s">
        <v>6306</v>
      </c>
      <c r="O151" s="119" t="s">
        <v>6968</v>
      </c>
      <c r="P151" s="119">
        <v>2</v>
      </c>
      <c r="Q151" s="119" t="s">
        <v>242</v>
      </c>
      <c r="T151" s="180">
        <v>1</v>
      </c>
      <c r="W151" s="180" t="str">
        <f>IF(综合数据!$B$14=TRUE,"13","")</f>
        <v>13</v>
      </c>
      <c r="X151" s="180">
        <v>1</v>
      </c>
      <c r="AA151" s="120" t="s">
        <v>6969</v>
      </c>
      <c r="AB151" s="250" t="str">
        <f t="array" ref="AB151">INDEX(B:B,SMALL(IF($Q$3:$Q$517&lt;&gt;"",ROW($3:$517),518),ROW(B150)))&amp;""</f>
        <v>遗体防腐</v>
      </c>
      <c r="AC151" s="394" t="str">
        <f>IFERROR(IF(AND($Q152&lt;&gt;"",IF(法术查询!$J$4="",1,INDEX($R152:$Z152,1,VLOOKUP(法术查询!$J$4,$AF$2:$AG$10,2,0)))&lt;&gt;"",IF(法术查询!$J$5="",1,$P152=VLOOKUP(法术查询!$J$5,$AH$2:$AI$11,2,0)),IF(法术查询!$J$6="",1,IF(法术查询!$J$6=$E152,1,0)),IF(法术查询!$J$7="",1,SEARCH(法术查询!$J$7,$F152)),IF(法术查询!$J$8="",1,SEARCH(法术查询!$J$8,G152)),IF(法术查询!$J$9="",1,SEARCH(法术查询!$J$9,N152)),IF(法术查询!$J$10="",1,IF(法术查询!$J$10=$AF$11,IF($M152=1,1,0),IF($M152="",1,0))),IF(法术查询!$J$11="",1,IF(法术查询!$J$11=$AF$11,IF($D152=1,1,0),IF($D152="",1,0))),IF(法术查询!$J$12="",1,SEARCH(法术查询!$J$12,$B152&amp;$C152&amp;$O152)),IF(法术查询!$J$13="",1,SEARCH(法术查询!$J$13,$B152&amp;$C152&amp;$O152)),IF(法术查询!$J$14="",1,SEARCH(法术查询!$J$14,$B152&amp;$C152&amp;$O152)),IF(法术查询!$J$16="",1,IF(法术查询!$J$16=$AF$11,IF($H152=1,1,0),IF($H152="",1,0))),IF(法术查询!$J$17="",1,IF(法术查询!$J$17=$AF$11,IF($I152=1,1,0),IF($I152="",1,0))),IF(法术查询!$J$18="",1,IF(法术查询!$J$18=$AF$11,IF($J152&lt;&gt;"",1,0),IF($J152="",1,0))),IF(法术查询!$J$19="",1,IF(法术查询!$J$19=$AF$11,IF($L152&lt;&gt;"",1,0),IF($L152="",1,0)))),$B152,""),"")</f>
        <v/>
      </c>
      <c r="AD151" s="180" t="str">
        <f t="array" ref="AD151">INDEX(AC:AC,SMALL(IF($AC$2:$AC$516&lt;&gt;"",ROW($2:$516),517),ROW(AC150)))&amp;""</f>
        <v/>
      </c>
      <c r="AE151" s="198" t="str">
        <f t="shared" si="6"/>
        <v/>
      </c>
      <c r="AJ151" s="250">
        <v>150</v>
      </c>
      <c r="AK151" s="180" t="str">
        <f>IF(法术书!AB57="","",法术书!AB57)</f>
        <v/>
      </c>
      <c r="AL151" s="119" t="str">
        <f t="array" ref="AL151">IFERROR(INDEX(AK$1:AK$301,SMALL(IF(MATCH(AK151,AK$1:AK$301,0)=ROW(AK151),ROW(AK$1:AK$301),999),ROW(AK151))),"")</f>
        <v/>
      </c>
      <c r="AM151" s="120" t="str">
        <f t="array" ref="AM151">INDEX(AL:AL,SMALL(IF($AL$2:$AL$301&lt;&gt;"",ROW($2:$301),302),ROW(AL150)))&amp;""</f>
        <v/>
      </c>
    </row>
    <row r="152" spans="1:39" ht="14.4" customHeight="1" x14ac:dyDescent="0.25">
      <c r="A152" s="250">
        <v>150</v>
      </c>
      <c r="B152" s="119" t="s">
        <v>6970</v>
      </c>
      <c r="C152" s="119" t="s">
        <v>6971</v>
      </c>
      <c r="D152" s="180">
        <v>1</v>
      </c>
      <c r="E152" s="441" t="s">
        <v>6297</v>
      </c>
      <c r="F152" s="180" t="s">
        <v>6282</v>
      </c>
      <c r="G152" s="180" t="s">
        <v>3682</v>
      </c>
      <c r="H152" s="180">
        <v>1</v>
      </c>
      <c r="I152" s="180">
        <v>1</v>
      </c>
      <c r="J152" s="180">
        <v>1</v>
      </c>
      <c r="K152" s="119" t="s">
        <v>6972</v>
      </c>
      <c r="N152" s="180" t="s">
        <v>6420</v>
      </c>
      <c r="O152" s="119" t="s">
        <v>6973</v>
      </c>
      <c r="P152" s="119">
        <v>2</v>
      </c>
      <c r="Q152" s="119" t="s">
        <v>242</v>
      </c>
      <c r="S152" s="180">
        <v>1</v>
      </c>
      <c r="U152" s="180" t="str">
        <f>IF(综合数据!$B$14=TRUE,"13","")</f>
        <v>13</v>
      </c>
      <c r="X152" s="180">
        <v>1</v>
      </c>
      <c r="AA152" s="120" t="s">
        <v>6974</v>
      </c>
      <c r="AB152" s="250" t="str">
        <f t="array" ref="AB152">INDEX(B:B,SMALL(IF($Q$3:$Q$517&lt;&gt;"",ROW($3:$517),518),ROW(B151)))&amp;""</f>
        <v>造风术</v>
      </c>
      <c r="AC152" s="394" t="str">
        <f>IFERROR(IF(AND($Q153&lt;&gt;"",IF(法术查询!$J$4="",1,INDEX($R153:$Z153,1,VLOOKUP(法术查询!$J$4,$AF$2:$AG$10,2,0)))&lt;&gt;"",IF(法术查询!$J$5="",1,$P153=VLOOKUP(法术查询!$J$5,$AH$2:$AI$11,2,0)),IF(法术查询!$J$6="",1,IF(法术查询!$J$6=$E153,1,0)),IF(法术查询!$J$7="",1,SEARCH(法术查询!$J$7,$F153)),IF(法术查询!$J$8="",1,SEARCH(法术查询!$J$8,G153)),IF(法术查询!$J$9="",1,SEARCH(法术查询!$J$9,N153)),IF(法术查询!$J$10="",1,IF(法术查询!$J$10=$AF$11,IF($M153=1,1,0),IF($M153="",1,0))),IF(法术查询!$J$11="",1,IF(法术查询!$J$11=$AF$11,IF($D153=1,1,0),IF($D153="",1,0))),IF(法术查询!$J$12="",1,SEARCH(法术查询!$J$12,$B153&amp;$C153&amp;$O153)),IF(法术查询!$J$13="",1,SEARCH(法术查询!$J$13,$B153&amp;$C153&amp;$O153)),IF(法术查询!$J$14="",1,SEARCH(法术查询!$J$14,$B153&amp;$C153&amp;$O153)),IF(法术查询!$J$16="",1,IF(法术查询!$J$16=$AF$11,IF($H153=1,1,0),IF($H153="",1,0))),IF(法术查询!$J$17="",1,IF(法术查询!$J$17=$AF$11,IF($I153=1,1,0),IF($I153="",1,0))),IF(法术查询!$J$18="",1,IF(法术查询!$J$18=$AF$11,IF($J153&lt;&gt;"",1,0),IF($J153="",1,0))),IF(法术查询!$J$19="",1,IF(法术查询!$J$19=$AF$11,IF($L153&lt;&gt;"",1,0),IF($L153="",1,0)))),$B153,""),"")</f>
        <v/>
      </c>
      <c r="AD152" s="180" t="str">
        <f t="array" ref="AD152">INDEX(AC:AC,SMALL(IF($AC$2:$AC$516&lt;&gt;"",ROW($2:$516),517),ROW(AC151)))&amp;""</f>
        <v/>
      </c>
      <c r="AE152" s="198" t="str">
        <f t="shared" si="6"/>
        <v/>
      </c>
      <c r="AJ152" s="250">
        <v>151</v>
      </c>
      <c r="AK152" s="180" t="str">
        <f>IF(法术书!AE8="","",法术书!AE8)</f>
        <v/>
      </c>
      <c r="AL152" s="119" t="str">
        <f t="array" ref="AL152">IFERROR(INDEX(AK$1:AK$301,SMALL(IF(MATCH(AK152,AK$1:AK$301,0)=ROW(AK152),ROW(AK$1:AK$301),999),ROW(AK152))),"")</f>
        <v/>
      </c>
      <c r="AM152" s="120" t="str">
        <f t="array" ref="AM152">INDEX(AL:AL,SMALL(IF($AL$2:$AL$301&lt;&gt;"",ROW($2:$301),302),ROW(AL151)))&amp;""</f>
        <v/>
      </c>
    </row>
    <row r="153" spans="1:39" ht="14.4" customHeight="1" x14ac:dyDescent="0.25">
      <c r="A153" s="250">
        <v>151</v>
      </c>
      <c r="B153" s="119" t="s">
        <v>6975</v>
      </c>
      <c r="C153" s="119" t="s">
        <v>6976</v>
      </c>
      <c r="E153" s="379" t="s">
        <v>6328</v>
      </c>
      <c r="F153" s="180" t="s">
        <v>6282</v>
      </c>
      <c r="G153" s="180" t="s">
        <v>6523</v>
      </c>
      <c r="H153" s="180">
        <v>1</v>
      </c>
      <c r="I153" s="180">
        <v>1</v>
      </c>
      <c r="J153" s="180">
        <v>1</v>
      </c>
      <c r="K153" s="119" t="s">
        <v>6977</v>
      </c>
      <c r="M153" s="180">
        <v>1</v>
      </c>
      <c r="N153" s="180" t="s">
        <v>6306</v>
      </c>
      <c r="O153" s="119" t="s">
        <v>6978</v>
      </c>
      <c r="P153" s="119">
        <v>2</v>
      </c>
      <c r="Q153" s="119" t="s">
        <v>242</v>
      </c>
      <c r="T153" s="180">
        <v>1</v>
      </c>
      <c r="V153" s="180" t="str">
        <f>IF(综合数据!$B$14=TRUE,"13","")</f>
        <v>13</v>
      </c>
      <c r="W153" s="180">
        <v>1</v>
      </c>
      <c r="X153" s="180">
        <v>1</v>
      </c>
      <c r="AA153" s="120" t="s">
        <v>6979</v>
      </c>
      <c r="AB153" s="250" t="str">
        <f t="array" ref="AB153">INDEX(B:B,SMALL(IF($Q$3:$Q$517&lt;&gt;"",ROW($3:$517),518),ROW(B152)))&amp;""</f>
        <v>灼热金属</v>
      </c>
      <c r="AC153" s="394" t="str">
        <f>IFERROR(IF(AND($Q154&lt;&gt;"",IF(法术查询!$J$4="",1,INDEX($R154:$Z154,1,VLOOKUP(法术查询!$J$4,$AF$2:$AG$10,2,0)))&lt;&gt;"",IF(法术查询!$J$5="",1,$P154=VLOOKUP(法术查询!$J$5,$AH$2:$AI$11,2,0)),IF(法术查询!$J$6="",1,IF(法术查询!$J$6=$E154,1,0)),IF(法术查询!$J$7="",1,SEARCH(法术查询!$J$7,$F154)),IF(法术查询!$J$8="",1,SEARCH(法术查询!$J$8,G154)),IF(法术查询!$J$9="",1,SEARCH(法术查询!$J$9,N154)),IF(法术查询!$J$10="",1,IF(法术查询!$J$10=$AF$11,IF($M154=1,1,0),IF($M154="",1,0))),IF(法术查询!$J$11="",1,IF(法术查询!$J$11=$AF$11,IF($D154=1,1,0),IF($D154="",1,0))),IF(法术查询!$J$12="",1,SEARCH(法术查询!$J$12,$B154&amp;$C154&amp;$O154)),IF(法术查询!$J$13="",1,SEARCH(法术查询!$J$13,$B154&amp;$C154&amp;$O154)),IF(法术查询!$J$14="",1,SEARCH(法术查询!$J$14,$B154&amp;$C154&amp;$O154)),IF(法术查询!$J$16="",1,IF(法术查询!$J$16=$AF$11,IF($H154=1,1,0),IF($H154="",1,0))),IF(法术查询!$J$17="",1,IF(法术查询!$J$17=$AF$11,IF($I154=1,1,0),IF($I154="",1,0))),IF(法术查询!$J$18="",1,IF(法术查询!$J$18=$AF$11,IF($J154&lt;&gt;"",1,0),IF($J154="",1,0))),IF(法术查询!$J$19="",1,IF(法术查询!$J$19=$AF$11,IF($L154&lt;&gt;"",1,0),IF($L154="",1,0)))),$B154,""),"")</f>
        <v/>
      </c>
      <c r="AD153" s="180" t="str">
        <f t="array" ref="AD153">INDEX(AC:AC,SMALL(IF($AC$2:$AC$516&lt;&gt;"",ROW($2:$516),517),ROW(AC152)))&amp;""</f>
        <v/>
      </c>
      <c r="AE153" s="198" t="str">
        <f t="shared" si="6"/>
        <v/>
      </c>
      <c r="AJ153" s="250">
        <v>152</v>
      </c>
      <c r="AK153" s="180" t="str">
        <f>IF(法术书!AE9="","",法术书!AE9)</f>
        <v/>
      </c>
      <c r="AL153" s="119" t="str">
        <f t="array" ref="AL153">IFERROR(INDEX(AK$1:AK$301,SMALL(IF(MATCH(AK153,AK$1:AK$301,0)=ROW(AK153),ROW(AK$1:AK$301),999),ROW(AK153))),"")</f>
        <v/>
      </c>
      <c r="AM153" s="120" t="str">
        <f t="array" ref="AM153">INDEX(AL:AL,SMALL(IF($AL$2:$AL$301&lt;&gt;"",ROW($2:$301),302),ROW(AL152)))&amp;""</f>
        <v/>
      </c>
    </row>
    <row r="154" spans="1:39" ht="14.4" customHeight="1" x14ac:dyDescent="0.25">
      <c r="A154" s="250">
        <v>152</v>
      </c>
      <c r="B154" s="119" t="s">
        <v>6980</v>
      </c>
      <c r="C154" s="119" t="s">
        <v>6981</v>
      </c>
      <c r="E154" s="435" t="s">
        <v>6312</v>
      </c>
      <c r="F154" s="180" t="s">
        <v>6282</v>
      </c>
      <c r="G154" s="180" t="s">
        <v>6283</v>
      </c>
      <c r="H154" s="180">
        <v>1</v>
      </c>
      <c r="I154" s="180">
        <v>1</v>
      </c>
      <c r="J154" s="180">
        <v>1</v>
      </c>
      <c r="K154" s="119" t="s">
        <v>6982</v>
      </c>
      <c r="M154" s="180">
        <v>1</v>
      </c>
      <c r="N154" s="180" t="s">
        <v>6306</v>
      </c>
      <c r="O154" s="119" t="s">
        <v>6983</v>
      </c>
      <c r="P154" s="119">
        <v>2</v>
      </c>
      <c r="Q154" s="119" t="s">
        <v>242</v>
      </c>
      <c r="R154" s="180">
        <v>1</v>
      </c>
      <c r="T154" s="180">
        <v>1</v>
      </c>
      <c r="Z154" s="180">
        <v>9</v>
      </c>
      <c r="AA154" s="120" t="s">
        <v>6984</v>
      </c>
      <c r="AB154" s="250" t="str">
        <f t="array" ref="AB154">INDEX(B:B,SMALL(IF($Q$3:$Q$517&lt;&gt;"",ROW($3:$517),518),ROW(B153)))&amp;""</f>
        <v>人类定身术</v>
      </c>
      <c r="AC154" s="394" t="str">
        <f>IFERROR(IF(AND($Q155&lt;&gt;"",IF(法术查询!$J$4="",1,INDEX($R155:$Z155,1,VLOOKUP(法术查询!$J$4,$AF$2:$AG$10,2,0)))&lt;&gt;"",IF(法术查询!$J$5="",1,$P155=VLOOKUP(法术查询!$J$5,$AH$2:$AI$11,2,0)),IF(法术查询!$J$6="",1,IF(法术查询!$J$6=$E155,1,0)),IF(法术查询!$J$7="",1,SEARCH(法术查询!$J$7,$F155)),IF(法术查询!$J$8="",1,SEARCH(法术查询!$J$8,G155)),IF(法术查询!$J$9="",1,SEARCH(法术查询!$J$9,N155)),IF(法术查询!$J$10="",1,IF(法术查询!$J$10=$AF$11,IF($M155=1,1,0),IF($M155="",1,0))),IF(法术查询!$J$11="",1,IF(法术查询!$J$11=$AF$11,IF($D155=1,1,0),IF($D155="",1,0))),IF(法术查询!$J$12="",1,SEARCH(法术查询!$J$12,$B155&amp;$C155&amp;$O155)),IF(法术查询!$J$13="",1,SEARCH(法术查询!$J$13,$B155&amp;$C155&amp;$O155)),IF(法术查询!$J$14="",1,SEARCH(法术查询!$J$14,$B155&amp;$C155&amp;$O155)),IF(法术查询!$J$16="",1,IF(法术查询!$J$16=$AF$11,IF($H155=1,1,0),IF($H155="",1,0))),IF(法术查询!$J$17="",1,IF(法术查询!$J$17=$AF$11,IF($I155=1,1,0),IF($I155="",1,0))),IF(法术查询!$J$18="",1,IF(法术查询!$J$18=$AF$11,IF($J155&lt;&gt;"",1,0),IF($J155="",1,0))),IF(法术查询!$J$19="",1,IF(法术查询!$J$19=$AF$11,IF($L155&lt;&gt;"",1,0),IF($L155="",1,0)))),$B155,""),"")</f>
        <v/>
      </c>
      <c r="AD154" s="180" t="str">
        <f t="array" ref="AD154">INDEX(AC:AC,SMALL(IF($AC$2:$AC$516&lt;&gt;"",ROW($2:$516),517),ROW(AC153)))&amp;""</f>
        <v/>
      </c>
      <c r="AE154" s="198" t="str">
        <f t="shared" si="6"/>
        <v/>
      </c>
      <c r="AJ154" s="250">
        <v>153</v>
      </c>
      <c r="AK154" s="180" t="str">
        <f>IF(法术书!AE10="","",法术书!AE10)</f>
        <v/>
      </c>
      <c r="AL154" s="119" t="str">
        <f t="array" ref="AL154">IFERROR(INDEX(AK$1:AK$301,SMALL(IF(MATCH(AK154,AK$1:AK$301,0)=ROW(AK154),ROW(AK$1:AK$301),999),ROW(AK154))),"")</f>
        <v/>
      </c>
      <c r="AM154" s="120" t="str">
        <f t="array" ref="AM154">INDEX(AL:AL,SMALL(IF($AL$2:$AL$301&lt;&gt;"",ROW($2:$301),302),ROW(AL153)))&amp;""</f>
        <v/>
      </c>
    </row>
    <row r="155" spans="1:39" ht="14.4" customHeight="1" x14ac:dyDescent="0.25">
      <c r="A155" s="250">
        <v>153</v>
      </c>
      <c r="B155" s="119" t="s">
        <v>6985</v>
      </c>
      <c r="C155" s="119" t="s">
        <v>6986</v>
      </c>
      <c r="E155" s="379" t="s">
        <v>6328</v>
      </c>
      <c r="F155" s="180" t="s">
        <v>6282</v>
      </c>
      <c r="G155" s="180" t="s">
        <v>6283</v>
      </c>
      <c r="H155" s="180">
        <v>1</v>
      </c>
      <c r="I155" s="180">
        <v>1</v>
      </c>
      <c r="J155" s="180">
        <v>1</v>
      </c>
      <c r="K155" s="119" t="s">
        <v>6987</v>
      </c>
      <c r="M155" s="180">
        <v>1</v>
      </c>
      <c r="N155" s="180" t="s">
        <v>6306</v>
      </c>
      <c r="O155" s="119" t="s">
        <v>6988</v>
      </c>
      <c r="P155" s="119">
        <v>2</v>
      </c>
      <c r="Q155" s="119" t="s">
        <v>242</v>
      </c>
      <c r="R155" s="180">
        <v>1</v>
      </c>
      <c r="S155" s="180">
        <v>1</v>
      </c>
      <c r="T155" s="180">
        <v>1</v>
      </c>
      <c r="W155" s="180">
        <v>1</v>
      </c>
      <c r="X155" s="180">
        <v>1</v>
      </c>
      <c r="Y155" s="180">
        <v>1</v>
      </c>
      <c r="AA155" s="120" t="s">
        <v>6989</v>
      </c>
      <c r="AB155" s="250" t="str">
        <f t="array" ref="AB155">INDEX(B:B,SMALL(IF($Q$3:$Q$517&lt;&gt;"",ROW($3:$517),518),ROW(B154)))&amp;""</f>
        <v>隐形术</v>
      </c>
      <c r="AC155" s="394" t="str">
        <f>IFERROR(IF(AND($Q156&lt;&gt;"",IF(法术查询!$J$4="",1,INDEX($R156:$Z156,1,VLOOKUP(法术查询!$J$4,$AF$2:$AG$10,2,0)))&lt;&gt;"",IF(法术查询!$J$5="",1,$P156=VLOOKUP(法术查询!$J$5,$AH$2:$AI$11,2,0)),IF(法术查询!$J$6="",1,IF(法术查询!$J$6=$E156,1,0)),IF(法术查询!$J$7="",1,SEARCH(法术查询!$J$7,$F156)),IF(法术查询!$J$8="",1,SEARCH(法术查询!$J$8,G156)),IF(法术查询!$J$9="",1,SEARCH(法术查询!$J$9,N156)),IF(法术查询!$J$10="",1,IF(法术查询!$J$10=$AF$11,IF($M156=1,1,0),IF($M156="",1,0))),IF(法术查询!$J$11="",1,IF(法术查询!$J$11=$AF$11,IF($D156=1,1,0),IF($D156="",1,0))),IF(法术查询!$J$12="",1,SEARCH(法术查询!$J$12,$B156&amp;$C156&amp;$O156)),IF(法术查询!$J$13="",1,SEARCH(法术查询!$J$13,$B156&amp;$C156&amp;$O156)),IF(法术查询!$J$14="",1,SEARCH(法术查询!$J$14,$B156&amp;$C156&amp;$O156)),IF(法术查询!$J$16="",1,IF(法术查询!$J$16=$AF$11,IF($H156=1,1,0),IF($H156="",1,0))),IF(法术查询!$J$17="",1,IF(法术查询!$J$17=$AF$11,IF($I156=1,1,0),IF($I156="",1,0))),IF(法术查询!$J$18="",1,IF(法术查询!$J$18=$AF$11,IF($J156&lt;&gt;"",1,0),IF($J156="",1,0))),IF(法术查询!$J$19="",1,IF(法术查询!$J$19=$AF$11,IF($L156&lt;&gt;"",1,0),IF($L156="",1,0)))),$B156,""),"")</f>
        <v/>
      </c>
      <c r="AD155" s="180" t="str">
        <f t="array" ref="AD155">INDEX(AC:AC,SMALL(IF($AC$2:$AC$516&lt;&gt;"",ROW($2:$516),517),ROW(AC154)))&amp;""</f>
        <v/>
      </c>
      <c r="AE155" s="198" t="str">
        <f t="shared" si="6"/>
        <v/>
      </c>
      <c r="AJ155" s="250">
        <v>154</v>
      </c>
      <c r="AK155" s="180" t="str">
        <f>IF(法术书!AE11="","",法术书!AE11)</f>
        <v/>
      </c>
      <c r="AL155" s="119" t="str">
        <f t="array" ref="AL155">IFERROR(INDEX(AK$1:AK$301,SMALL(IF(MATCH(AK155,AK$1:AK$301,0)=ROW(AK155),ROW(AK$1:AK$301),999),ROW(AK155))),"")</f>
        <v/>
      </c>
      <c r="AM155" s="120" t="str">
        <f t="array" ref="AM155">INDEX(AL:AL,SMALL(IF($AL$2:$AL$301&lt;&gt;"",ROW($2:$301),302),ROW(AL154)))&amp;""</f>
        <v/>
      </c>
    </row>
    <row r="156" spans="1:39" ht="14.4" customHeight="1" x14ac:dyDescent="0.25">
      <c r="A156" s="250">
        <v>154</v>
      </c>
      <c r="B156" s="119" t="s">
        <v>6990</v>
      </c>
      <c r="C156" s="119" t="s">
        <v>6991</v>
      </c>
      <c r="E156" s="285" t="s">
        <v>6366</v>
      </c>
      <c r="F156" s="180" t="s">
        <v>6282</v>
      </c>
      <c r="G156" s="180" t="s">
        <v>3682</v>
      </c>
      <c r="H156" s="180">
        <v>1</v>
      </c>
      <c r="I156" s="180">
        <v>1</v>
      </c>
      <c r="J156" s="180">
        <v>1</v>
      </c>
      <c r="K156" s="119" t="s">
        <v>6992</v>
      </c>
      <c r="M156" s="180">
        <v>1</v>
      </c>
      <c r="N156" s="180" t="s">
        <v>6379</v>
      </c>
      <c r="O156" s="119" t="s">
        <v>6993</v>
      </c>
      <c r="P156" s="119">
        <v>2</v>
      </c>
      <c r="Q156" s="119" t="s">
        <v>242</v>
      </c>
      <c r="R156" s="180">
        <v>1</v>
      </c>
      <c r="W156" s="180">
        <v>1</v>
      </c>
      <c r="X156" s="180">
        <v>1</v>
      </c>
      <c r="Y156" s="180">
        <v>1</v>
      </c>
      <c r="Z156" s="180">
        <v>9</v>
      </c>
      <c r="AA156" s="120" t="s">
        <v>6994</v>
      </c>
      <c r="AB156" s="250" t="str">
        <f t="array" ref="AB156">INDEX(B:B,SMALL(IF($Q$3:$Q$517&lt;&gt;"",ROW($3:$517),518),ROW(B155)))&amp;""</f>
        <v>敲击术</v>
      </c>
      <c r="AC156" s="394" t="str">
        <f>IFERROR(IF(AND($Q157&lt;&gt;"",IF(法术查询!$J$4="",1,INDEX($R157:$Z157,1,VLOOKUP(法术查询!$J$4,$AF$2:$AG$10,2,0)))&lt;&gt;"",IF(法术查询!$J$5="",1,$P157=VLOOKUP(法术查询!$J$5,$AH$2:$AI$11,2,0)),IF(法术查询!$J$6="",1,IF(法术查询!$J$6=$E157,1,0)),IF(法术查询!$J$7="",1,SEARCH(法术查询!$J$7,$F157)),IF(法术查询!$J$8="",1,SEARCH(法术查询!$J$8,G157)),IF(法术查询!$J$9="",1,SEARCH(法术查询!$J$9,N157)),IF(法术查询!$J$10="",1,IF(法术查询!$J$10=$AF$11,IF($M157=1,1,0),IF($M157="",1,0))),IF(法术查询!$J$11="",1,IF(法术查询!$J$11=$AF$11,IF($D157=1,1,0),IF($D157="",1,0))),IF(法术查询!$J$12="",1,SEARCH(法术查询!$J$12,$B157&amp;$C157&amp;$O157)),IF(法术查询!$J$13="",1,SEARCH(法术查询!$J$13,$B157&amp;$C157&amp;$O157)),IF(法术查询!$J$14="",1,SEARCH(法术查询!$J$14,$B157&amp;$C157&amp;$O157)),IF(法术查询!$J$16="",1,IF(法术查询!$J$16=$AF$11,IF($H157=1,1,0),IF($H157="",1,0))),IF(法术查询!$J$17="",1,IF(法术查询!$J$17=$AF$11,IF($I157=1,1,0),IF($I157="",1,0))),IF(法术查询!$J$18="",1,IF(法术查询!$J$18=$AF$11,IF($J157&lt;&gt;"",1,0),IF($J157="",1,0))),IF(法术查询!$J$19="",1,IF(法术查询!$J$19=$AF$11,IF($L157&lt;&gt;"",1,0),IF($L157="",1,0)))),$B157,""),"")</f>
        <v/>
      </c>
      <c r="AD156" s="180" t="str">
        <f t="array" ref="AD156">INDEX(AC:AC,SMALL(IF($AC$2:$AC$516&lt;&gt;"",ROW($2:$516),517),ROW(AC155)))&amp;""</f>
        <v/>
      </c>
      <c r="AE156" s="198" t="str">
        <f t="shared" si="6"/>
        <v/>
      </c>
      <c r="AJ156" s="250">
        <v>155</v>
      </c>
      <c r="AK156" s="180" t="str">
        <f>IF(法术书!AE12="","",法术书!AE12)</f>
        <v/>
      </c>
      <c r="AL156" s="119" t="str">
        <f t="array" ref="AL156">IFERROR(INDEX(AK$1:AK$301,SMALL(IF(MATCH(AK156,AK$1:AK$301,0)=ROW(AK156),ROW(AK$1:AK$301),999),ROW(AK156))),"")</f>
        <v/>
      </c>
      <c r="AM156" s="120" t="str">
        <f t="array" ref="AM156">INDEX(AL:AL,SMALL(IF($AL$2:$AL$301&lt;&gt;"",ROW($2:$301),302),ROW(AL155)))&amp;""</f>
        <v/>
      </c>
    </row>
    <row r="157" spans="1:39" ht="14.4" customHeight="1" x14ac:dyDescent="0.25">
      <c r="A157" s="250">
        <v>155</v>
      </c>
      <c r="B157" s="119" t="s">
        <v>6995</v>
      </c>
      <c r="C157" s="119" t="s">
        <v>6996</v>
      </c>
      <c r="E157" s="435" t="s">
        <v>6312</v>
      </c>
      <c r="F157" s="180" t="s">
        <v>6282</v>
      </c>
      <c r="G157" s="180" t="s">
        <v>6283</v>
      </c>
      <c r="H157" s="180">
        <v>1</v>
      </c>
      <c r="N157" s="180" t="s">
        <v>6284</v>
      </c>
      <c r="O157" s="119" t="s">
        <v>6997</v>
      </c>
      <c r="P157" s="119">
        <v>2</v>
      </c>
      <c r="Q157" s="119" t="s">
        <v>242</v>
      </c>
      <c r="R157" s="180">
        <v>1</v>
      </c>
      <c r="W157" s="180">
        <v>1</v>
      </c>
      <c r="X157" s="180">
        <v>1</v>
      </c>
      <c r="AA157" s="198" t="s">
        <v>598</v>
      </c>
      <c r="AB157" s="250" t="str">
        <f t="array" ref="AB157">INDEX(B:B,SMALL(IF($Q$3:$Q$517&lt;&gt;"",ROW($3:$517),518),ROW(B156)))&amp;""</f>
        <v>次级复原术</v>
      </c>
      <c r="AC157" s="394" t="str">
        <f>IFERROR(IF(AND($Q158&lt;&gt;"",IF(法术查询!$J$4="",1,INDEX($R158:$Z158,1,VLOOKUP(法术查询!$J$4,$AF$2:$AG$10,2,0)))&lt;&gt;"",IF(法术查询!$J$5="",1,$P158=VLOOKUP(法术查询!$J$5,$AH$2:$AI$11,2,0)),IF(法术查询!$J$6="",1,IF(法术查询!$J$6=$E158,1,0)),IF(法术查询!$J$7="",1,SEARCH(法术查询!$J$7,$F158)),IF(法术查询!$J$8="",1,SEARCH(法术查询!$J$8,G158)),IF(法术查询!$J$9="",1,SEARCH(法术查询!$J$9,N158)),IF(法术查询!$J$10="",1,IF(法术查询!$J$10=$AF$11,IF($M158=1,1,0),IF($M158="",1,0))),IF(法术查询!$J$11="",1,IF(法术查询!$J$11=$AF$11,IF($D158=1,1,0),IF($D158="",1,0))),IF(法术查询!$J$12="",1,SEARCH(法术查询!$J$12,$B158&amp;$C158&amp;$O158)),IF(法术查询!$J$13="",1,SEARCH(法术查询!$J$13,$B158&amp;$C158&amp;$O158)),IF(法术查询!$J$14="",1,SEARCH(法术查询!$J$14,$B158&amp;$C158&amp;$O158)),IF(法术查询!$J$16="",1,IF(法术查询!$J$16=$AF$11,IF($H158=1,1,0),IF($H158="",1,0))),IF(法术查询!$J$17="",1,IF(法术查询!$J$17=$AF$11,IF($I158=1,1,0),IF($I158="",1,0))),IF(法术查询!$J$18="",1,IF(法术查询!$J$18=$AF$11,IF($J158&lt;&gt;"",1,0),IF($J158="",1,0))),IF(法术查询!$J$19="",1,IF(法术查询!$J$19=$AF$11,IF($L158&lt;&gt;"",1,0),IF($L158="",1,0)))),$B158,""),"")</f>
        <v/>
      </c>
      <c r="AD157" s="180" t="str">
        <f t="array" ref="AD157">INDEX(AC:AC,SMALL(IF($AC$2:$AC$516&lt;&gt;"",ROW($2:$516),517),ROW(AC156)))&amp;""</f>
        <v/>
      </c>
      <c r="AE157" s="198" t="str">
        <f t="shared" si="6"/>
        <v/>
      </c>
      <c r="AJ157" s="250">
        <v>156</v>
      </c>
      <c r="AK157" s="180" t="str">
        <f>IF(法术书!AE13="","",法术书!AE13)</f>
        <v/>
      </c>
      <c r="AL157" s="119" t="str">
        <f t="array" ref="AL157">IFERROR(INDEX(AK$1:AK$301,SMALL(IF(MATCH(AK157,AK$1:AK$301,0)=ROW(AK157),ROW(AK$1:AK$301),999),ROW(AK157))),"")</f>
        <v/>
      </c>
      <c r="AM157" s="120" t="str">
        <f t="array" ref="AM157">INDEX(AL:AL,SMALL(IF($AL$2:$AL$301&lt;&gt;"",ROW($2:$301),302),ROW(AL156)))&amp;""</f>
        <v/>
      </c>
    </row>
    <row r="158" spans="1:39" ht="14.4" customHeight="1" x14ac:dyDescent="0.25">
      <c r="A158" s="250">
        <v>156</v>
      </c>
      <c r="B158" s="119" t="s">
        <v>6998</v>
      </c>
      <c r="C158" s="119" t="s">
        <v>6999</v>
      </c>
      <c r="E158" s="440" t="s">
        <v>6290</v>
      </c>
      <c r="F158" s="180" t="s">
        <v>6282</v>
      </c>
      <c r="G158" s="180" t="s">
        <v>3682</v>
      </c>
      <c r="H158" s="180">
        <v>1</v>
      </c>
      <c r="I158" s="180">
        <v>1</v>
      </c>
      <c r="N158" s="180" t="s">
        <v>6284</v>
      </c>
      <c r="O158" s="119" t="s">
        <v>7000</v>
      </c>
      <c r="P158" s="119">
        <v>2</v>
      </c>
      <c r="Q158" s="119" t="s">
        <v>242</v>
      </c>
      <c r="R158" s="180">
        <v>1</v>
      </c>
      <c r="S158" s="180">
        <v>1</v>
      </c>
      <c r="T158" s="180">
        <v>1</v>
      </c>
      <c r="U158" s="180">
        <v>1</v>
      </c>
      <c r="V158" s="180">
        <v>1</v>
      </c>
      <c r="Z158" s="180">
        <v>9</v>
      </c>
      <c r="AA158" s="120" t="s">
        <v>7001</v>
      </c>
      <c r="AB158" s="250" t="str">
        <f t="array" ref="AB158">INDEX(B:B,SMALL(IF($Q$3:$Q$517&lt;&gt;"",ROW($3:$517),518),ROW(B157)))&amp;""</f>
        <v>浮空术</v>
      </c>
      <c r="AC158" s="394" t="str">
        <f>IFERROR(IF(AND($Q159&lt;&gt;"",IF(法术查询!$J$4="",1,INDEX($R159:$Z159,1,VLOOKUP(法术查询!$J$4,$AF$2:$AG$10,2,0)))&lt;&gt;"",IF(法术查询!$J$5="",1,$P159=VLOOKUP(法术查询!$J$5,$AH$2:$AI$11,2,0)),IF(法术查询!$J$6="",1,IF(法术查询!$J$6=$E159,1,0)),IF(法术查询!$J$7="",1,SEARCH(法术查询!$J$7,$F159)),IF(法术查询!$J$8="",1,SEARCH(法术查询!$J$8,G159)),IF(法术查询!$J$9="",1,SEARCH(法术查询!$J$9,N159)),IF(法术查询!$J$10="",1,IF(法术查询!$J$10=$AF$11,IF($M159=1,1,0),IF($M159="",1,0))),IF(法术查询!$J$11="",1,IF(法术查询!$J$11=$AF$11,IF($D159=1,1,0),IF($D159="",1,0))),IF(法术查询!$J$12="",1,SEARCH(法术查询!$J$12,$B159&amp;$C159&amp;$O159)),IF(法术查询!$J$13="",1,SEARCH(法术查询!$J$13,$B159&amp;$C159&amp;$O159)),IF(法术查询!$J$14="",1,SEARCH(法术查询!$J$14,$B159&amp;$C159&amp;$O159)),IF(法术查询!$J$16="",1,IF(法术查询!$J$16=$AF$11,IF($H159=1,1,0),IF($H159="",1,0))),IF(法术查询!$J$17="",1,IF(法术查询!$J$17=$AF$11,IF($I159=1,1,0),IF($I159="",1,0))),IF(法术查询!$J$18="",1,IF(法术查询!$J$18=$AF$11,IF($J159&lt;&gt;"",1,0),IF($J159="",1,0))),IF(法术查询!$J$19="",1,IF(法术查询!$J$19=$AF$11,IF($L159&lt;&gt;"",1,0),IF($L159="",1,0)))),$B159,""),"")</f>
        <v/>
      </c>
      <c r="AD158" s="180" t="str">
        <f t="array" ref="AD158">INDEX(AC:AC,SMALL(IF($AC$2:$AC$516&lt;&gt;"",ROW($2:$516),517),ROW(AC157)))&amp;""</f>
        <v/>
      </c>
      <c r="AE158" s="198" t="str">
        <f t="shared" si="6"/>
        <v/>
      </c>
      <c r="AJ158" s="250">
        <v>157</v>
      </c>
      <c r="AK158" s="180" t="str">
        <f>IF(法术书!AE14="","",法术书!AE14)</f>
        <v/>
      </c>
      <c r="AL158" s="119" t="str">
        <f t="array" ref="AL158">IFERROR(INDEX(AK$1:AK$301,SMALL(IF(MATCH(AK158,AK$1:AK$301,0)=ROW(AK158),ROW(AK$1:AK$301),999),ROW(AK158))),"")</f>
        <v/>
      </c>
      <c r="AM158" s="120" t="str">
        <f t="array" ref="AM158">INDEX(AL:AL,SMALL(IF($AL$2:$AL$301&lt;&gt;"",ROW($2:$301),302),ROW(AL157)))&amp;""</f>
        <v/>
      </c>
    </row>
    <row r="159" spans="1:39" ht="14.4" customHeight="1" x14ac:dyDescent="0.25">
      <c r="A159" s="250">
        <v>157</v>
      </c>
      <c r="B159" s="119" t="s">
        <v>7002</v>
      </c>
      <c r="C159" s="119" t="s">
        <v>7003</v>
      </c>
      <c r="E159" s="435" t="s">
        <v>6312</v>
      </c>
      <c r="F159" s="180" t="s">
        <v>6282</v>
      </c>
      <c r="G159" s="180" t="s">
        <v>6283</v>
      </c>
      <c r="H159" s="180">
        <v>1</v>
      </c>
      <c r="I159" s="180">
        <v>1</v>
      </c>
      <c r="J159" s="180">
        <v>1</v>
      </c>
      <c r="K159" s="119" t="s">
        <v>7004</v>
      </c>
      <c r="M159" s="180">
        <v>1</v>
      </c>
      <c r="N159" s="180" t="s">
        <v>6471</v>
      </c>
      <c r="O159" s="119" t="s">
        <v>7005</v>
      </c>
      <c r="P159" s="119">
        <v>2</v>
      </c>
      <c r="Q159" s="119" t="s">
        <v>242</v>
      </c>
      <c r="W159" s="180">
        <v>1</v>
      </c>
      <c r="X159" s="180">
        <v>1</v>
      </c>
      <c r="Z159" s="180">
        <v>9</v>
      </c>
      <c r="AA159" s="120" t="s">
        <v>7006</v>
      </c>
      <c r="AB159" s="250" t="str">
        <f t="array" ref="AB159">INDEX(B:B,SMALL(IF($Q$3:$Q$517&lt;&gt;"",ROW($3:$517),518),ROW(B158)))&amp;""</f>
        <v>动植物定位术</v>
      </c>
      <c r="AC159" s="394" t="str">
        <f>IFERROR(IF(AND($Q160&lt;&gt;"",IF(法术查询!$J$4="",1,INDEX($R160:$Z160,1,VLOOKUP(法术查询!$J$4,$AF$2:$AG$10,2,0)))&lt;&gt;"",IF(法术查询!$J$5="",1,$P160=VLOOKUP(法术查询!$J$5,$AH$2:$AI$11,2,0)),IF(法术查询!$J$6="",1,IF(法术查询!$J$6=$E160,1,0)),IF(法术查询!$J$7="",1,SEARCH(法术查询!$J$7,$F160)),IF(法术查询!$J$8="",1,SEARCH(法术查询!$J$8,G160)),IF(法术查询!$J$9="",1,SEARCH(法术查询!$J$9,N160)),IF(法术查询!$J$10="",1,IF(法术查询!$J$10=$AF$11,IF($M160=1,1,0),IF($M160="",1,0))),IF(法术查询!$J$11="",1,IF(法术查询!$J$11=$AF$11,IF($D160=1,1,0),IF($D160="",1,0))),IF(法术查询!$J$12="",1,SEARCH(法术查询!$J$12,$B160&amp;$C160&amp;$O160)),IF(法术查询!$J$13="",1,SEARCH(法术查询!$J$13,$B160&amp;$C160&amp;$O160)),IF(法术查询!$J$14="",1,SEARCH(法术查询!$J$14,$B160&amp;$C160&amp;$O160)),IF(法术查询!$J$16="",1,IF(法术查询!$J$16=$AF$11,IF($H160=1,1,0),IF($H160="",1,0))),IF(法术查询!$J$17="",1,IF(法术查询!$J$17=$AF$11,IF($I160=1,1,0),IF($I160="",1,0))),IF(法术查询!$J$18="",1,IF(法术查询!$J$18=$AF$11,IF($J160&lt;&gt;"",1,0),IF($J160="",1,0))),IF(法术查询!$J$19="",1,IF(法术查询!$J$19=$AF$11,IF($L160&lt;&gt;"",1,0),IF($L160="",1,0)))),$B160,""),"")</f>
        <v/>
      </c>
      <c r="AD159" s="180" t="str">
        <f t="array" ref="AD159">INDEX(AC:AC,SMALL(IF($AC$2:$AC$516&lt;&gt;"",ROW($2:$516),517),ROW(AC158)))&amp;""</f>
        <v/>
      </c>
      <c r="AE159" s="198" t="str">
        <f t="shared" si="6"/>
        <v/>
      </c>
      <c r="AJ159" s="250">
        <v>158</v>
      </c>
      <c r="AK159" s="180" t="str">
        <f>IF(法术书!AE15="","",法术书!AE15)</f>
        <v/>
      </c>
      <c r="AL159" s="119" t="str">
        <f t="array" ref="AL159">IFERROR(INDEX(AK$1:AK$301,SMALL(IF(MATCH(AK159,AK$1:AK$301,0)=ROW(AK159),ROW(AK$1:AK$301),999),ROW(AK159))),"")</f>
        <v/>
      </c>
      <c r="AM159" s="120" t="str">
        <f t="array" ref="AM159">INDEX(AL:AL,SMALL(IF($AL$2:$AL$301&lt;&gt;"",ROW($2:$301),302),ROW(AL158)))&amp;""</f>
        <v/>
      </c>
    </row>
    <row r="160" spans="1:39" ht="14.4" customHeight="1" x14ac:dyDescent="0.25">
      <c r="A160" s="250">
        <v>158</v>
      </c>
      <c r="B160" s="119" t="s">
        <v>7007</v>
      </c>
      <c r="C160" s="119" t="s">
        <v>7008</v>
      </c>
      <c r="D160" s="180">
        <v>1</v>
      </c>
      <c r="E160" s="438" t="s">
        <v>6335</v>
      </c>
      <c r="F160" s="180" t="s">
        <v>6282</v>
      </c>
      <c r="G160" s="180" t="s">
        <v>6291</v>
      </c>
      <c r="H160" s="180">
        <v>1</v>
      </c>
      <c r="I160" s="180">
        <v>1</v>
      </c>
      <c r="J160" s="180">
        <v>1</v>
      </c>
      <c r="K160" s="119" t="s">
        <v>7009</v>
      </c>
      <c r="N160" s="180" t="s">
        <v>6284</v>
      </c>
      <c r="O160" s="119" t="s">
        <v>7010</v>
      </c>
      <c r="P160" s="119">
        <v>2</v>
      </c>
      <c r="Q160" s="119" t="s">
        <v>242</v>
      </c>
      <c r="R160" s="180">
        <v>1</v>
      </c>
      <c r="T160" s="180">
        <v>1</v>
      </c>
      <c r="V160" s="180">
        <v>1</v>
      </c>
      <c r="AA160" s="198" t="s">
        <v>772</v>
      </c>
      <c r="AB160" s="250" t="str">
        <f t="array" ref="AB160">INDEX(B:B,SMALL(IF($Q$3:$Q$517&lt;&gt;"",ROW($3:$517),518),ROW(B159)))&amp;""</f>
        <v>物件定位术</v>
      </c>
      <c r="AC160" s="394" t="str">
        <f>IFERROR(IF(AND($Q161&lt;&gt;"",IF(法术查询!$J$4="",1,INDEX($R161:$Z161,1,VLOOKUP(法术查询!$J$4,$AF$2:$AG$10,2,0)))&lt;&gt;"",IF(法术查询!$J$5="",1,$P161=VLOOKUP(法术查询!$J$5,$AH$2:$AI$11,2,0)),IF(法术查询!$J$6="",1,IF(法术查询!$J$6=$E161,1,0)),IF(法术查询!$J$7="",1,SEARCH(法术查询!$J$7,$F161)),IF(法术查询!$J$8="",1,SEARCH(法术查询!$J$8,G161)),IF(法术查询!$J$9="",1,SEARCH(法术查询!$J$9,N161)),IF(法术查询!$J$10="",1,IF(法术查询!$J$10=$AF$11,IF($M161=1,1,0),IF($M161="",1,0))),IF(法术查询!$J$11="",1,IF(法术查询!$J$11=$AF$11,IF($D161=1,1,0),IF($D161="",1,0))),IF(法术查询!$J$12="",1,SEARCH(法术查询!$J$12,$B161&amp;$C161&amp;$O161)),IF(法术查询!$J$13="",1,SEARCH(法术查询!$J$13,$B161&amp;$C161&amp;$O161)),IF(法术查询!$J$14="",1,SEARCH(法术查询!$J$14,$B161&amp;$C161&amp;$O161)),IF(法术查询!$J$16="",1,IF(法术查询!$J$16=$AF$11,IF($H161=1,1,0),IF($H161="",1,0))),IF(法术查询!$J$17="",1,IF(法术查询!$J$17=$AF$11,IF($I161=1,1,0),IF($I161="",1,0))),IF(法术查询!$J$18="",1,IF(法术查询!$J$18=$AF$11,IF($J161&lt;&gt;"",1,0),IF($J161="",1,0))),IF(法术查询!$J$19="",1,IF(法术查询!$J$19=$AF$11,IF($L161&lt;&gt;"",1,0),IF($L161="",1,0)))),$B161,""),"")</f>
        <v/>
      </c>
      <c r="AD160" s="180" t="str">
        <f t="array" ref="AD160">INDEX(AC:AC,SMALL(IF($AC$2:$AC$516&lt;&gt;"",ROW($2:$516),517),ROW(AC159)))&amp;""</f>
        <v/>
      </c>
      <c r="AE160" s="198" t="str">
        <f t="shared" si="6"/>
        <v/>
      </c>
      <c r="AJ160" s="250">
        <v>159</v>
      </c>
      <c r="AK160" s="180" t="str">
        <f>IF(法术书!AE16="","",法术书!AE16)</f>
        <v/>
      </c>
      <c r="AL160" s="119" t="str">
        <f t="array" ref="AL160">IFERROR(INDEX(AK$1:AK$301,SMALL(IF(MATCH(AK160,AK$1:AK$301,0)=ROW(AK160),ROW(AK$1:AK$301),999),ROW(AK160))),"")</f>
        <v/>
      </c>
      <c r="AM160" s="120" t="str">
        <f t="array" ref="AM160">INDEX(AL:AL,SMALL(IF($AL$2:$AL$301&lt;&gt;"",ROW($2:$301),302),ROW(AL159)))&amp;""</f>
        <v/>
      </c>
    </row>
    <row r="161" spans="1:39" ht="14.4" customHeight="1" x14ac:dyDescent="0.25">
      <c r="A161" s="250">
        <v>159</v>
      </c>
      <c r="B161" s="119" t="s">
        <v>7011</v>
      </c>
      <c r="C161" s="119" t="s">
        <v>7012</v>
      </c>
      <c r="E161" s="438" t="s">
        <v>6335</v>
      </c>
      <c r="F161" s="180" t="s">
        <v>6282</v>
      </c>
      <c r="G161" s="180" t="s">
        <v>6291</v>
      </c>
      <c r="H161" s="180">
        <v>1</v>
      </c>
      <c r="I161" s="180">
        <v>1</v>
      </c>
      <c r="J161" s="180">
        <v>1</v>
      </c>
      <c r="K161" s="119" t="s">
        <v>7013</v>
      </c>
      <c r="M161" s="180">
        <v>1</v>
      </c>
      <c r="N161" s="180" t="s">
        <v>6471</v>
      </c>
      <c r="O161" s="119" t="s">
        <v>7014</v>
      </c>
      <c r="P161" s="119">
        <v>2</v>
      </c>
      <c r="Q161" s="119" t="s">
        <v>242</v>
      </c>
      <c r="R161" s="180">
        <v>1</v>
      </c>
      <c r="S161" s="180">
        <v>1</v>
      </c>
      <c r="T161" s="180">
        <v>1</v>
      </c>
      <c r="U161" s="180">
        <v>1</v>
      </c>
      <c r="V161" s="180">
        <v>1</v>
      </c>
      <c r="X161" s="180">
        <v>1</v>
      </c>
      <c r="AA161" s="120" t="s">
        <v>7015</v>
      </c>
      <c r="AB161" s="250" t="str">
        <f t="array" ref="AB161">INDEX(B:B,SMALL(IF($Q$3:$Q$517&lt;&gt;"",ROW($3:$517),518),ROW(B160)))&amp;""</f>
        <v>魔嘴术</v>
      </c>
      <c r="AC161" s="394" t="str">
        <f>IFERROR(IF(AND($Q162&lt;&gt;"",IF(法术查询!$J$4="",1,INDEX($R162:$Z162,1,VLOOKUP(法术查询!$J$4,$AF$2:$AG$10,2,0)))&lt;&gt;"",IF(法术查询!$J$5="",1,$P162=VLOOKUP(法术查询!$J$5,$AH$2:$AI$11,2,0)),IF(法术查询!$J$6="",1,IF(法术查询!$J$6=$E162,1,0)),IF(法术查询!$J$7="",1,SEARCH(法术查询!$J$7,$F162)),IF(法术查询!$J$8="",1,SEARCH(法术查询!$J$8,G162)),IF(法术查询!$J$9="",1,SEARCH(法术查询!$J$9,N162)),IF(法术查询!$J$10="",1,IF(法术查询!$J$10=$AF$11,IF($M162=1,1,0),IF($M162="",1,0))),IF(法术查询!$J$11="",1,IF(法术查询!$J$11=$AF$11,IF($D162=1,1,0),IF($D162="",1,0))),IF(法术查询!$J$12="",1,SEARCH(法术查询!$J$12,$B162&amp;$C162&amp;$O162)),IF(法术查询!$J$13="",1,SEARCH(法术查询!$J$13,$B162&amp;$C162&amp;$O162)),IF(法术查询!$J$14="",1,SEARCH(法术查询!$J$14,$B162&amp;$C162&amp;$O162)),IF(法术查询!$J$16="",1,IF(法术查询!$J$16=$AF$11,IF($H162=1,1,0),IF($H162="",1,0))),IF(法术查询!$J$17="",1,IF(法术查询!$J$17=$AF$11,IF($I162=1,1,0),IF($I162="",1,0))),IF(法术查询!$J$18="",1,IF(法术查询!$J$18=$AF$11,IF($J162&lt;&gt;"",1,0),IF($J162="",1,0))),IF(法术查询!$J$19="",1,IF(法术查询!$J$19=$AF$11,IF($L162&lt;&gt;"",1,0),IF($L162="",1,0)))),$B162,""),"")</f>
        <v/>
      </c>
      <c r="AD161" s="180" t="str">
        <f t="array" ref="AD161">INDEX(AC:AC,SMALL(IF($AC$2:$AC$516&lt;&gt;"",ROW($2:$516),517),ROW(AC160)))&amp;""</f>
        <v/>
      </c>
      <c r="AE161" s="198" t="str">
        <f t="shared" si="6"/>
        <v/>
      </c>
      <c r="AJ161" s="250">
        <v>160</v>
      </c>
      <c r="AK161" s="180" t="str">
        <f>IF(法术书!AE17="","",法术书!AE17)</f>
        <v/>
      </c>
      <c r="AL161" s="119" t="str">
        <f t="array" ref="AL161">IFERROR(INDEX(AK$1:AK$301,SMALL(IF(MATCH(AK161,AK$1:AK$301,0)=ROW(AK161),ROW(AK$1:AK$301),999),ROW(AK161))),"")</f>
        <v/>
      </c>
      <c r="AM161" s="120" t="str">
        <f t="array" ref="AM161">INDEX(AL:AL,SMALL(IF($AL$2:$AL$301&lt;&gt;"",ROW($2:$301),302),ROW(AL160)))&amp;""</f>
        <v/>
      </c>
    </row>
    <row r="162" spans="1:39" ht="14.4" customHeight="1" x14ac:dyDescent="0.25">
      <c r="A162" s="250">
        <v>160</v>
      </c>
      <c r="B162" s="119" t="s">
        <v>7016</v>
      </c>
      <c r="C162" s="119" t="s">
        <v>7017</v>
      </c>
      <c r="D162" s="180">
        <v>1</v>
      </c>
      <c r="E162" s="285" t="s">
        <v>6366</v>
      </c>
      <c r="F162" s="180" t="s">
        <v>6349</v>
      </c>
      <c r="G162" s="180" t="s">
        <v>6313</v>
      </c>
      <c r="H162" s="180">
        <v>1</v>
      </c>
      <c r="I162" s="180">
        <v>1</v>
      </c>
      <c r="J162" s="180">
        <v>1</v>
      </c>
      <c r="K162" s="119"/>
      <c r="L162" s="119" t="s">
        <v>7018</v>
      </c>
      <c r="N162" s="180" t="s">
        <v>6434</v>
      </c>
      <c r="O162" s="119" t="s">
        <v>7019</v>
      </c>
      <c r="P162" s="119">
        <v>2</v>
      </c>
      <c r="Q162" s="119" t="s">
        <v>242</v>
      </c>
      <c r="R162" s="180">
        <v>1</v>
      </c>
      <c r="X162" s="180">
        <v>1</v>
      </c>
      <c r="Z162" s="180">
        <v>9</v>
      </c>
      <c r="AA162" s="198" t="s">
        <v>808</v>
      </c>
      <c r="AB162" s="250" t="str">
        <f t="array" ref="AB162">INDEX(B:B,SMALL(IF($Q$3:$Q$517&lt;&gt;"",ROW($3:$517),518),ROW(B161)))&amp;""</f>
        <v>魔化武器</v>
      </c>
      <c r="AC162" s="394" t="str">
        <f>IFERROR(IF(AND($Q163&lt;&gt;"",IF(法术查询!$J$4="",1,INDEX($R163:$Z163,1,VLOOKUP(法术查询!$J$4,$AF$2:$AG$10,2,0)))&lt;&gt;"",IF(法术查询!$J$5="",1,$P163=VLOOKUP(法术查询!$J$5,$AH$2:$AI$11,2,0)),IF(法术查询!$J$6="",1,IF(法术查询!$J$6=$E163,1,0)),IF(法术查询!$J$7="",1,SEARCH(法术查询!$J$7,$F163)),IF(法术查询!$J$8="",1,SEARCH(法术查询!$J$8,G163)),IF(法术查询!$J$9="",1,SEARCH(法术查询!$J$9,N163)),IF(法术查询!$J$10="",1,IF(法术查询!$J$10=$AF$11,IF($M163=1,1,0),IF($M163="",1,0))),IF(法术查询!$J$11="",1,IF(法术查询!$J$11=$AF$11,IF($D163=1,1,0),IF($D163="",1,0))),IF(法术查询!$J$12="",1,SEARCH(法术查询!$J$12,$B163&amp;$C163&amp;$O163)),IF(法术查询!$J$13="",1,SEARCH(法术查询!$J$13,$B163&amp;$C163&amp;$O163)),IF(法术查询!$J$14="",1,SEARCH(法术查询!$J$14,$B163&amp;$C163&amp;$O163)),IF(法术查询!$J$16="",1,IF(法术查询!$J$16=$AF$11,IF($H163=1,1,0),IF($H163="",1,0))),IF(法术查询!$J$17="",1,IF(法术查询!$J$17=$AF$11,IF($I163=1,1,0),IF($I163="",1,0))),IF(法术查询!$J$18="",1,IF(法术查询!$J$18=$AF$11,IF($J163&lt;&gt;"",1,0),IF($J163="",1,0))),IF(法术查询!$J$19="",1,IF(法术查询!$J$19=$AF$11,IF($L163&lt;&gt;"",1,0),IF($L163="",1,0)))),$B163,""),"")</f>
        <v/>
      </c>
      <c r="AD162" s="180" t="str">
        <f t="array" ref="AD162">INDEX(AC:AC,SMALL(IF($AC$2:$AC$516&lt;&gt;"",ROW($2:$516),517),ROW(AC161)))&amp;""</f>
        <v/>
      </c>
      <c r="AE162" s="198" t="str">
        <f t="shared" si="6"/>
        <v/>
      </c>
      <c r="AJ162" s="250">
        <v>161</v>
      </c>
      <c r="AK162" s="180" t="str">
        <f>IF(法术书!AE18="","",法术书!AE18)</f>
        <v/>
      </c>
      <c r="AL162" s="119" t="str">
        <f t="array" ref="AL162">IFERROR(INDEX(AK$1:AK$301,SMALL(IF(MATCH(AK162,AK$1:AK$301,0)=ROW(AK162),ROW(AK$1:AK$301),999),ROW(AK162))),"")</f>
        <v/>
      </c>
      <c r="AM162" s="120" t="str">
        <f t="array" ref="AM162">INDEX(AL:AL,SMALL(IF($AL$2:$AL$301&lt;&gt;"",ROW($2:$301),302),ROW(AL161)))&amp;""</f>
        <v/>
      </c>
    </row>
    <row r="163" spans="1:39" ht="14.4" customHeight="1" x14ac:dyDescent="0.25">
      <c r="A163" s="250">
        <v>161</v>
      </c>
      <c r="B163" s="119" t="s">
        <v>7020</v>
      </c>
      <c r="C163" s="119" t="s">
        <v>7021</v>
      </c>
      <c r="E163" s="435" t="s">
        <v>6312</v>
      </c>
      <c r="F163" s="180" t="s">
        <v>6352</v>
      </c>
      <c r="G163" s="180" t="s">
        <v>3682</v>
      </c>
      <c r="H163" s="180">
        <v>1</v>
      </c>
      <c r="I163" s="180">
        <v>1</v>
      </c>
      <c r="M163" s="180">
        <v>1</v>
      </c>
      <c r="N163" s="180" t="s">
        <v>6379</v>
      </c>
      <c r="O163" s="119" t="s">
        <v>7022</v>
      </c>
      <c r="P163" s="119">
        <v>2</v>
      </c>
      <c r="Q163" s="119" t="s">
        <v>242</v>
      </c>
      <c r="U163" s="180">
        <v>1</v>
      </c>
      <c r="V163" s="180" t="str">
        <f>IF(综合数据!$B$14=TRUE,"13","")</f>
        <v>13</v>
      </c>
      <c r="W163" s="180" t="str">
        <f>IF(综合数据!$B$14=TRUE,"13","")</f>
        <v>13</v>
      </c>
      <c r="X163" s="180">
        <v>1</v>
      </c>
      <c r="Z163" s="180">
        <v>9</v>
      </c>
      <c r="AA163" s="120" t="s">
        <v>7023</v>
      </c>
      <c r="AB163" s="250" t="str">
        <f t="array" ref="AB163">INDEX(B:B,SMALL(IF($Q$3:$Q$517&lt;&gt;"",ROW($3:$517),518),ROW(B162)))&amp;""</f>
        <v>马友夫强酸箭</v>
      </c>
      <c r="AC163" s="394" t="str">
        <f>IFERROR(IF(AND($Q164&lt;&gt;"",IF(法术查询!$J$4="",1,INDEX($R164:$Z164,1,VLOOKUP(法术查询!$J$4,$AF$2:$AG$10,2,0)))&lt;&gt;"",IF(法术查询!$J$5="",1,$P164=VLOOKUP(法术查询!$J$5,$AH$2:$AI$11,2,0)),IF(法术查询!$J$6="",1,IF(法术查询!$J$6=$E164,1,0)),IF(法术查询!$J$7="",1,SEARCH(法术查询!$J$7,$F164)),IF(法术查询!$J$8="",1,SEARCH(法术查询!$J$8,G164)),IF(法术查询!$J$9="",1,SEARCH(法术查询!$J$9,N164)),IF(法术查询!$J$10="",1,IF(法术查询!$J$10=$AF$11,IF($M164=1,1,0),IF($M164="",1,0))),IF(法术查询!$J$11="",1,IF(法术查询!$J$11=$AF$11,IF($D164=1,1,0),IF($D164="",1,0))),IF(法术查询!$J$12="",1,SEARCH(法术查询!$J$12,$B164&amp;$C164&amp;$O164)),IF(法术查询!$J$13="",1,SEARCH(法术查询!$J$13,$B164&amp;$C164&amp;$O164)),IF(法术查询!$J$14="",1,SEARCH(法术查询!$J$14,$B164&amp;$C164&amp;$O164)),IF(法术查询!$J$16="",1,IF(法术查询!$J$16=$AF$11,IF($H164=1,1,0),IF($H164="",1,0))),IF(法术查询!$J$17="",1,IF(法术查询!$J$17=$AF$11,IF($I164=1,1,0),IF($I164="",1,0))),IF(法术查询!$J$18="",1,IF(法术查询!$J$18=$AF$11,IF($J164&lt;&gt;"",1,0),IF($J164="",1,0))),IF(法术查询!$J$19="",1,IF(法术查询!$J$19=$AF$11,IF($L164&lt;&gt;"",1,0),IF($L164="",1,0)))),$B164,""),"")</f>
        <v/>
      </c>
      <c r="AD163" s="180" t="str">
        <f t="array" ref="AD163">INDEX(AC:AC,SMALL(IF($AC$2:$AC$516&lt;&gt;"",ROW($2:$516),517),ROW(AC162)))&amp;""</f>
        <v/>
      </c>
      <c r="AE163" s="198" t="str">
        <f t="shared" si="6"/>
        <v/>
      </c>
      <c r="AJ163" s="250">
        <v>162</v>
      </c>
      <c r="AK163" s="180" t="str">
        <f>IF(法术书!AE19="","",法术书!AE19)</f>
        <v/>
      </c>
      <c r="AL163" s="119" t="str">
        <f t="array" ref="AL163">IFERROR(INDEX(AK$1:AK$301,SMALL(IF(MATCH(AK163,AK$1:AK$301,0)=ROW(AK163),ROW(AK$1:AK$301),999),ROW(AK163))),"")</f>
        <v/>
      </c>
      <c r="AM163" s="120" t="str">
        <f t="array" ref="AM163">INDEX(AL:AL,SMALL(IF($AL$2:$AL$301&lt;&gt;"",ROW($2:$301),302),ROW(AL162)))&amp;""</f>
        <v/>
      </c>
    </row>
    <row r="164" spans="1:39" ht="14.4" customHeight="1" x14ac:dyDescent="0.25">
      <c r="A164" s="250">
        <v>162</v>
      </c>
      <c r="B164" s="119" t="s">
        <v>7024</v>
      </c>
      <c r="C164" s="119" t="s">
        <v>7025</v>
      </c>
      <c r="E164" s="434" t="s">
        <v>6304</v>
      </c>
      <c r="F164" s="180" t="s">
        <v>6282</v>
      </c>
      <c r="G164" s="180" t="s">
        <v>6400</v>
      </c>
      <c r="H164" s="180">
        <v>1</v>
      </c>
      <c r="I164" s="180">
        <v>1</v>
      </c>
      <c r="J164" s="180">
        <v>1</v>
      </c>
      <c r="K164" s="119" t="s">
        <v>7026</v>
      </c>
      <c r="N164" s="180" t="s">
        <v>6284</v>
      </c>
      <c r="O164" s="119" t="s">
        <v>7027</v>
      </c>
      <c r="P164" s="119">
        <v>2</v>
      </c>
      <c r="Q164" s="119" t="s">
        <v>242</v>
      </c>
      <c r="X164" s="180">
        <v>1</v>
      </c>
      <c r="AA164" s="120" t="s">
        <v>7028</v>
      </c>
      <c r="AB164" s="250" t="str">
        <f t="array" ref="AB164">INDEX(B:B,SMALL(IF($Q$3:$Q$517&lt;&gt;"",ROW($3:$517),518),ROW(B163)))&amp;""</f>
        <v>镜影术</v>
      </c>
      <c r="AC164" s="394" t="str">
        <f>IFERROR(IF(AND($Q165&lt;&gt;"",IF(法术查询!$J$4="",1,INDEX($R165:$Z165,1,VLOOKUP(法术查询!$J$4,$AF$2:$AG$10,2,0)))&lt;&gt;"",IF(法术查询!$J$5="",1,$P165=VLOOKUP(法术查询!$J$5,$AH$2:$AI$11,2,0)),IF(法术查询!$J$6="",1,IF(法术查询!$J$6=$E165,1,0)),IF(法术查询!$J$7="",1,SEARCH(法术查询!$J$7,$F165)),IF(法术查询!$J$8="",1,SEARCH(法术查询!$J$8,G165)),IF(法术查询!$J$9="",1,SEARCH(法术查询!$J$9,N165)),IF(法术查询!$J$10="",1,IF(法术查询!$J$10=$AF$11,IF($M165=1,1,0),IF($M165="",1,0))),IF(法术查询!$J$11="",1,IF(法术查询!$J$11=$AF$11,IF($D165=1,1,0),IF($D165="",1,0))),IF(法术查询!$J$12="",1,SEARCH(法术查询!$J$12,$B165&amp;$C165&amp;$O165)),IF(法术查询!$J$13="",1,SEARCH(法术查询!$J$13,$B165&amp;$C165&amp;$O165)),IF(法术查询!$J$14="",1,SEARCH(法术查询!$J$14,$B165&amp;$C165&amp;$O165)),IF(法术查询!$J$16="",1,IF(法术查询!$J$16=$AF$11,IF($H165=1,1,0),IF($H165="",1,0))),IF(法术查询!$J$17="",1,IF(法术查询!$J$17=$AF$11,IF($I165=1,1,0),IF($I165="",1,0))),IF(法术查询!$J$18="",1,IF(法术查询!$J$18=$AF$11,IF($J165&lt;&gt;"",1,0),IF($J165="",1,0))),IF(法术查询!$J$19="",1,IF(法术查询!$J$19=$AF$11,IF($L165&lt;&gt;"",1,0),IF($L165="",1,0)))),$B165,""),"")</f>
        <v/>
      </c>
      <c r="AD164" s="180" t="str">
        <f t="array" ref="AD164">INDEX(AC:AC,SMALL(IF($AC$2:$AC$516&lt;&gt;"",ROW($2:$516),517),ROW(AC163)))&amp;""</f>
        <v/>
      </c>
      <c r="AE164" s="198" t="str">
        <f t="shared" si="6"/>
        <v/>
      </c>
      <c r="AJ164" s="250">
        <v>163</v>
      </c>
      <c r="AK164" s="180" t="str">
        <f>IF(法术书!AE20="","",法术书!AE20)</f>
        <v/>
      </c>
      <c r="AL164" s="119" t="str">
        <f t="array" ref="AL164">IFERROR(INDEX(AK$1:AK$301,SMALL(IF(MATCH(AK164,AK$1:AK$301,0)=ROW(AK164),ROW(AK$1:AK$301),999),ROW(AK164))),"")</f>
        <v/>
      </c>
      <c r="AM164" s="120" t="str">
        <f t="array" ref="AM164">INDEX(AL:AL,SMALL(IF($AL$2:$AL$301&lt;&gt;"",ROW($2:$301),302),ROW(AL163)))&amp;""</f>
        <v/>
      </c>
    </row>
    <row r="165" spans="1:39" ht="14.4" customHeight="1" x14ac:dyDescent="0.25">
      <c r="A165" s="250">
        <v>163</v>
      </c>
      <c r="B165" s="119" t="s">
        <v>7029</v>
      </c>
      <c r="C165" s="119" t="s">
        <v>7030</v>
      </c>
      <c r="E165" s="285" t="s">
        <v>6366</v>
      </c>
      <c r="F165" s="180" t="s">
        <v>6282</v>
      </c>
      <c r="G165" s="180" t="s">
        <v>6291</v>
      </c>
      <c r="H165" s="180">
        <v>1</v>
      </c>
      <c r="I165" s="180">
        <v>1</v>
      </c>
      <c r="N165" s="180" t="s">
        <v>6349</v>
      </c>
      <c r="O165" s="119" t="s">
        <v>7031</v>
      </c>
      <c r="P165" s="119">
        <v>2</v>
      </c>
      <c r="Q165" s="119" t="s">
        <v>242</v>
      </c>
      <c r="R165" s="180" t="str">
        <f>IF(综合数据!$B$14=TRUE,"13","")</f>
        <v>13</v>
      </c>
      <c r="W165" s="180">
        <v>1</v>
      </c>
      <c r="X165" s="180">
        <v>1</v>
      </c>
      <c r="Y165" s="180">
        <v>1</v>
      </c>
      <c r="AA165" s="120" t="s">
        <v>7032</v>
      </c>
      <c r="AB165" s="250" t="str">
        <f t="array" ref="AB165">INDEX(B:B,SMALL(IF($Q$3:$Q$517&lt;&gt;"",ROW($3:$517),518),ROW(B164)))&amp;""</f>
        <v>迷踪步</v>
      </c>
      <c r="AC165" s="394" t="str">
        <f>IFERROR(IF(AND($Q166&lt;&gt;"",IF(法术查询!$J$4="",1,INDEX($R166:$Z166,1,VLOOKUP(法术查询!$J$4,$AF$2:$AG$10,2,0)))&lt;&gt;"",IF(法术查询!$J$5="",1,$P166=VLOOKUP(法术查询!$J$5,$AH$2:$AI$11,2,0)),IF(法术查询!$J$6="",1,IF(法术查询!$J$6=$E166,1,0)),IF(法术查询!$J$7="",1,SEARCH(法术查询!$J$7,$F166)),IF(法术查询!$J$8="",1,SEARCH(法术查询!$J$8,G166)),IF(法术查询!$J$9="",1,SEARCH(法术查询!$J$9,N166)),IF(法术查询!$J$10="",1,IF(法术查询!$J$10=$AF$11,IF($M166=1,1,0),IF($M166="",1,0))),IF(法术查询!$J$11="",1,IF(法术查询!$J$11=$AF$11,IF($D166=1,1,0),IF($D166="",1,0))),IF(法术查询!$J$12="",1,SEARCH(法术查询!$J$12,$B166&amp;$C166&amp;$O166)),IF(法术查询!$J$13="",1,SEARCH(法术查询!$J$13,$B166&amp;$C166&amp;$O166)),IF(法术查询!$J$14="",1,SEARCH(法术查询!$J$14,$B166&amp;$C166&amp;$O166)),IF(法术查询!$J$16="",1,IF(法术查询!$J$16=$AF$11,IF($H166=1,1,0),IF($H166="",1,0))),IF(法术查询!$J$17="",1,IF(法术查询!$J$17=$AF$11,IF($I166=1,1,0),IF($I166="",1,0))),IF(法术查询!$J$18="",1,IF(法术查询!$J$18=$AF$11,IF($J166&lt;&gt;"",1,0),IF($J166="",1,0))),IF(法术查询!$J$19="",1,IF(法术查询!$J$19=$AF$11,IF($L166&lt;&gt;"",1,0),IF($L166="",1,0)))),$B166,""),"")</f>
        <v/>
      </c>
      <c r="AD165" s="180" t="str">
        <f t="array" ref="AD165">INDEX(AC:AC,SMALL(IF($AC$2:$AC$516&lt;&gt;"",ROW($2:$516),517),ROW(AC164)))&amp;""</f>
        <v/>
      </c>
      <c r="AE165" s="198" t="str">
        <f t="shared" si="6"/>
        <v/>
      </c>
      <c r="AJ165" s="250">
        <v>164</v>
      </c>
      <c r="AK165" s="180" t="str">
        <f>IF(法术书!AE21="","",法术书!AE21)</f>
        <v/>
      </c>
      <c r="AL165" s="119" t="str">
        <f t="array" ref="AL165">IFERROR(INDEX(AK$1:AK$301,SMALL(IF(MATCH(AK165,AK$1:AK$301,0)=ROW(AK165),ROW(AK$1:AK$301),999),ROW(AK165))),"")</f>
        <v/>
      </c>
      <c r="AM165" s="120" t="str">
        <f t="array" ref="AM165">INDEX(AL:AL,SMALL(IF($AL$2:$AL$301&lt;&gt;"",ROW($2:$301),302),ROW(AL164)))&amp;""</f>
        <v/>
      </c>
    </row>
    <row r="166" spans="1:39" ht="14.4" customHeight="1" x14ac:dyDescent="0.25">
      <c r="A166" s="250">
        <v>164</v>
      </c>
      <c r="B166" s="119" t="s">
        <v>7033</v>
      </c>
      <c r="C166" s="119" t="s">
        <v>7034</v>
      </c>
      <c r="E166" s="378" t="s">
        <v>6281</v>
      </c>
      <c r="F166" s="180" t="s">
        <v>6352</v>
      </c>
      <c r="G166" s="180" t="s">
        <v>6291</v>
      </c>
      <c r="H166" s="180">
        <v>1</v>
      </c>
      <c r="N166" s="180" t="s">
        <v>6284</v>
      </c>
      <c r="O166" s="119" t="s">
        <v>7035</v>
      </c>
      <c r="P166" s="119">
        <v>2</v>
      </c>
      <c r="Q166" s="119" t="s">
        <v>242</v>
      </c>
      <c r="W166" s="180">
        <v>1</v>
      </c>
      <c r="X166" s="180">
        <v>1</v>
      </c>
      <c r="Y166" s="180">
        <v>1</v>
      </c>
      <c r="AA166" s="120" t="s">
        <v>7036</v>
      </c>
      <c r="AB166" s="250" t="str">
        <f t="array" ref="AB166">INDEX(B:B,SMALL(IF($Q$3:$Q$517&lt;&gt;"",ROW($3:$517),518),ROW(B165)))&amp;""</f>
        <v>月华之光</v>
      </c>
      <c r="AC166" s="394" t="str">
        <f>IFERROR(IF(AND($Q167&lt;&gt;"",IF(法术查询!$J$4="",1,INDEX($R167:$Z167,1,VLOOKUP(法术查询!$J$4,$AF$2:$AG$10,2,0)))&lt;&gt;"",IF(法术查询!$J$5="",1,$P167=VLOOKUP(法术查询!$J$5,$AH$2:$AI$11,2,0)),IF(法术查询!$J$6="",1,IF(法术查询!$J$6=$E167,1,0)),IF(法术查询!$J$7="",1,SEARCH(法术查询!$J$7,$F167)),IF(法术查询!$J$8="",1,SEARCH(法术查询!$J$8,G167)),IF(法术查询!$J$9="",1,SEARCH(法术查询!$J$9,N167)),IF(法术查询!$J$10="",1,IF(法术查询!$J$10=$AF$11,IF($M167=1,1,0),IF($M167="",1,0))),IF(法术查询!$J$11="",1,IF(法术查询!$J$11=$AF$11,IF($D167=1,1,0),IF($D167="",1,0))),IF(法术查询!$J$12="",1,SEARCH(法术查询!$J$12,$B167&amp;$C167&amp;$O167)),IF(法术查询!$J$13="",1,SEARCH(法术查询!$J$13,$B167&amp;$C167&amp;$O167)),IF(法术查询!$J$14="",1,SEARCH(法术查询!$J$14,$B167&amp;$C167&amp;$O167)),IF(法术查询!$J$16="",1,IF(法术查询!$J$16=$AF$11,IF($H167=1,1,0),IF($H167="",1,0))),IF(法术查询!$J$17="",1,IF(法术查询!$J$17=$AF$11,IF($I167=1,1,0),IF($I167="",1,0))),IF(法术查询!$J$18="",1,IF(法术查询!$J$18=$AF$11,IF($J167&lt;&gt;"",1,0),IF($J167="",1,0))),IF(法术查询!$J$19="",1,IF(法术查询!$J$19=$AF$11,IF($L167&lt;&gt;"",1,0),IF($L167="",1,0)))),$B167,""),"")</f>
        <v/>
      </c>
      <c r="AD166" s="180" t="str">
        <f t="array" ref="AD166">INDEX(AC:AC,SMALL(IF($AC$2:$AC$516&lt;&gt;"",ROW($2:$516),517),ROW(AC165)))&amp;""</f>
        <v/>
      </c>
      <c r="AE166" s="198" t="str">
        <f t="shared" si="6"/>
        <v/>
      </c>
      <c r="AJ166" s="250">
        <v>165</v>
      </c>
      <c r="AK166" s="180" t="str">
        <f>IF(法术书!AE22="","",法术书!AE22)</f>
        <v/>
      </c>
      <c r="AL166" s="119" t="str">
        <f t="array" ref="AL166">IFERROR(INDEX(AK$1:AK$301,SMALL(IF(MATCH(AK166,AK$1:AK$301,0)=ROW(AK166),ROW(AK$1:AK$301),999),ROW(AK166))),"")</f>
        <v/>
      </c>
      <c r="AM166" s="120" t="str">
        <f t="array" ref="AM166">INDEX(AL:AL,SMALL(IF($AL$2:$AL$301&lt;&gt;"",ROW($2:$301),302),ROW(AL165)))&amp;""</f>
        <v/>
      </c>
    </row>
    <row r="167" spans="1:39" ht="14.4" customHeight="1" x14ac:dyDescent="0.25">
      <c r="A167" s="250">
        <v>165</v>
      </c>
      <c r="B167" s="119" t="s">
        <v>7037</v>
      </c>
      <c r="C167" s="119" t="s">
        <v>7038</v>
      </c>
      <c r="E167" s="434" t="s">
        <v>6304</v>
      </c>
      <c r="F167" s="180" t="s">
        <v>6282</v>
      </c>
      <c r="G167" s="180" t="s">
        <v>6298</v>
      </c>
      <c r="H167" s="180">
        <v>1</v>
      </c>
      <c r="I167" s="180">
        <v>1</v>
      </c>
      <c r="J167" s="180">
        <v>1</v>
      </c>
      <c r="K167" s="119" t="s">
        <v>7039</v>
      </c>
      <c r="M167" s="180">
        <v>1</v>
      </c>
      <c r="N167" s="180" t="s">
        <v>6306</v>
      </c>
      <c r="O167" s="119" t="s">
        <v>7040</v>
      </c>
      <c r="P167" s="119">
        <v>2</v>
      </c>
      <c r="Q167" s="119" t="s">
        <v>242</v>
      </c>
      <c r="T167" s="180">
        <v>1</v>
      </c>
      <c r="AA167" s="120" t="s">
        <v>7041</v>
      </c>
      <c r="AB167" s="250" t="str">
        <f t="array" ref="AB167">INDEX(B:B,SMALL(IF($Q$3:$Q$517&lt;&gt;"",ROW($3:$517),518),ROW(B166)))&amp;""</f>
        <v>涅斯图魔法灵光</v>
      </c>
      <c r="AC167" s="394" t="str">
        <f>IFERROR(IF(AND($Q168&lt;&gt;"",IF(法术查询!$J$4="",1,INDEX($R168:$Z168,1,VLOOKUP(法术查询!$J$4,$AF$2:$AG$10,2,0)))&lt;&gt;"",IF(法术查询!$J$5="",1,$P168=VLOOKUP(法术查询!$J$5,$AH$2:$AI$11,2,0)),IF(法术查询!$J$6="",1,IF(法术查询!$J$6=$E168,1,0)),IF(法术查询!$J$7="",1,SEARCH(法术查询!$J$7,$F168)),IF(法术查询!$J$8="",1,SEARCH(法术查询!$J$8,G168)),IF(法术查询!$J$9="",1,SEARCH(法术查询!$J$9,N168)),IF(法术查询!$J$10="",1,IF(法术查询!$J$10=$AF$11,IF($M168=1,1,0),IF($M168="",1,0))),IF(法术查询!$J$11="",1,IF(法术查询!$J$11=$AF$11,IF($D168=1,1,0),IF($D168="",1,0))),IF(法术查询!$J$12="",1,SEARCH(法术查询!$J$12,$B168&amp;$C168&amp;$O168)),IF(法术查询!$J$13="",1,SEARCH(法术查询!$J$13,$B168&amp;$C168&amp;$O168)),IF(法术查询!$J$14="",1,SEARCH(法术查询!$J$14,$B168&amp;$C168&amp;$O168)),IF(法术查询!$J$16="",1,IF(法术查询!$J$16=$AF$11,IF($H168=1,1,0),IF($H168="",1,0))),IF(法术查询!$J$17="",1,IF(法术查询!$J$17=$AF$11,IF($I168=1,1,0),IF($I168="",1,0))),IF(法术查询!$J$18="",1,IF(法术查询!$J$18=$AF$11,IF($J168&lt;&gt;"",1,0),IF($J168="",1,0))),IF(法术查询!$J$19="",1,IF(法术查询!$J$19=$AF$11,IF($L168&lt;&gt;"",1,0),IF($L168="",1,0)))),$B168,""),"")</f>
        <v/>
      </c>
      <c r="AD167" s="180" t="str">
        <f t="array" ref="AD167">INDEX(AC:AC,SMALL(IF($AC$2:$AC$516&lt;&gt;"",ROW($2:$516),517),ROW(AC166)))&amp;""</f>
        <v/>
      </c>
      <c r="AE167" s="198" t="str">
        <f t="shared" si="6"/>
        <v/>
      </c>
      <c r="AJ167" s="250">
        <v>166</v>
      </c>
      <c r="AK167" s="180" t="str">
        <f>IF(法术书!AE23="","",法术书!AE23)</f>
        <v/>
      </c>
      <c r="AL167" s="119" t="str">
        <f t="array" ref="AL167">IFERROR(INDEX(AK$1:AK$301,SMALL(IF(MATCH(AK167,AK$1:AK$301,0)=ROW(AK167),ROW(AK$1:AK$301),999),ROW(AK167))),"")</f>
        <v/>
      </c>
      <c r="AM167" s="120" t="str">
        <f t="array" ref="AM167">INDEX(AL:AL,SMALL(IF($AL$2:$AL$301&lt;&gt;"",ROW($2:$301),302),ROW(AL166)))&amp;""</f>
        <v/>
      </c>
    </row>
    <row r="168" spans="1:39" ht="14.4" customHeight="1" x14ac:dyDescent="0.25">
      <c r="A168" s="250">
        <v>166</v>
      </c>
      <c r="B168" s="119" t="s">
        <v>7042</v>
      </c>
      <c r="C168" s="119" t="s">
        <v>7043</v>
      </c>
      <c r="E168" s="285" t="s">
        <v>6366</v>
      </c>
      <c r="F168" s="180" t="s">
        <v>6282</v>
      </c>
      <c r="G168" s="180" t="s">
        <v>3682</v>
      </c>
      <c r="H168" s="180">
        <v>1</v>
      </c>
      <c r="I168" s="180">
        <v>1</v>
      </c>
      <c r="J168" s="180">
        <v>1</v>
      </c>
      <c r="K168" s="119" t="s">
        <v>7044</v>
      </c>
      <c r="N168" s="180" t="s">
        <v>6399</v>
      </c>
      <c r="O168" s="119" t="s">
        <v>7045</v>
      </c>
      <c r="P168" s="119">
        <v>2</v>
      </c>
      <c r="Q168" s="119" t="s">
        <v>242</v>
      </c>
      <c r="X168" s="180">
        <v>1</v>
      </c>
      <c r="AA168" s="198" t="s">
        <v>1965</v>
      </c>
      <c r="AB168" s="250" t="str">
        <f t="array" ref="AB168">INDEX(B:B,SMALL(IF($Q$3:$Q$517&lt;&gt;"",ROW($3:$517),518),ROW(B167)))&amp;""</f>
        <v>行动无踪</v>
      </c>
      <c r="AC168" s="394" t="str">
        <f>IFERROR(IF(AND($Q169&lt;&gt;"",IF(法术查询!$J$4="",1,INDEX($R169:$Z169,1,VLOOKUP(法术查询!$J$4,$AF$2:$AG$10,2,0)))&lt;&gt;"",IF(法术查询!$J$5="",1,$P169=VLOOKUP(法术查询!$J$5,$AH$2:$AI$11,2,0)),IF(法术查询!$J$6="",1,IF(法术查询!$J$6=$E169,1,0)),IF(法术查询!$J$7="",1,SEARCH(法术查询!$J$7,$F169)),IF(法术查询!$J$8="",1,SEARCH(法术查询!$J$8,G169)),IF(法术查询!$J$9="",1,SEARCH(法术查询!$J$9,N169)),IF(法术查询!$J$10="",1,IF(法术查询!$J$10=$AF$11,IF($M169=1,1,0),IF($M169="",1,0))),IF(法术查询!$J$11="",1,IF(法术查询!$J$11=$AF$11,IF($D169=1,1,0),IF($D169="",1,0))),IF(法术查询!$J$12="",1,SEARCH(法术查询!$J$12,$B169&amp;$C169&amp;$O169)),IF(法术查询!$J$13="",1,SEARCH(法术查询!$J$13,$B169&amp;$C169&amp;$O169)),IF(法术查询!$J$14="",1,SEARCH(法术查询!$J$14,$B169&amp;$C169&amp;$O169)),IF(法术查询!$J$16="",1,IF(法术查询!$J$16=$AF$11,IF($H169=1,1,0),IF($H169="",1,0))),IF(法术查询!$J$17="",1,IF(法术查询!$J$17=$AF$11,IF($I169=1,1,0),IF($I169="",1,0))),IF(法术查询!$J$18="",1,IF(法术查询!$J$18=$AF$11,IF($J169&lt;&gt;"",1,0),IF($J169="",1,0))),IF(法术查询!$J$19="",1,IF(法术查询!$J$19=$AF$11,IF($L169&lt;&gt;"",1,0),IF($L169="",1,0)))),$B169,""),"")</f>
        <v/>
      </c>
      <c r="AD168" s="180" t="str">
        <f t="array" ref="AD168">INDEX(AC:AC,SMALL(IF($AC$2:$AC$516&lt;&gt;"",ROW($2:$516),517),ROW(AC167)))&amp;""</f>
        <v/>
      </c>
      <c r="AE168" s="198" t="str">
        <f t="shared" si="6"/>
        <v/>
      </c>
      <c r="AJ168" s="250">
        <v>167</v>
      </c>
      <c r="AK168" s="180" t="str">
        <f>IF(法术书!AE24="","",法术书!AE24)</f>
        <v/>
      </c>
      <c r="AL168" s="119" t="str">
        <f t="array" ref="AL168">IFERROR(INDEX(AK$1:AK$301,SMALL(IF(MATCH(AK168,AK$1:AK$301,0)=ROW(AK168),ROW(AK$1:AK$301),999),ROW(AK168))),"")</f>
        <v/>
      </c>
      <c r="AM168" s="120" t="str">
        <f t="array" ref="AM168">INDEX(AL:AL,SMALL(IF($AL$2:$AL$301&lt;&gt;"",ROW($2:$301),302),ROW(AL167)))&amp;""</f>
        <v/>
      </c>
    </row>
    <row r="169" spans="1:39" ht="14.4" customHeight="1" x14ac:dyDescent="0.25">
      <c r="A169" s="250">
        <v>167</v>
      </c>
      <c r="B169" s="119" t="s">
        <v>7046</v>
      </c>
      <c r="C169" s="119" t="s">
        <v>7047</v>
      </c>
      <c r="E169" s="440" t="s">
        <v>6290</v>
      </c>
      <c r="F169" s="180" t="s">
        <v>6282</v>
      </c>
      <c r="G169" s="180" t="s">
        <v>6291</v>
      </c>
      <c r="H169" s="180">
        <v>1</v>
      </c>
      <c r="I169" s="180">
        <v>1</v>
      </c>
      <c r="J169" s="180">
        <v>1</v>
      </c>
      <c r="K169" s="119" t="s">
        <v>7048</v>
      </c>
      <c r="M169" s="180">
        <v>1</v>
      </c>
      <c r="N169" s="180" t="s">
        <v>6379</v>
      </c>
      <c r="O169" s="119" t="s">
        <v>7049</v>
      </c>
      <c r="P169" s="119">
        <v>2</v>
      </c>
      <c r="Q169" s="119" t="s">
        <v>242</v>
      </c>
      <c r="T169" s="180">
        <v>1</v>
      </c>
      <c r="V169" s="180">
        <v>1</v>
      </c>
      <c r="AA169" s="120" t="s">
        <v>7050</v>
      </c>
      <c r="AB169" s="250" t="str">
        <f t="array" ref="AB169">INDEX(B:B,SMALL(IF($Q$3:$Q$517&lt;&gt;"",ROW($3:$517),518),ROW(B168)))&amp;""</f>
        <v>魅影之力</v>
      </c>
      <c r="AC169" s="394" t="str">
        <f>IFERROR(IF(AND($Q170&lt;&gt;"",IF(法术查询!$J$4="",1,INDEX($R170:$Z170,1,VLOOKUP(法术查询!$J$4,$AF$2:$AG$10,2,0)))&lt;&gt;"",IF(法术查询!$J$5="",1,$P170=VLOOKUP(法术查询!$J$5,$AH$2:$AI$11,2,0)),IF(法术查询!$J$6="",1,IF(法术查询!$J$6=$E170,1,0)),IF(法术查询!$J$7="",1,SEARCH(法术查询!$J$7,$F170)),IF(法术查询!$J$8="",1,SEARCH(法术查询!$J$8,G170)),IF(法术查询!$J$9="",1,SEARCH(法术查询!$J$9,N170)),IF(法术查询!$J$10="",1,IF(法术查询!$J$10=$AF$11,IF($M170=1,1,0),IF($M170="",1,0))),IF(法术查询!$J$11="",1,IF(法术查询!$J$11=$AF$11,IF($D170=1,1,0),IF($D170="",1,0))),IF(法术查询!$J$12="",1,SEARCH(法术查询!$J$12,$B170&amp;$C170&amp;$O170)),IF(法术查询!$J$13="",1,SEARCH(法术查询!$J$13,$B170&amp;$C170&amp;$O170)),IF(法术查询!$J$14="",1,SEARCH(法术查询!$J$14,$B170&amp;$C170&amp;$O170)),IF(法术查询!$J$16="",1,IF(法术查询!$J$16=$AF$11,IF($H170=1,1,0),IF($H170="",1,0))),IF(法术查询!$J$17="",1,IF(法术查询!$J$17=$AF$11,IF($I170=1,1,0),IF($I170="",1,0))),IF(法术查询!$J$18="",1,IF(法术查询!$J$18=$AF$11,IF($J170&lt;&gt;"",1,0),IF($J170="",1,0))),IF(法术查询!$J$19="",1,IF(法术查询!$J$19=$AF$11,IF($L170&lt;&gt;"",1,0),IF($L170="",1,0)))),$B170,""),"")</f>
        <v/>
      </c>
      <c r="AD169" s="180" t="str">
        <f t="array" ref="AD169">INDEX(AC:AC,SMALL(IF($AC$2:$AC$516&lt;&gt;"",ROW($2:$516),517),ROW(AC168)))&amp;""</f>
        <v/>
      </c>
      <c r="AE169" s="198" t="str">
        <f t="shared" si="6"/>
        <v/>
      </c>
      <c r="AJ169" s="250">
        <v>168</v>
      </c>
      <c r="AK169" s="180" t="str">
        <f>IF(法术书!AE25="","",法术书!AE25)</f>
        <v/>
      </c>
      <c r="AL169" s="119" t="str">
        <f t="array" ref="AL169">IFERROR(INDEX(AK$1:AK$301,SMALL(IF(MATCH(AK169,AK$1:AK$301,0)=ROW(AK169),ROW(AK$1:AK$301),999),ROW(AK169))),"")</f>
        <v/>
      </c>
      <c r="AM169" s="120" t="str">
        <f t="array" ref="AM169">INDEX(AL:AL,SMALL(IF($AL$2:$AL$301&lt;&gt;"",ROW($2:$301),302),ROW(AL168)))&amp;""</f>
        <v/>
      </c>
    </row>
    <row r="170" spans="1:39" ht="14.4" customHeight="1" x14ac:dyDescent="0.25">
      <c r="A170" s="250">
        <v>168</v>
      </c>
      <c r="B170" s="119" t="s">
        <v>7051</v>
      </c>
      <c r="C170" s="119" t="s">
        <v>7052</v>
      </c>
      <c r="E170" s="285" t="s">
        <v>6366</v>
      </c>
      <c r="F170" s="180" t="s">
        <v>6282</v>
      </c>
      <c r="G170" s="180" t="s">
        <v>6283</v>
      </c>
      <c r="H170" s="180">
        <v>1</v>
      </c>
      <c r="I170" s="180">
        <v>1</v>
      </c>
      <c r="J170" s="180">
        <v>1</v>
      </c>
      <c r="K170" s="119" t="s">
        <v>7053</v>
      </c>
      <c r="M170" s="180">
        <v>1</v>
      </c>
      <c r="N170" s="180" t="s">
        <v>6306</v>
      </c>
      <c r="O170" s="119" t="s">
        <v>7054</v>
      </c>
      <c r="P170" s="119">
        <v>2</v>
      </c>
      <c r="Q170" s="119" t="s">
        <v>242</v>
      </c>
      <c r="R170" s="180">
        <v>1</v>
      </c>
      <c r="W170" s="180">
        <v>1</v>
      </c>
      <c r="X170" s="180">
        <v>1</v>
      </c>
      <c r="AA170" s="120" t="s">
        <v>7055</v>
      </c>
      <c r="AB170" s="250" t="str">
        <f t="array" ref="AB170">INDEX(B:B,SMALL(IF($Q$3:$Q$517&lt;&gt;"",ROW($3:$517),518),ROW(B169)))&amp;""</f>
        <v>治疗祷言</v>
      </c>
      <c r="AC170" s="394" t="str">
        <f>IFERROR(IF(AND($Q171&lt;&gt;"",IF(法术查询!$J$4="",1,INDEX($R171:$Z171,1,VLOOKUP(法术查询!$J$4,$AF$2:$AG$10,2,0)))&lt;&gt;"",IF(法术查询!$J$5="",1,$P171=VLOOKUP(法术查询!$J$5,$AH$2:$AI$11,2,0)),IF(法术查询!$J$6="",1,IF(法术查询!$J$6=$E171,1,0)),IF(法术查询!$J$7="",1,SEARCH(法术查询!$J$7,$F171)),IF(法术查询!$J$8="",1,SEARCH(法术查询!$J$8,G171)),IF(法术查询!$J$9="",1,SEARCH(法术查询!$J$9,N171)),IF(法术查询!$J$10="",1,IF(法术查询!$J$10=$AF$11,IF($M171=1,1,0),IF($M171="",1,0))),IF(法术查询!$J$11="",1,IF(法术查询!$J$11=$AF$11,IF($D171=1,1,0),IF($D171="",1,0))),IF(法术查询!$J$12="",1,SEARCH(法术查询!$J$12,$B171&amp;$C171&amp;$O171)),IF(法术查询!$J$13="",1,SEARCH(法术查询!$J$13,$B171&amp;$C171&amp;$O171)),IF(法术查询!$J$14="",1,SEARCH(法术查询!$J$14,$B171&amp;$C171&amp;$O171)),IF(法术查询!$J$16="",1,IF(法术查询!$J$16=$AF$11,IF($H171=1,1,0),IF($H171="",1,0))),IF(法术查询!$J$17="",1,IF(法术查询!$J$17=$AF$11,IF($I171=1,1,0),IF($I171="",1,0))),IF(法术查询!$J$18="",1,IF(法术查询!$J$18=$AF$11,IF($J171&lt;&gt;"",1,0),IF($J171="",1,0))),IF(法术查询!$J$19="",1,IF(法术查询!$J$19=$AF$11,IF($L171&lt;&gt;"",1,0),IF($L171="",1,0)))),$B171,""),"")</f>
        <v/>
      </c>
      <c r="AD170" s="180" t="str">
        <f t="array" ref="AD170">INDEX(AC:AC,SMALL(IF($AC$2:$AC$516&lt;&gt;"",ROW($2:$516),517),ROW(AC169)))&amp;""</f>
        <v/>
      </c>
      <c r="AE170" s="198" t="str">
        <f t="shared" si="6"/>
        <v/>
      </c>
      <c r="AJ170" s="250">
        <v>169</v>
      </c>
      <c r="AK170" s="180" t="str">
        <f>IF(法术书!AE26="","",法术书!AE26)</f>
        <v/>
      </c>
      <c r="AL170" s="119" t="str">
        <f t="array" ref="AL170">IFERROR(INDEX(AK$1:AK$301,SMALL(IF(MATCH(AK170,AK$1:AK$301,0)=ROW(AK170),ROW(AK$1:AK$301),999),ROW(AK170))),"")</f>
        <v/>
      </c>
      <c r="AM170" s="120" t="str">
        <f t="array" ref="AM170">INDEX(AL:AL,SMALL(IF($AL$2:$AL$301&lt;&gt;"",ROW($2:$301),302),ROW(AL169)))&amp;""</f>
        <v/>
      </c>
    </row>
    <row r="171" spans="1:39" ht="14.4" customHeight="1" x14ac:dyDescent="0.25">
      <c r="A171" s="250">
        <v>169</v>
      </c>
      <c r="B171" s="119" t="s">
        <v>7056</v>
      </c>
      <c r="C171" s="119" t="s">
        <v>7057</v>
      </c>
      <c r="E171" s="434" t="s">
        <v>6304</v>
      </c>
      <c r="F171" s="180" t="s">
        <v>6371</v>
      </c>
      <c r="G171" s="180" t="s">
        <v>6313</v>
      </c>
      <c r="H171" s="180">
        <v>1</v>
      </c>
      <c r="N171" s="180" t="s">
        <v>6284</v>
      </c>
      <c r="O171" s="119" t="s">
        <v>7058</v>
      </c>
      <c r="P171" s="119">
        <v>2</v>
      </c>
      <c r="Q171" s="119" t="s">
        <v>242</v>
      </c>
      <c r="S171" s="180">
        <v>1</v>
      </c>
      <c r="U171" s="180" t="str">
        <f>IF(综合数据!$B$14=TRUE,"13","")</f>
        <v>13</v>
      </c>
      <c r="AA171" s="198" t="s">
        <v>756</v>
      </c>
      <c r="AB171" s="250" t="str">
        <f t="array" ref="AB171">INDEX(B:B,SMALL(IF($Q$3:$Q$517&lt;&gt;"",ROW($3:$517),518),ROW(B170)))&amp;""</f>
        <v>防护毒素</v>
      </c>
      <c r="AC171" s="394" t="str">
        <f>IFERROR(IF(AND($Q172&lt;&gt;"",IF(法术查询!$J$4="",1,INDEX($R172:$Z172,1,VLOOKUP(法术查询!$J$4,$AF$2:$AG$10,2,0)))&lt;&gt;"",IF(法术查询!$J$5="",1,$P172=VLOOKUP(法术查询!$J$5,$AH$2:$AI$11,2,0)),IF(法术查询!$J$6="",1,IF(法术查询!$J$6=$E172,1,0)),IF(法术查询!$J$7="",1,SEARCH(法术查询!$J$7,$F172)),IF(法术查询!$J$8="",1,SEARCH(法术查询!$J$8,G172)),IF(法术查询!$J$9="",1,SEARCH(法术查询!$J$9,N172)),IF(法术查询!$J$10="",1,IF(法术查询!$J$10=$AF$11,IF($M172=1,1,0),IF($M172="",1,0))),IF(法术查询!$J$11="",1,IF(法术查询!$J$11=$AF$11,IF($D172=1,1,0),IF($D172="",1,0))),IF(法术查询!$J$12="",1,SEARCH(法术查询!$J$12,$B172&amp;$C172&amp;$O172)),IF(法术查询!$J$13="",1,SEARCH(法术查询!$J$13,$B172&amp;$C172&amp;$O172)),IF(法术查询!$J$14="",1,SEARCH(法术查询!$J$14,$B172&amp;$C172&amp;$O172)),IF(法术查询!$J$16="",1,IF(法术查询!$J$16=$AF$11,IF($H172=1,1,0),IF($H172="",1,0))),IF(法术查询!$J$17="",1,IF(法术查询!$J$17=$AF$11,IF($I172=1,1,0),IF($I172="",1,0))),IF(法术查询!$J$18="",1,IF(法术查询!$J$18=$AF$11,IF($J172&lt;&gt;"",1,0),IF($J172="",1,0))),IF(法术查询!$J$19="",1,IF(法术查询!$J$19=$AF$11,IF($L172&lt;&gt;"",1,0),IF($L172="",1,0)))),$B172,""),"")</f>
        <v/>
      </c>
      <c r="AD171" s="180" t="str">
        <f t="array" ref="AD171">INDEX(AC:AC,SMALL(IF($AC$2:$AC$516&lt;&gt;"",ROW($2:$516),517),ROW(AC170)))&amp;""</f>
        <v/>
      </c>
      <c r="AE171" s="198" t="str">
        <f t="shared" si="6"/>
        <v/>
      </c>
      <c r="AJ171" s="250">
        <v>170</v>
      </c>
      <c r="AK171" s="180" t="str">
        <f>IF(法术书!AE27="","",法术书!AE27)</f>
        <v/>
      </c>
      <c r="AL171" s="119" t="str">
        <f t="array" ref="AL171">IFERROR(INDEX(AK$1:AK$301,SMALL(IF(MATCH(AK171,AK$1:AK$301,0)=ROW(AK171),ROW(AK$1:AK$301),999),ROW(AK171))),"")</f>
        <v/>
      </c>
      <c r="AM171" s="120" t="str">
        <f t="array" ref="AM171">INDEX(AL:AL,SMALL(IF($AL$2:$AL$301&lt;&gt;"",ROW($2:$301),302),ROW(AL170)))&amp;""</f>
        <v/>
      </c>
    </row>
    <row r="172" spans="1:39" ht="14.4" customHeight="1" x14ac:dyDescent="0.25">
      <c r="A172" s="250">
        <v>170</v>
      </c>
      <c r="B172" s="119" t="s">
        <v>7059</v>
      </c>
      <c r="C172" s="119" t="s">
        <v>7060</v>
      </c>
      <c r="E172" s="440" t="s">
        <v>6290</v>
      </c>
      <c r="F172" s="180" t="s">
        <v>6282</v>
      </c>
      <c r="G172" s="180" t="s">
        <v>3682</v>
      </c>
      <c r="H172" s="180">
        <v>1</v>
      </c>
      <c r="I172" s="180">
        <v>1</v>
      </c>
      <c r="N172" s="180" t="s">
        <v>6344</v>
      </c>
      <c r="O172" s="119" t="s">
        <v>7061</v>
      </c>
      <c r="P172" s="119">
        <v>2</v>
      </c>
      <c r="Q172" s="119" t="s">
        <v>242</v>
      </c>
      <c r="S172" s="180">
        <v>1</v>
      </c>
      <c r="T172" s="180">
        <v>1</v>
      </c>
      <c r="U172" s="180">
        <v>1</v>
      </c>
      <c r="V172" s="180">
        <v>1</v>
      </c>
      <c r="Z172" s="180">
        <v>9</v>
      </c>
      <c r="AA172" s="198" t="s">
        <v>7062</v>
      </c>
      <c r="AB172" s="250" t="str">
        <f t="array" ref="AB172">INDEX(B:B,SMALL(IF($Q$3:$Q$517&lt;&gt;"",ROW($3:$517),518),ROW(B171)))&amp;""</f>
        <v>衰弱射线</v>
      </c>
      <c r="AC172" s="394" t="str">
        <f>IFERROR(IF(AND($Q173&lt;&gt;"",IF(法术查询!$J$4="",1,INDEX($R173:$Z173,1,VLOOKUP(法术查询!$J$4,$AF$2:$AG$10,2,0)))&lt;&gt;"",IF(法术查询!$J$5="",1,$P173=VLOOKUP(法术查询!$J$5,$AH$2:$AI$11,2,0)),IF(法术查询!$J$6="",1,IF(法术查询!$J$6=$E173,1,0)),IF(法术查询!$J$7="",1,SEARCH(法术查询!$J$7,$F173)),IF(法术查询!$J$8="",1,SEARCH(法术查询!$J$8,G173)),IF(法术查询!$J$9="",1,SEARCH(法术查询!$J$9,N173)),IF(法术查询!$J$10="",1,IF(法术查询!$J$10=$AF$11,IF($M173=1,1,0),IF($M173="",1,0))),IF(法术查询!$J$11="",1,IF(法术查询!$J$11=$AF$11,IF($D173=1,1,0),IF($D173="",1,0))),IF(法术查询!$J$12="",1,SEARCH(法术查询!$J$12,$B173&amp;$C173&amp;$O173)),IF(法术查询!$J$13="",1,SEARCH(法术查询!$J$13,$B173&amp;$C173&amp;$O173)),IF(法术查询!$J$14="",1,SEARCH(法术查询!$J$14,$B173&amp;$C173&amp;$O173)),IF(法术查询!$J$16="",1,IF(法术查询!$J$16=$AF$11,IF($H173=1,1,0),IF($H173="",1,0))),IF(法术查询!$J$17="",1,IF(法术查询!$J$17=$AF$11,IF($I173=1,1,0),IF($I173="",1,0))),IF(法术查询!$J$18="",1,IF(法术查询!$J$18=$AF$11,IF($J173&lt;&gt;"",1,0),IF($J173="",1,0))),IF(法术查询!$J$19="",1,IF(法术查询!$J$19=$AF$11,IF($L173&lt;&gt;"",1,0),IF($L173="",1,0)))),$B173,""),"")</f>
        <v/>
      </c>
      <c r="AD172" s="180" t="str">
        <f t="array" ref="AD172">INDEX(AC:AC,SMALL(IF($AC$2:$AC$516&lt;&gt;"",ROW($2:$516),517),ROW(AC171)))&amp;""</f>
        <v/>
      </c>
      <c r="AE172" s="198" t="str">
        <f t="shared" si="6"/>
        <v/>
      </c>
      <c r="AJ172" s="250">
        <v>171</v>
      </c>
      <c r="AK172" s="180" t="str">
        <f>IF(法术书!AE28="","",法术书!AE28)</f>
        <v/>
      </c>
      <c r="AL172" s="119" t="str">
        <f t="array" ref="AL172">IFERROR(INDEX(AK$1:AK$301,SMALL(IF(MATCH(AK172,AK$1:AK$301,0)=ROW(AK172),ROW(AK$1:AK$301),999),ROW(AK172))),"")</f>
        <v/>
      </c>
      <c r="AM172" s="120" t="str">
        <f t="array" ref="AM172">INDEX(AL:AL,SMALL(IF($AL$2:$AL$301&lt;&gt;"",ROW($2:$301),302),ROW(AL171)))&amp;""</f>
        <v/>
      </c>
    </row>
    <row r="173" spans="1:39" ht="14.4" customHeight="1" x14ac:dyDescent="0.25">
      <c r="A173" s="250">
        <v>171</v>
      </c>
      <c r="B173" s="119" t="s">
        <v>7063</v>
      </c>
      <c r="C173" s="119" t="s">
        <v>7064</v>
      </c>
      <c r="E173" s="441" t="s">
        <v>6297</v>
      </c>
      <c r="F173" s="180" t="s">
        <v>6282</v>
      </c>
      <c r="G173" s="180" t="s">
        <v>6283</v>
      </c>
      <c r="H173" s="180">
        <v>1</v>
      </c>
      <c r="I173" s="180">
        <v>1</v>
      </c>
      <c r="M173" s="180">
        <v>1</v>
      </c>
      <c r="N173" s="180" t="s">
        <v>6306</v>
      </c>
      <c r="O173" s="119" t="s">
        <v>7065</v>
      </c>
      <c r="P173" s="119">
        <v>2</v>
      </c>
      <c r="Q173" s="119" t="s">
        <v>242</v>
      </c>
      <c r="X173" s="180">
        <v>1</v>
      </c>
      <c r="Y173" s="180">
        <v>1</v>
      </c>
      <c r="AA173" s="120" t="s">
        <v>7066</v>
      </c>
      <c r="AB173" s="250" t="str">
        <f t="array" ref="AB173">INDEX(B:B,SMALL(IF($Q$3:$Q$517&lt;&gt;"",ROW($3:$517),518),ROW(B172)))&amp;""</f>
        <v>魔绳术</v>
      </c>
      <c r="AC173" s="394" t="str">
        <f>IFERROR(IF(AND($Q174&lt;&gt;"",IF(法术查询!$J$4="",1,INDEX($R174:$Z174,1,VLOOKUP(法术查询!$J$4,$AF$2:$AG$10,2,0)))&lt;&gt;"",IF(法术查询!$J$5="",1,$P174=VLOOKUP(法术查询!$J$5,$AH$2:$AI$11,2,0)),IF(法术查询!$J$6="",1,IF(法术查询!$J$6=$E174,1,0)),IF(法术查询!$J$7="",1,SEARCH(法术查询!$J$7,$F174)),IF(法术查询!$J$8="",1,SEARCH(法术查询!$J$8,G174)),IF(法术查询!$J$9="",1,SEARCH(法术查询!$J$9,N174)),IF(法术查询!$J$10="",1,IF(法术查询!$J$10=$AF$11,IF($M174=1,1,0),IF($M174="",1,0))),IF(法术查询!$J$11="",1,IF(法术查询!$J$11=$AF$11,IF($D174=1,1,0),IF($D174="",1,0))),IF(法术查询!$J$12="",1,SEARCH(法术查询!$J$12,$B174&amp;$C174&amp;$O174)),IF(法术查询!$J$13="",1,SEARCH(法术查询!$J$13,$B174&amp;$C174&amp;$O174)),IF(法术查询!$J$14="",1,SEARCH(法术查询!$J$14,$B174&amp;$C174&amp;$O174)),IF(法术查询!$J$16="",1,IF(法术查询!$J$16=$AF$11,IF($H174=1,1,0),IF($H174="",1,0))),IF(法术查询!$J$17="",1,IF(法术查询!$J$17=$AF$11,IF($I174=1,1,0),IF($I174="",1,0))),IF(法术查询!$J$18="",1,IF(法术查询!$J$18=$AF$11,IF($J174&lt;&gt;"",1,0),IF($J174="",1,0))),IF(法术查询!$J$19="",1,IF(法术查询!$J$19=$AF$11,IF($L174&lt;&gt;"",1,0),IF($L174="",1,0)))),$B174,""),"")</f>
        <v/>
      </c>
      <c r="AD173" s="180" t="str">
        <f t="array" ref="AD173">INDEX(AC:AC,SMALL(IF($AC$2:$AC$516&lt;&gt;"",ROW($2:$516),517),ROW(AC172)))&amp;""</f>
        <v/>
      </c>
      <c r="AE173" s="198" t="str">
        <f t="shared" si="6"/>
        <v/>
      </c>
      <c r="AJ173" s="250">
        <v>172</v>
      </c>
      <c r="AK173" s="180" t="str">
        <f>IF(法术书!AE29="","",法术书!AE29)</f>
        <v/>
      </c>
      <c r="AL173" s="119" t="str">
        <f t="array" ref="AL173">IFERROR(INDEX(AK$1:AK$301,SMALL(IF(MATCH(AK173,AK$1:AK$301,0)=ROW(AK173),ROW(AK$1:AK$301),999),ROW(AK173))),"")</f>
        <v/>
      </c>
      <c r="AM173" s="120" t="str">
        <f t="array" ref="AM173">INDEX(AL:AL,SMALL(IF($AL$2:$AL$301&lt;&gt;"",ROW($2:$301),302),ROW(AL172)))&amp;""</f>
        <v/>
      </c>
    </row>
    <row r="174" spans="1:39" ht="14.4" customHeight="1" x14ac:dyDescent="0.25">
      <c r="A174" s="250">
        <v>172</v>
      </c>
      <c r="B174" s="119" t="s">
        <v>7067</v>
      </c>
      <c r="C174" s="119" t="s">
        <v>7068</v>
      </c>
      <c r="E174" s="435" t="s">
        <v>6312</v>
      </c>
      <c r="F174" s="180" t="s">
        <v>6282</v>
      </c>
      <c r="G174" s="180" t="s">
        <v>3682</v>
      </c>
      <c r="H174" s="180">
        <v>1</v>
      </c>
      <c r="I174" s="180">
        <v>1</v>
      </c>
      <c r="J174" s="180">
        <v>1</v>
      </c>
      <c r="K174" s="119" t="s">
        <v>7069</v>
      </c>
      <c r="N174" s="180" t="s">
        <v>6344</v>
      </c>
      <c r="O174" s="119" t="s">
        <v>7070</v>
      </c>
      <c r="P174" s="119">
        <v>2</v>
      </c>
      <c r="Q174" s="119" t="s">
        <v>242</v>
      </c>
      <c r="X174" s="180">
        <v>1</v>
      </c>
      <c r="Z174" s="180">
        <v>9</v>
      </c>
      <c r="AA174" s="120" t="s">
        <v>7071</v>
      </c>
      <c r="AB174" s="250" t="str">
        <f t="array" ref="AB174">INDEX(B:B,SMALL(IF($Q$3:$Q$517&lt;&gt;"",ROW($3:$517),518),ROW(B173)))&amp;""</f>
        <v>灼热射线</v>
      </c>
      <c r="AC174" s="394" t="str">
        <f>IFERROR(IF(AND($Q175&lt;&gt;"",IF(法术查询!$J$4="",1,INDEX($R175:$Z175,1,VLOOKUP(法术查询!$J$4,$AF$2:$AG$10,2,0)))&lt;&gt;"",IF(法术查询!$J$5="",1,$P175=VLOOKUP(法术查询!$J$5,$AH$2:$AI$11,2,0)),IF(法术查询!$J$6="",1,IF(法术查询!$J$6=$E175,1,0)),IF(法术查询!$J$7="",1,SEARCH(法术查询!$J$7,$F175)),IF(法术查询!$J$8="",1,SEARCH(法术查询!$J$8,G175)),IF(法术查询!$J$9="",1,SEARCH(法术查询!$J$9,N175)),IF(法术查询!$J$10="",1,IF(法术查询!$J$10=$AF$11,IF($M175=1,1,0),IF($M175="",1,0))),IF(法术查询!$J$11="",1,IF(法术查询!$J$11=$AF$11,IF($D175=1,1,0),IF($D175="",1,0))),IF(法术查询!$J$12="",1,SEARCH(法术查询!$J$12,$B175&amp;$C175&amp;$O175)),IF(法术查询!$J$13="",1,SEARCH(法术查询!$J$13,$B175&amp;$C175&amp;$O175)),IF(法术查询!$J$14="",1,SEARCH(法术查询!$J$14,$B175&amp;$C175&amp;$O175)),IF(法术查询!$J$16="",1,IF(法术查询!$J$16=$AF$11,IF($H175=1,1,0),IF($H175="",1,0))),IF(法术查询!$J$17="",1,IF(法术查询!$J$17=$AF$11,IF($I175=1,1,0),IF($I175="",1,0))),IF(法术查询!$J$18="",1,IF(法术查询!$J$18=$AF$11,IF($J175&lt;&gt;"",1,0),IF($J175="",1,0))),IF(法术查询!$J$19="",1,IF(法术查询!$J$19=$AF$11,IF($L175&lt;&gt;"",1,0),IF($L175="",1,0)))),$B175,""),"")</f>
        <v/>
      </c>
      <c r="AD174" s="180" t="str">
        <f t="array" ref="AD174">INDEX(AC:AC,SMALL(IF($AC$2:$AC$516&lt;&gt;"",ROW($2:$516),517),ROW(AC173)))&amp;""</f>
        <v/>
      </c>
      <c r="AE174" s="198" t="str">
        <f t="shared" si="6"/>
        <v/>
      </c>
      <c r="AJ174" s="250">
        <v>173</v>
      </c>
      <c r="AK174" s="180" t="str">
        <f>IF(法术书!AE30="","",法术书!AE30)</f>
        <v/>
      </c>
      <c r="AL174" s="119" t="str">
        <f t="array" ref="AL174">IFERROR(INDEX(AK$1:AK$301,SMALL(IF(MATCH(AK174,AK$1:AK$301,0)=ROW(AK174),ROW(AK$1:AK$301),999),ROW(AK174))),"")</f>
        <v/>
      </c>
      <c r="AM174" s="120" t="str">
        <f t="array" ref="AM174">INDEX(AL:AL,SMALL(IF($AL$2:$AL$301&lt;&gt;"",ROW($2:$301),302),ROW(AL173)))&amp;""</f>
        <v/>
      </c>
    </row>
    <row r="175" spans="1:39" ht="14.4" customHeight="1" x14ac:dyDescent="0.25">
      <c r="A175" s="250">
        <v>173</v>
      </c>
      <c r="B175" s="119" t="s">
        <v>7072</v>
      </c>
      <c r="C175" s="119" t="s">
        <v>7073</v>
      </c>
      <c r="E175" s="434" t="s">
        <v>6304</v>
      </c>
      <c r="F175" s="180" t="s">
        <v>6282</v>
      </c>
      <c r="G175" s="180" t="s">
        <v>6298</v>
      </c>
      <c r="H175" s="180">
        <v>1</v>
      </c>
      <c r="I175" s="180">
        <v>1</v>
      </c>
      <c r="N175" s="180" t="s">
        <v>6284</v>
      </c>
      <c r="O175" s="119" t="s">
        <v>7074</v>
      </c>
      <c r="P175" s="119">
        <v>2</v>
      </c>
      <c r="Q175" s="119" t="s">
        <v>242</v>
      </c>
      <c r="W175" s="180">
        <v>1</v>
      </c>
      <c r="X175" s="180">
        <v>1</v>
      </c>
      <c r="AA175" s="120" t="s">
        <v>7075</v>
      </c>
      <c r="AB175" s="250" t="str">
        <f t="array" ref="AB175">INDEX(B:B,SMALL(IF($Q$3:$Q$517&lt;&gt;"",ROW($3:$517),518),ROW(B174)))&amp;""</f>
        <v>识破隐形</v>
      </c>
      <c r="AC175" s="394" t="str">
        <f>IFERROR(IF(AND($Q176&lt;&gt;"",IF(法术查询!$J$4="",1,INDEX($R176:$Z176,1,VLOOKUP(法术查询!$J$4,$AF$2:$AG$10,2,0)))&lt;&gt;"",IF(法术查询!$J$5="",1,$P176=VLOOKUP(法术查询!$J$5,$AH$2:$AI$11,2,0)),IF(法术查询!$J$6="",1,IF(法术查询!$J$6=$E176,1,0)),IF(法术查询!$J$7="",1,SEARCH(法术查询!$J$7,$F176)),IF(法术查询!$J$8="",1,SEARCH(法术查询!$J$8,G176)),IF(法术查询!$J$9="",1,SEARCH(法术查询!$J$9,N176)),IF(法术查询!$J$10="",1,IF(法术查询!$J$10=$AF$11,IF($M176=1,1,0),IF($M176="",1,0))),IF(法术查询!$J$11="",1,IF(法术查询!$J$11=$AF$11,IF($D176=1,1,0),IF($D176="",1,0))),IF(法术查询!$J$12="",1,SEARCH(法术查询!$J$12,$B176&amp;$C176&amp;$O176)),IF(法术查询!$J$13="",1,SEARCH(法术查询!$J$13,$B176&amp;$C176&amp;$O176)),IF(法术查询!$J$14="",1,SEARCH(法术查询!$J$14,$B176&amp;$C176&amp;$O176)),IF(法术查询!$J$16="",1,IF(法术查询!$J$16=$AF$11,IF($H176=1,1,0),IF($H176="",1,0))),IF(法术查询!$J$17="",1,IF(法术查询!$J$17=$AF$11,IF($I176=1,1,0),IF($I176="",1,0))),IF(法术查询!$J$18="",1,IF(法术查询!$J$18=$AF$11,IF($J176&lt;&gt;"",1,0),IF($J176="",1,0))),IF(法术查询!$J$19="",1,IF(法术查询!$J$19=$AF$11,IF($L176&lt;&gt;"",1,0),IF($L176="",1,0)))),$B176,""),"")</f>
        <v/>
      </c>
      <c r="AD175" s="180" t="str">
        <f t="array" ref="AD175">INDEX(AC:AC,SMALL(IF($AC$2:$AC$516&lt;&gt;"",ROW($2:$516),517),ROW(AC174)))&amp;""</f>
        <v/>
      </c>
      <c r="AE175" s="198" t="str">
        <f t="shared" si="6"/>
        <v/>
      </c>
      <c r="AJ175" s="250">
        <v>174</v>
      </c>
      <c r="AK175" s="180" t="str">
        <f>IF(法术书!AE31="","",法术书!AE31)</f>
        <v/>
      </c>
      <c r="AL175" s="119" t="str">
        <f t="array" ref="AL175">IFERROR(INDEX(AK$1:AK$301,SMALL(IF(MATCH(AK175,AK$1:AK$301,0)=ROW(AK175),ROW(AK$1:AK$301),999),ROW(AK175))),"")</f>
        <v/>
      </c>
      <c r="AM175" s="120" t="str">
        <f t="array" ref="AM175">INDEX(AL:AL,SMALL(IF($AL$2:$AL$301&lt;&gt;"",ROW($2:$301),302),ROW(AL174)))&amp;""</f>
        <v/>
      </c>
    </row>
    <row r="176" spans="1:39" ht="14.4" customHeight="1" x14ac:dyDescent="0.25">
      <c r="A176" s="250">
        <v>174</v>
      </c>
      <c r="B176" s="119" t="s">
        <v>7076</v>
      </c>
      <c r="C176" s="119" t="s">
        <v>7077</v>
      </c>
      <c r="E176" s="438" t="s">
        <v>6335</v>
      </c>
      <c r="F176" s="180" t="s">
        <v>6282</v>
      </c>
      <c r="G176" s="180" t="s">
        <v>6291</v>
      </c>
      <c r="H176" s="180">
        <v>1</v>
      </c>
      <c r="I176" s="180">
        <v>1</v>
      </c>
      <c r="J176" s="180">
        <v>1</v>
      </c>
      <c r="K176" s="119" t="s">
        <v>7078</v>
      </c>
      <c r="N176" s="180" t="s">
        <v>6344</v>
      </c>
      <c r="O176" s="119" t="s">
        <v>7079</v>
      </c>
      <c r="P176" s="119">
        <v>2</v>
      </c>
      <c r="Q176" s="119" t="s">
        <v>242</v>
      </c>
      <c r="R176" s="180">
        <v>1</v>
      </c>
      <c r="W176" s="180">
        <v>1</v>
      </c>
      <c r="X176" s="180">
        <v>1</v>
      </c>
      <c r="Z176" s="180">
        <v>9</v>
      </c>
      <c r="AA176" s="120" t="s">
        <v>7080</v>
      </c>
      <c r="AB176" s="250" t="str">
        <f t="array" ref="AB176">INDEX(B:B,SMALL(IF($Q$3:$Q$517&lt;&gt;"",ROW($3:$517),518),ROW(B175)))&amp;""</f>
        <v>粉碎音波</v>
      </c>
      <c r="AC176" s="394" t="str">
        <f>IFERROR(IF(AND($Q177&lt;&gt;"",IF(法术查询!$J$4="",1,INDEX($R177:$Z177,1,VLOOKUP(法术查询!$J$4,$AF$2:$AG$10,2,0)))&lt;&gt;"",IF(法术查询!$J$5="",1,$P177=VLOOKUP(法术查询!$J$5,$AH$2:$AI$11,2,0)),IF(法术查询!$J$6="",1,IF(法术查询!$J$6=$E177,1,0)),IF(法术查询!$J$7="",1,SEARCH(法术查询!$J$7,$F177)),IF(法术查询!$J$8="",1,SEARCH(法术查询!$J$8,G177)),IF(法术查询!$J$9="",1,SEARCH(法术查询!$J$9,N177)),IF(法术查询!$J$10="",1,IF(法术查询!$J$10=$AF$11,IF($M177=1,1,0),IF($M177="",1,0))),IF(法术查询!$J$11="",1,IF(法术查询!$J$11=$AF$11,IF($D177=1,1,0),IF($D177="",1,0))),IF(法术查询!$J$12="",1,SEARCH(法术查询!$J$12,$B177&amp;$C177&amp;$O177)),IF(法术查询!$J$13="",1,SEARCH(法术查询!$J$13,$B177&amp;$C177&amp;$O177)),IF(法术查询!$J$14="",1,SEARCH(法术查询!$J$14,$B177&amp;$C177&amp;$O177)),IF(法术查询!$J$16="",1,IF(法术查询!$J$16=$AF$11,IF($H177=1,1,0),IF($H177="",1,0))),IF(法术查询!$J$17="",1,IF(法术查询!$J$17=$AF$11,IF($I177=1,1,0),IF($I177="",1,0))),IF(法术查询!$J$18="",1,IF(法术查询!$J$18=$AF$11,IF($J177&lt;&gt;"",1,0),IF($J177="",1,0))),IF(法术查询!$J$19="",1,IF(法术查询!$J$19=$AF$11,IF($L177&lt;&gt;"",1,0),IF($L177="",1,0)))),$B177,""),"")</f>
        <v/>
      </c>
      <c r="AD176" s="180" t="str">
        <f t="array" ref="AD176">INDEX(AC:AC,SMALL(IF($AC$2:$AC$516&lt;&gt;"",ROW($2:$516),517),ROW(AC175)))&amp;""</f>
        <v/>
      </c>
      <c r="AE176" s="198" t="str">
        <f t="shared" si="6"/>
        <v/>
      </c>
      <c r="AJ176" s="250">
        <v>175</v>
      </c>
      <c r="AK176" s="180" t="str">
        <f>IF(法术书!AE32="","",法术书!AE32)</f>
        <v/>
      </c>
      <c r="AL176" s="119" t="str">
        <f t="array" ref="AL176">IFERROR(INDEX(AK$1:AK$301,SMALL(IF(MATCH(AK176,AK$1:AK$301,0)=ROW(AK176),ROW(AK$1:AK$301),999),ROW(AK176))),"")</f>
        <v/>
      </c>
      <c r="AM176" s="120" t="str">
        <f t="array" ref="AM176">INDEX(AL:AL,SMALL(IF($AL$2:$AL$301&lt;&gt;"",ROW($2:$301),302),ROW(AL175)))&amp;""</f>
        <v/>
      </c>
    </row>
    <row r="177" spans="1:39" ht="14.4" customHeight="1" x14ac:dyDescent="0.25">
      <c r="A177" s="250">
        <v>175</v>
      </c>
      <c r="B177" s="119" t="s">
        <v>7081</v>
      </c>
      <c r="C177" s="119" t="s">
        <v>7082</v>
      </c>
      <c r="E177" s="434" t="s">
        <v>6304</v>
      </c>
      <c r="F177" s="180" t="s">
        <v>6282</v>
      </c>
      <c r="G177" s="180" t="s">
        <v>6283</v>
      </c>
      <c r="H177" s="180">
        <v>1</v>
      </c>
      <c r="I177" s="180">
        <v>1</v>
      </c>
      <c r="J177" s="180">
        <v>1</v>
      </c>
      <c r="K177" s="119" t="s">
        <v>7083</v>
      </c>
      <c r="N177" s="180" t="s">
        <v>6284</v>
      </c>
      <c r="O177" s="119" t="s">
        <v>7084</v>
      </c>
      <c r="P177" s="119">
        <v>2</v>
      </c>
      <c r="Q177" s="119" t="s">
        <v>242</v>
      </c>
      <c r="R177" s="180">
        <v>1</v>
      </c>
      <c r="W177" s="180">
        <v>1</v>
      </c>
      <c r="X177" s="180">
        <v>1</v>
      </c>
      <c r="Y177" s="180">
        <v>1</v>
      </c>
      <c r="AA177" s="120" t="s">
        <v>7085</v>
      </c>
      <c r="AB177" s="250" t="str">
        <f t="array" ref="AB177">INDEX(B:B,SMALL(IF($Q$3:$Q$517&lt;&gt;"",ROW($3:$517),518),ROW(B176)))&amp;""</f>
        <v>沉默术</v>
      </c>
      <c r="AC177" s="394" t="str">
        <f>IFERROR(IF(AND($Q178&lt;&gt;"",IF(法术查询!$J$4="",1,INDEX($R178:$Z178,1,VLOOKUP(法术查询!$J$4,$AF$2:$AG$10,2,0)))&lt;&gt;"",IF(法术查询!$J$5="",1,$P178=VLOOKUP(法术查询!$J$5,$AH$2:$AI$11,2,0)),IF(法术查询!$J$6="",1,IF(法术查询!$J$6=$E178,1,0)),IF(法术查询!$J$7="",1,SEARCH(法术查询!$J$7,$F178)),IF(法术查询!$J$8="",1,SEARCH(法术查询!$J$8,G178)),IF(法术查询!$J$9="",1,SEARCH(法术查询!$J$9,N178)),IF(法术查询!$J$10="",1,IF(法术查询!$J$10=$AF$11,IF($M178=1,1,0),IF($M178="",1,0))),IF(法术查询!$J$11="",1,IF(法术查询!$J$11=$AF$11,IF($D178=1,1,0),IF($D178="",1,0))),IF(法术查询!$J$12="",1,SEARCH(法术查询!$J$12,$B178&amp;$C178&amp;$O178)),IF(法术查询!$J$13="",1,SEARCH(法术查询!$J$13,$B178&amp;$C178&amp;$O178)),IF(法术查询!$J$14="",1,SEARCH(法术查询!$J$14,$B178&amp;$C178&amp;$O178)),IF(法术查询!$J$16="",1,IF(法术查询!$J$16=$AF$11,IF($H178=1,1,0),IF($H178="",1,0))),IF(法术查询!$J$17="",1,IF(法术查询!$J$17=$AF$11,IF($I178=1,1,0),IF($I178="",1,0))),IF(法术查询!$J$18="",1,IF(法术查询!$J$18=$AF$11,IF($J178&lt;&gt;"",1,0),IF($J178="",1,0))),IF(法术查询!$J$19="",1,IF(法术查询!$J$19=$AF$11,IF($L178&lt;&gt;"",1,0),IF($L178="",1,0)))),$B178,""),"")</f>
        <v/>
      </c>
      <c r="AD177" s="180" t="str">
        <f t="array" ref="AD177">INDEX(AC:AC,SMALL(IF($AC$2:$AC$516&lt;&gt;"",ROW($2:$516),517),ROW(AC176)))&amp;""</f>
        <v/>
      </c>
      <c r="AE177" s="198" t="str">
        <f t="shared" si="6"/>
        <v/>
      </c>
      <c r="AJ177" s="250">
        <v>176</v>
      </c>
      <c r="AK177" s="180" t="str">
        <f>IF(法术书!AE33="","",法术书!AE33)</f>
        <v/>
      </c>
      <c r="AL177" s="119" t="str">
        <f t="array" ref="AL177">IFERROR(INDEX(AK$1:AK$301,SMALL(IF(MATCH(AK177,AK$1:AK$301,0)=ROW(AK177),ROW(AK$1:AK$301),999),ROW(AK177))),"")</f>
        <v/>
      </c>
      <c r="AM177" s="120" t="str">
        <f t="array" ref="AM177">INDEX(AL:AL,SMALL(IF($AL$2:$AL$301&lt;&gt;"",ROW($2:$301),302),ROW(AL176)))&amp;""</f>
        <v/>
      </c>
    </row>
    <row r="178" spans="1:39" ht="14.4" customHeight="1" x14ac:dyDescent="0.25">
      <c r="A178" s="250">
        <v>176</v>
      </c>
      <c r="B178" s="119" t="s">
        <v>7086</v>
      </c>
      <c r="C178" s="119" t="s">
        <v>7087</v>
      </c>
      <c r="D178" s="180">
        <v>1</v>
      </c>
      <c r="E178" s="285" t="s">
        <v>6366</v>
      </c>
      <c r="F178" s="180" t="s">
        <v>6282</v>
      </c>
      <c r="G178" s="180" t="s">
        <v>6298</v>
      </c>
      <c r="H178" s="180">
        <v>1</v>
      </c>
      <c r="I178" s="180">
        <v>1</v>
      </c>
      <c r="M178" s="180">
        <v>1</v>
      </c>
      <c r="N178" s="180" t="s">
        <v>6471</v>
      </c>
      <c r="O178" s="119" t="s">
        <v>7088</v>
      </c>
      <c r="P178" s="119">
        <v>2</v>
      </c>
      <c r="Q178" s="119" t="s">
        <v>242</v>
      </c>
      <c r="R178" s="180">
        <v>1</v>
      </c>
      <c r="S178" s="180">
        <v>1</v>
      </c>
      <c r="V178" s="180">
        <v>1</v>
      </c>
      <c r="AA178" s="120" t="s">
        <v>7089</v>
      </c>
      <c r="AB178" s="250" t="str">
        <f t="array" ref="AB178">INDEX(B:B,SMALL(IF($Q$3:$Q$517&lt;&gt;"",ROW($3:$517),518),ROW(B177)))&amp;""</f>
        <v>蛛行术</v>
      </c>
      <c r="AC178" s="394" t="str">
        <f>IFERROR(IF(AND($Q179&lt;&gt;"",IF(法术查询!$J$4="",1,INDEX($R179:$Z179,1,VLOOKUP(法术查询!$J$4,$AF$2:$AG$10,2,0)))&lt;&gt;"",IF(法术查询!$J$5="",1,$P179=VLOOKUP(法术查询!$J$5,$AH$2:$AI$11,2,0)),IF(法术查询!$J$6="",1,IF(法术查询!$J$6=$E179,1,0)),IF(法术查询!$J$7="",1,SEARCH(法术查询!$J$7,$F179)),IF(法术查询!$J$8="",1,SEARCH(法术查询!$J$8,G179)),IF(法术查询!$J$9="",1,SEARCH(法术查询!$J$9,N179)),IF(法术查询!$J$10="",1,IF(法术查询!$J$10=$AF$11,IF($M179=1,1,0),IF($M179="",1,0))),IF(法术查询!$J$11="",1,IF(法术查询!$J$11=$AF$11,IF($D179=1,1,0),IF($D179="",1,0))),IF(法术查询!$J$12="",1,SEARCH(法术查询!$J$12,$B179&amp;$C179&amp;$O179)),IF(法术查询!$J$13="",1,SEARCH(法术查询!$J$13,$B179&amp;$C179&amp;$O179)),IF(法术查询!$J$14="",1,SEARCH(法术查询!$J$14,$B179&amp;$C179&amp;$O179)),IF(法术查询!$J$16="",1,IF(法术查询!$J$16=$AF$11,IF($H179=1,1,0),IF($H179="",1,0))),IF(法术查询!$J$17="",1,IF(法术查询!$J$17=$AF$11,IF($I179=1,1,0),IF($I179="",1,0))),IF(法术查询!$J$18="",1,IF(法术查询!$J$18=$AF$11,IF($J179&lt;&gt;"",1,0),IF($J179="",1,0))),IF(法术查询!$J$19="",1,IF(法术查询!$J$19=$AF$11,IF($L179&lt;&gt;"",1,0),IF($L179="",1,0)))),$B179,""),"")</f>
        <v/>
      </c>
      <c r="AD178" s="180" t="str">
        <f t="array" ref="AD178">INDEX(AC:AC,SMALL(IF($AC$2:$AC$516&lt;&gt;"",ROW($2:$516),517),ROW(AC177)))&amp;""</f>
        <v/>
      </c>
      <c r="AE178" s="198" t="str">
        <f t="shared" si="6"/>
        <v/>
      </c>
      <c r="AJ178" s="250">
        <v>177</v>
      </c>
      <c r="AK178" s="180" t="str">
        <f>IF(法术书!AE34="","",法术书!AE34)</f>
        <v/>
      </c>
      <c r="AL178" s="119" t="str">
        <f t="array" ref="AL178">IFERROR(INDEX(AK$1:AK$301,SMALL(IF(MATCH(AK178,AK$1:AK$301,0)=ROW(AK178),ROW(AK$1:AK$301),999),ROW(AK178))),"")</f>
        <v/>
      </c>
      <c r="AM178" s="120" t="str">
        <f t="array" ref="AM178">INDEX(AL:AL,SMALL(IF($AL$2:$AL$301&lt;&gt;"",ROW($2:$301),302),ROW(AL177)))&amp;""</f>
        <v/>
      </c>
    </row>
    <row r="179" spans="1:39" ht="14.4" customHeight="1" x14ac:dyDescent="0.25">
      <c r="A179" s="250">
        <v>177</v>
      </c>
      <c r="B179" s="119" t="s">
        <v>7090</v>
      </c>
      <c r="C179" s="119" t="s">
        <v>7091</v>
      </c>
      <c r="E179" s="435" t="s">
        <v>6312</v>
      </c>
      <c r="F179" s="180" t="s">
        <v>6282</v>
      </c>
      <c r="G179" s="180" t="s">
        <v>3682</v>
      </c>
      <c r="H179" s="180">
        <v>1</v>
      </c>
      <c r="I179" s="180">
        <v>1</v>
      </c>
      <c r="J179" s="180">
        <v>1</v>
      </c>
      <c r="K179" s="119" t="s">
        <v>7092</v>
      </c>
      <c r="M179" s="180">
        <v>1</v>
      </c>
      <c r="N179" s="180" t="s">
        <v>6379</v>
      </c>
      <c r="O179" s="119" t="s">
        <v>7093</v>
      </c>
      <c r="P179" s="119">
        <v>2</v>
      </c>
      <c r="Q179" s="119" t="s">
        <v>242</v>
      </c>
      <c r="W179" s="180">
        <v>1</v>
      </c>
      <c r="X179" s="180">
        <v>1</v>
      </c>
      <c r="Y179" s="180">
        <v>1</v>
      </c>
      <c r="Z179" s="180">
        <v>9</v>
      </c>
      <c r="AA179" s="120" t="s">
        <v>7094</v>
      </c>
      <c r="AB179" s="250" t="str">
        <f t="array" ref="AB179">INDEX(B:B,SMALL(IF($Q$3:$Q$517&lt;&gt;"",ROW($3:$517),518),ROW(B178)))&amp;""</f>
        <v>荆棘丛生</v>
      </c>
      <c r="AC179" s="394" t="str">
        <f>IFERROR(IF(AND($Q180&lt;&gt;"",IF(法术查询!$J$4="",1,INDEX($R180:$Z180,1,VLOOKUP(法术查询!$J$4,$AF$2:$AG$10,2,0)))&lt;&gt;"",IF(法术查询!$J$5="",1,$P180=VLOOKUP(法术查询!$J$5,$AH$2:$AI$11,2,0)),IF(法术查询!$J$6="",1,IF(法术查询!$J$6=$E180,1,0)),IF(法术查询!$J$7="",1,SEARCH(法术查询!$J$7,$F180)),IF(法术查询!$J$8="",1,SEARCH(法术查询!$J$8,G180)),IF(法术查询!$J$9="",1,SEARCH(法术查询!$J$9,N180)),IF(法术查询!$J$10="",1,IF(法术查询!$J$10=$AF$11,IF($M180=1,1,0),IF($M180="",1,0))),IF(法术查询!$J$11="",1,IF(法术查询!$J$11=$AF$11,IF($D180=1,1,0),IF($D180="",1,0))),IF(法术查询!$J$12="",1,SEARCH(法术查询!$J$12,$B180&amp;$C180&amp;$O180)),IF(法术查询!$J$13="",1,SEARCH(法术查询!$J$13,$B180&amp;$C180&amp;$O180)),IF(法术查询!$J$14="",1,SEARCH(法术查询!$J$14,$B180&amp;$C180&amp;$O180)),IF(法术查询!$J$16="",1,IF(法术查询!$J$16=$AF$11,IF($H180=1,1,0),IF($H180="",1,0))),IF(法术查询!$J$17="",1,IF(法术查询!$J$17=$AF$11,IF($I180=1,1,0),IF($I180="",1,0))),IF(法术查询!$J$18="",1,IF(法术查询!$J$18=$AF$11,IF($J180&lt;&gt;"",1,0),IF($J180="",1,0))),IF(法术查询!$J$19="",1,IF(法术查询!$J$19=$AF$11,IF($L180&lt;&gt;"",1,0),IF($L180="",1,0)))),$B180,""),"")</f>
        <v/>
      </c>
      <c r="AD179" s="180" t="str">
        <f t="array" ref="AD179">INDEX(AC:AC,SMALL(IF($AC$2:$AC$516&lt;&gt;"",ROW($2:$516),517),ROW(AC178)))&amp;""</f>
        <v/>
      </c>
      <c r="AE179" s="198" t="str">
        <f t="shared" si="6"/>
        <v/>
      </c>
      <c r="AJ179" s="250">
        <v>178</v>
      </c>
      <c r="AK179" s="180" t="str">
        <f>IF(法术书!AE35="","",法术书!AE35)</f>
        <v/>
      </c>
      <c r="AL179" s="119" t="str">
        <f t="array" ref="AL179">IFERROR(INDEX(AK$1:AK$301,SMALL(IF(MATCH(AK179,AK$1:AK$301,0)=ROW(AK179),ROW(AK$1:AK$301),999),ROW(AK179))),"")</f>
        <v/>
      </c>
      <c r="AM179" s="120" t="str">
        <f t="array" ref="AM179">INDEX(AL:AL,SMALL(IF($AL$2:$AL$301&lt;&gt;"",ROW($2:$301),302),ROW(AL178)))&amp;""</f>
        <v/>
      </c>
    </row>
    <row r="180" spans="1:39" ht="14.4" customHeight="1" x14ac:dyDescent="0.25">
      <c r="A180" s="250">
        <v>178</v>
      </c>
      <c r="B180" s="119" t="s">
        <v>7095</v>
      </c>
      <c r="C180" s="119" t="s">
        <v>7096</v>
      </c>
      <c r="E180" s="435" t="s">
        <v>6312</v>
      </c>
      <c r="F180" s="180" t="s">
        <v>6282</v>
      </c>
      <c r="G180" s="180" t="s">
        <v>6419</v>
      </c>
      <c r="H180" s="180">
        <v>1</v>
      </c>
      <c r="I180" s="180">
        <v>1</v>
      </c>
      <c r="J180" s="180">
        <v>1</v>
      </c>
      <c r="K180" s="119" t="s">
        <v>7097</v>
      </c>
      <c r="M180" s="180">
        <v>1</v>
      </c>
      <c r="N180" s="180" t="s">
        <v>6471</v>
      </c>
      <c r="O180" s="119" t="s">
        <v>7098</v>
      </c>
      <c r="P180" s="119">
        <v>2</v>
      </c>
      <c r="Q180" s="119" t="s">
        <v>242</v>
      </c>
      <c r="T180" s="180">
        <v>1</v>
      </c>
      <c r="V180" s="180">
        <v>1</v>
      </c>
      <c r="AA180" s="120" t="s">
        <v>7099</v>
      </c>
      <c r="AB180" s="250" t="str">
        <f t="array" ref="AB180">INDEX(B:B,SMALL(IF($Q$3:$Q$517&lt;&gt;"",ROW($3:$517),518),ROW(B179)))&amp;""</f>
        <v>灵体武器</v>
      </c>
      <c r="AC180" s="394" t="str">
        <f>IFERROR(IF(AND($Q181&lt;&gt;"",IF(法术查询!$J$4="",1,INDEX($R181:$Z181,1,VLOOKUP(法术查询!$J$4,$AF$2:$AG$10,2,0)))&lt;&gt;"",IF(法术查询!$J$5="",1,$P181=VLOOKUP(法术查询!$J$5,$AH$2:$AI$11,2,0)),IF(法术查询!$J$6="",1,IF(法术查询!$J$6=$E181,1,0)),IF(法术查询!$J$7="",1,SEARCH(法术查询!$J$7,$F181)),IF(法术查询!$J$8="",1,SEARCH(法术查询!$J$8,G181)),IF(法术查询!$J$9="",1,SEARCH(法术查询!$J$9,N181)),IF(法术查询!$J$10="",1,IF(法术查询!$J$10=$AF$11,IF($M181=1,1,0),IF($M181="",1,0))),IF(法术查询!$J$11="",1,IF(法术查询!$J$11=$AF$11,IF($D181=1,1,0),IF($D181="",1,0))),IF(法术查询!$J$12="",1,SEARCH(法术查询!$J$12,$B181&amp;$C181&amp;$O181)),IF(法术查询!$J$13="",1,SEARCH(法术查询!$J$13,$B181&amp;$C181&amp;$O181)),IF(法术查询!$J$14="",1,SEARCH(法术查询!$J$14,$B181&amp;$C181&amp;$O181)),IF(法术查询!$J$16="",1,IF(法术查询!$J$16=$AF$11,IF($H181=1,1,0),IF($H181="",1,0))),IF(法术查询!$J$17="",1,IF(法术查询!$J$17=$AF$11,IF($I181=1,1,0),IF($I181="",1,0))),IF(法术查询!$J$18="",1,IF(法术查询!$J$18=$AF$11,IF($J181&lt;&gt;"",1,0),IF($J181="",1,0))),IF(法术查询!$J$19="",1,IF(法术查询!$J$19=$AF$11,IF($L181&lt;&gt;"",1,0),IF($L181="",1,0)))),$B181,""),"")</f>
        <v/>
      </c>
      <c r="AD180" s="180" t="str">
        <f t="array" ref="AD180">INDEX(AC:AC,SMALL(IF($AC$2:$AC$516&lt;&gt;"",ROW($2:$516),517),ROW(AC179)))&amp;""</f>
        <v/>
      </c>
      <c r="AE180" s="198" t="str">
        <f t="shared" si="6"/>
        <v/>
      </c>
      <c r="AJ180" s="250">
        <v>179</v>
      </c>
      <c r="AK180" s="180" t="str">
        <f>IF(法术书!AE36="","",法术书!AE36)</f>
        <v/>
      </c>
      <c r="AL180" s="119" t="str">
        <f t="array" ref="AL180">IFERROR(INDEX(AK$1:AK$301,SMALL(IF(MATCH(AK180,AK$1:AK$301,0)=ROW(AK180),ROW(AK$1:AK$301),999),ROW(AK180))),"")</f>
        <v/>
      </c>
      <c r="AM180" s="120" t="str">
        <f t="array" ref="AM180">INDEX(AL:AL,SMALL(IF($AL$2:$AL$301&lt;&gt;"",ROW($2:$301),302),ROW(AL179)))&amp;""</f>
        <v/>
      </c>
    </row>
    <row r="181" spans="1:39" ht="14.4" customHeight="1" x14ac:dyDescent="0.25">
      <c r="A181" s="250">
        <v>179</v>
      </c>
      <c r="B181" s="119" t="s">
        <v>7100</v>
      </c>
      <c r="C181" s="119" t="s">
        <v>7101</v>
      </c>
      <c r="E181" s="434" t="s">
        <v>6304</v>
      </c>
      <c r="F181" s="180" t="s">
        <v>6352</v>
      </c>
      <c r="G181" s="180" t="s">
        <v>6283</v>
      </c>
      <c r="H181" s="180">
        <v>1</v>
      </c>
      <c r="I181" s="180">
        <v>1</v>
      </c>
      <c r="N181" s="180" t="s">
        <v>6349</v>
      </c>
      <c r="O181" s="119" t="s">
        <v>7102</v>
      </c>
      <c r="P181" s="119">
        <v>2</v>
      </c>
      <c r="Q181" s="119" t="s">
        <v>242</v>
      </c>
      <c r="S181" s="180">
        <v>1</v>
      </c>
      <c r="AA181" s="120" t="s">
        <v>7103</v>
      </c>
      <c r="AB181" s="250" t="str">
        <f t="array" ref="AB181">INDEX(B:B,SMALL(IF($Q$3:$Q$517&lt;&gt;"",ROW($3:$517),518),ROW(B180)))&amp;""</f>
        <v>暗示术</v>
      </c>
      <c r="AC181" s="394" t="str">
        <f>IFERROR(IF(AND($Q182&lt;&gt;"",IF(法术查询!$J$4="",1,INDEX($R182:$Z182,1,VLOOKUP(法术查询!$J$4,$AF$2:$AG$10,2,0)))&lt;&gt;"",IF(法术查询!$J$5="",1,$P182=VLOOKUP(法术查询!$J$5,$AH$2:$AI$11,2,0)),IF(法术查询!$J$6="",1,IF(法术查询!$J$6=$E182,1,0)),IF(法术查询!$J$7="",1,SEARCH(法术查询!$J$7,$F182)),IF(法术查询!$J$8="",1,SEARCH(法术查询!$J$8,G182)),IF(法术查询!$J$9="",1,SEARCH(法术查询!$J$9,N182)),IF(法术查询!$J$10="",1,IF(法术查询!$J$10=$AF$11,IF($M182=1,1,0),IF($M182="",1,0))),IF(法术查询!$J$11="",1,IF(法术查询!$J$11=$AF$11,IF($D182=1,1,0),IF($D182="",1,0))),IF(法术查询!$J$12="",1,SEARCH(法术查询!$J$12,$B182&amp;$C182&amp;$O182)),IF(法术查询!$J$13="",1,SEARCH(法术查询!$J$13,$B182&amp;$C182&amp;$O182)),IF(法术查询!$J$14="",1,SEARCH(法术查询!$J$14,$B182&amp;$C182&amp;$O182)),IF(法术查询!$J$16="",1,IF(法术查询!$J$16=$AF$11,IF($H182=1,1,0),IF($H182="",1,0))),IF(法术查询!$J$17="",1,IF(法术查询!$J$17=$AF$11,IF($I182=1,1,0),IF($I182="",1,0))),IF(法术查询!$J$18="",1,IF(法术查询!$J$18=$AF$11,IF($J182&lt;&gt;"",1,0),IF($J182="",1,0))),IF(法术查询!$J$19="",1,IF(法术查询!$J$19=$AF$11,IF($L182&lt;&gt;"",1,0),IF($L182="",1,0)))),$B182,""),"")</f>
        <v/>
      </c>
      <c r="AD181" s="180" t="str">
        <f t="array" ref="AD181">INDEX(AC:AC,SMALL(IF($AC$2:$AC$516&lt;&gt;"",ROW($2:$516),517),ROW(AC180)))&amp;""</f>
        <v/>
      </c>
      <c r="AE181" s="198" t="str">
        <f t="shared" si="6"/>
        <v/>
      </c>
      <c r="AJ181" s="250">
        <v>180</v>
      </c>
      <c r="AK181" s="180" t="str">
        <f>IF(法术书!AE37="","",法术书!AE37)</f>
        <v/>
      </c>
      <c r="AL181" s="119" t="str">
        <f t="array" ref="AL181">IFERROR(INDEX(AK$1:AK$301,SMALL(IF(MATCH(AK181,AK$1:AK$301,0)=ROW(AK181),ROW(AK$1:AK$301),999),ROW(AK181))),"")</f>
        <v/>
      </c>
      <c r="AM181" s="120" t="str">
        <f t="array" ref="AM181">INDEX(AL:AL,SMALL(IF($AL$2:$AL$301&lt;&gt;"",ROW($2:$301),302),ROW(AL180)))&amp;""</f>
        <v/>
      </c>
    </row>
    <row r="182" spans="1:39" ht="14.4" customHeight="1" x14ac:dyDescent="0.25">
      <c r="A182" s="250">
        <v>180</v>
      </c>
      <c r="B182" s="119" t="s">
        <v>7104</v>
      </c>
      <c r="C182" s="119" t="s">
        <v>7105</v>
      </c>
      <c r="E182" s="379" t="s">
        <v>6328</v>
      </c>
      <c r="F182" s="180" t="s">
        <v>6282</v>
      </c>
      <c r="G182" s="180" t="s">
        <v>6313</v>
      </c>
      <c r="H182" s="180">
        <v>1</v>
      </c>
      <c r="J182" s="180">
        <v>1</v>
      </c>
      <c r="K182" s="119" t="s">
        <v>7106</v>
      </c>
      <c r="M182" s="180">
        <v>1</v>
      </c>
      <c r="N182" s="180" t="s">
        <v>6485</v>
      </c>
      <c r="O182" s="119" t="s">
        <v>7107</v>
      </c>
      <c r="P182" s="119">
        <v>2</v>
      </c>
      <c r="Q182" s="119" t="s">
        <v>242</v>
      </c>
      <c r="R182" s="180">
        <v>1</v>
      </c>
      <c r="W182" s="180">
        <v>1</v>
      </c>
      <c r="X182" s="180">
        <v>1</v>
      </c>
      <c r="Y182" s="180">
        <v>1</v>
      </c>
      <c r="AA182" s="120" t="s">
        <v>7108</v>
      </c>
      <c r="AB182" s="250" t="str">
        <f t="array" ref="AB182">INDEX(B:B,SMALL(IF($Q$3:$Q$517&lt;&gt;"",ROW($3:$517),518),ROW(B181)))&amp;""</f>
        <v>守护之链</v>
      </c>
      <c r="AC182" s="394" t="str">
        <f>IFERROR(IF(AND($Q183&lt;&gt;"",IF(法术查询!$J$4="",1,INDEX($R183:$Z183,1,VLOOKUP(法术查询!$J$4,$AF$2:$AG$10,2,0)))&lt;&gt;"",IF(法术查询!$J$5="",1,$P183=VLOOKUP(法术查询!$J$5,$AH$2:$AI$11,2,0)),IF(法术查询!$J$6="",1,IF(法术查询!$J$6=$E183,1,0)),IF(法术查询!$J$7="",1,SEARCH(法术查询!$J$7,$F183)),IF(法术查询!$J$8="",1,SEARCH(法术查询!$J$8,G183)),IF(法术查询!$J$9="",1,SEARCH(法术查询!$J$9,N183)),IF(法术查询!$J$10="",1,IF(法术查询!$J$10=$AF$11,IF($M183=1,1,0),IF($M183="",1,0))),IF(法术查询!$J$11="",1,IF(法术查询!$J$11=$AF$11,IF($D183=1,1,0),IF($D183="",1,0))),IF(法术查询!$J$12="",1,SEARCH(法术查询!$J$12,$B183&amp;$C183&amp;$O183)),IF(法术查询!$J$13="",1,SEARCH(法术查询!$J$13,$B183&amp;$C183&amp;$O183)),IF(法术查询!$J$14="",1,SEARCH(法术查询!$J$14,$B183&amp;$C183&amp;$O183)),IF(法术查询!$J$16="",1,IF(法术查询!$J$16=$AF$11,IF($H183=1,1,0),IF($H183="",1,0))),IF(法术查询!$J$17="",1,IF(法术查询!$J$17=$AF$11,IF($I183=1,1,0),IF($I183="",1,0))),IF(法术查询!$J$18="",1,IF(法术查询!$J$18=$AF$11,IF($J183&lt;&gt;"",1,0),IF($J183="",1,0))),IF(法术查询!$J$19="",1,IF(法术查询!$J$19=$AF$11,IF($L183&lt;&gt;"",1,0),IF($L183="",1,0)))),$B183,""),"")</f>
        <v/>
      </c>
      <c r="AD182" s="180" t="str">
        <f t="array" ref="AD182">INDEX(AC:AC,SMALL(IF($AC$2:$AC$516&lt;&gt;"",ROW($2:$516),517),ROW(AC181)))&amp;""</f>
        <v/>
      </c>
      <c r="AE182" s="198" t="str">
        <f t="shared" si="6"/>
        <v/>
      </c>
      <c r="AJ182" s="250">
        <v>181</v>
      </c>
      <c r="AK182" s="180" t="str">
        <f>IF(法术书!AE38="","",法术书!AE38)</f>
        <v/>
      </c>
      <c r="AL182" s="119" t="str">
        <f t="array" ref="AL182">IFERROR(INDEX(AK$1:AK$301,SMALL(IF(MATCH(AK182,AK$1:AK$301,0)=ROW(AK182),ROW(AK$1:AK$301),999),ROW(AK182))),"")</f>
        <v/>
      </c>
      <c r="AM182" s="120" t="str">
        <f t="array" ref="AM182">INDEX(AL:AL,SMALL(IF($AL$2:$AL$301&lt;&gt;"",ROW($2:$301),302),ROW(AL181)))&amp;""</f>
        <v/>
      </c>
    </row>
    <row r="183" spans="1:39" ht="14.4" customHeight="1" x14ac:dyDescent="0.25">
      <c r="A183" s="250">
        <v>181</v>
      </c>
      <c r="B183" s="119" t="s">
        <v>7109</v>
      </c>
      <c r="C183" s="119" t="s">
        <v>7110</v>
      </c>
      <c r="E183" s="440" t="s">
        <v>6290</v>
      </c>
      <c r="F183" s="180" t="s">
        <v>6282</v>
      </c>
      <c r="G183" s="180" t="s">
        <v>3682</v>
      </c>
      <c r="H183" s="180">
        <v>1</v>
      </c>
      <c r="I183" s="180">
        <v>1</v>
      </c>
      <c r="J183" s="180">
        <v>1</v>
      </c>
      <c r="K183" s="119" t="s">
        <v>7111</v>
      </c>
      <c r="N183" s="180" t="s">
        <v>6344</v>
      </c>
      <c r="O183" s="119" t="s">
        <v>7112</v>
      </c>
      <c r="P183" s="119">
        <v>2</v>
      </c>
      <c r="Q183" s="119" t="s">
        <v>242</v>
      </c>
      <c r="S183" s="180">
        <v>1</v>
      </c>
      <c r="U183" s="180" t="str">
        <f>IF(综合数据!$B$14=TRUE,"13","")</f>
        <v>13</v>
      </c>
      <c r="AA183" s="120" t="s">
        <v>7113</v>
      </c>
      <c r="AB183" s="250" t="str">
        <f t="array" ref="AB183">INDEX(B:B,SMALL(IF($Q$3:$Q$517&lt;&gt;"",ROW($3:$517),518),ROW(B182)))&amp;""</f>
        <v>蛛网术</v>
      </c>
      <c r="AC183" s="394" t="str">
        <f>IFERROR(IF(AND($Q184&lt;&gt;"",IF(法术查询!$J$4="",1,INDEX($R184:$Z184,1,VLOOKUP(法术查询!$J$4,$AF$2:$AG$10,2,0)))&lt;&gt;"",IF(法术查询!$J$5="",1,$P184=VLOOKUP(法术查询!$J$5,$AH$2:$AI$11,2,0)),IF(法术查询!$J$6="",1,IF(法术查询!$J$6=$E184,1,0)),IF(法术查询!$J$7="",1,SEARCH(法术查询!$J$7,$F184)),IF(法术查询!$J$8="",1,SEARCH(法术查询!$J$8,G184)),IF(法术查询!$J$9="",1,SEARCH(法术查询!$J$9,N184)),IF(法术查询!$J$10="",1,IF(法术查询!$J$10=$AF$11,IF($M184=1,1,0),IF($M184="",1,0))),IF(法术查询!$J$11="",1,IF(法术查询!$J$11=$AF$11,IF($D184=1,1,0),IF($D184="",1,0))),IF(法术查询!$J$12="",1,SEARCH(法术查询!$J$12,$B184&amp;$C184&amp;$O184)),IF(法术查询!$J$13="",1,SEARCH(法术查询!$J$13,$B184&amp;$C184&amp;$O184)),IF(法术查询!$J$14="",1,SEARCH(法术查询!$J$14,$B184&amp;$C184&amp;$O184)),IF(法术查询!$J$16="",1,IF(法术查询!$J$16=$AF$11,IF($H184=1,1,0),IF($H184="",1,0))),IF(法术查询!$J$17="",1,IF(法术查询!$J$17=$AF$11,IF($I184=1,1,0),IF($I184="",1,0))),IF(法术查询!$J$18="",1,IF(法术查询!$J$18=$AF$11,IF($J184&lt;&gt;"",1,0),IF($J184="",1,0))),IF(法术查询!$J$19="",1,IF(法术查询!$J$19=$AF$11,IF($L184&lt;&gt;"",1,0),IF($L184="",1,0)))),$B184,""),"")</f>
        <v/>
      </c>
      <c r="AD183" s="180" t="str">
        <f t="array" ref="AD183">INDEX(AC:AC,SMALL(IF($AC$2:$AC$516&lt;&gt;"",ROW($2:$516),517),ROW(AC182)))&amp;""</f>
        <v/>
      </c>
      <c r="AE183" s="198" t="str">
        <f t="shared" si="6"/>
        <v/>
      </c>
      <c r="AJ183" s="250">
        <v>182</v>
      </c>
      <c r="AK183" s="180" t="str">
        <f>IF(法术书!AE39="","",法术书!AE39)</f>
        <v/>
      </c>
      <c r="AL183" s="119" t="str">
        <f t="array" ref="AL183">IFERROR(INDEX(AK$1:AK$301,SMALL(IF(MATCH(AK183,AK$1:AK$301,0)=ROW(AK183),ROW(AK$1:AK$301),999),ROW(AK183))),"")</f>
        <v/>
      </c>
      <c r="AM183" s="120" t="str">
        <f t="array" ref="AM183">INDEX(AL:AL,SMALL(IF($AL$2:$AL$301&lt;&gt;"",ROW($2:$301),302),ROW(AL182)))&amp;""</f>
        <v/>
      </c>
    </row>
    <row r="184" spans="1:39" ht="14.4" customHeight="1" x14ac:dyDescent="0.25">
      <c r="A184" s="250">
        <v>182</v>
      </c>
      <c r="B184" s="119" t="s">
        <v>7114</v>
      </c>
      <c r="C184" s="119" t="s">
        <v>7115</v>
      </c>
      <c r="E184" s="378" t="s">
        <v>6281</v>
      </c>
      <c r="F184" s="180" t="s">
        <v>6282</v>
      </c>
      <c r="G184" s="180" t="s">
        <v>6283</v>
      </c>
      <c r="H184" s="180">
        <v>1</v>
      </c>
      <c r="I184" s="180">
        <v>1</v>
      </c>
      <c r="J184" s="180">
        <v>1</v>
      </c>
      <c r="K184" s="119" t="s">
        <v>7116</v>
      </c>
      <c r="M184" s="180">
        <v>1</v>
      </c>
      <c r="N184" s="180" t="s">
        <v>6379</v>
      </c>
      <c r="O184" s="119" t="s">
        <v>7117</v>
      </c>
      <c r="P184" s="119">
        <v>2</v>
      </c>
      <c r="Q184" s="119" t="s">
        <v>242</v>
      </c>
      <c r="W184" s="180">
        <v>1</v>
      </c>
      <c r="X184" s="180">
        <v>1</v>
      </c>
      <c r="Z184" s="180">
        <v>9</v>
      </c>
      <c r="AA184" s="120" t="s">
        <v>7118</v>
      </c>
      <c r="AB184" s="250" t="str">
        <f t="array" ref="AB184">INDEX(B:B,SMALL(IF($Q$3:$Q$517&lt;&gt;"",ROW($3:$517),518),ROW(B183)))&amp;""</f>
        <v>诚实之域</v>
      </c>
      <c r="AC184" s="394" t="str">
        <f>IFERROR(IF(AND($Q185&lt;&gt;"",IF(法术查询!$J$4="",1,INDEX($R185:$Z185,1,VLOOKUP(法术查询!$J$4,$AF$2:$AG$10,2,0)))&lt;&gt;"",IF(法术查询!$J$5="",1,$P185=VLOOKUP(法术查询!$J$5,$AH$2:$AI$11,2,0)),IF(法术查询!$J$6="",1,IF(法术查询!$J$6=$E185,1,0)),IF(法术查询!$J$7="",1,SEARCH(法术查询!$J$7,$F185)),IF(法术查询!$J$8="",1,SEARCH(法术查询!$J$8,G185)),IF(法术查询!$J$9="",1,SEARCH(法术查询!$J$9,N185)),IF(法术查询!$J$10="",1,IF(法术查询!$J$10=$AF$11,IF($M185=1,1,0),IF($M185="",1,0))),IF(法术查询!$J$11="",1,IF(法术查询!$J$11=$AF$11,IF($D185=1,1,0),IF($D185="",1,0))),IF(法术查询!$J$12="",1,SEARCH(法术查询!$J$12,$B185&amp;$C185&amp;$O185)),IF(法术查询!$J$13="",1,SEARCH(法术查询!$J$13,$B185&amp;$C185&amp;$O185)),IF(法术查询!$J$14="",1,SEARCH(法术查询!$J$14,$B185&amp;$C185&amp;$O185)),IF(法术查询!$J$16="",1,IF(法术查询!$J$16=$AF$11,IF($H185=1,1,0),IF($H185="",1,0))),IF(法术查询!$J$17="",1,IF(法术查询!$J$17=$AF$11,IF($I185=1,1,0),IF($I185="",1,0))),IF(法术查询!$J$18="",1,IF(法术查询!$J$18=$AF$11,IF($J185&lt;&gt;"",1,0),IF($J185="",1,0))),IF(法术查询!$J$19="",1,IF(法术查询!$J$19=$AF$11,IF($L185&lt;&gt;"",1,0),IF($L185="",1,0)))),$B185,""),"")</f>
        <v/>
      </c>
      <c r="AD184" s="180" t="str">
        <f t="array" ref="AD184">INDEX(AC:AC,SMALL(IF($AC$2:$AC$516&lt;&gt;"",ROW($2:$516),517),ROW(AC183)))&amp;""</f>
        <v/>
      </c>
      <c r="AE184" s="198" t="str">
        <f t="shared" si="6"/>
        <v/>
      </c>
      <c r="AJ184" s="250">
        <v>183</v>
      </c>
      <c r="AK184" s="180" t="str">
        <f>IF(法术书!AE40="","",法术书!AE40)</f>
        <v/>
      </c>
      <c r="AL184" s="119" t="str">
        <f t="array" ref="AL184">IFERROR(INDEX(AK$1:AK$301,SMALL(IF(MATCH(AK184,AK$1:AK$301,0)=ROW(AK184),ROW(AK$1:AK$301),999),ROW(AK184))),"")</f>
        <v/>
      </c>
      <c r="AM184" s="120" t="str">
        <f t="array" ref="AM184">INDEX(AL:AL,SMALL(IF($AL$2:$AL$301&lt;&gt;"",ROW($2:$301),302),ROW(AL183)))&amp;""</f>
        <v/>
      </c>
    </row>
    <row r="185" spans="1:39" ht="14.4" customHeight="1" x14ac:dyDescent="0.25">
      <c r="A185" s="250">
        <v>183</v>
      </c>
      <c r="B185" s="119" t="s">
        <v>7119</v>
      </c>
      <c r="C185" s="119" t="s">
        <v>7120</v>
      </c>
      <c r="E185" s="379" t="s">
        <v>6328</v>
      </c>
      <c r="F185" s="180" t="s">
        <v>6282</v>
      </c>
      <c r="G185" s="180" t="s">
        <v>6283</v>
      </c>
      <c r="H185" s="180">
        <v>1</v>
      </c>
      <c r="I185" s="180">
        <v>1</v>
      </c>
      <c r="N185" s="180" t="s">
        <v>6371</v>
      </c>
      <c r="O185" s="119" t="s">
        <v>7121</v>
      </c>
      <c r="P185" s="119">
        <v>2</v>
      </c>
      <c r="Q185" s="119" t="s">
        <v>242</v>
      </c>
      <c r="R185" s="180">
        <v>1</v>
      </c>
      <c r="S185" s="180">
        <v>1</v>
      </c>
      <c r="U185" s="180">
        <v>1</v>
      </c>
      <c r="AA185" s="120" t="s">
        <v>7122</v>
      </c>
      <c r="AB185" s="250" t="str">
        <f t="array" ref="AB185">INDEX(B:B,SMALL(IF($Q$3:$Q$517&lt;&gt;"",ROW($3:$517),518),ROW(B184)))&amp;""</f>
        <v>阿迦纳萨喷火术</v>
      </c>
      <c r="AC185" s="394" t="str">
        <f>IFERROR(IF(AND($Q186&lt;&gt;"",IF(法术查询!$J$4="",1,INDEX($R186:$Z186,1,VLOOKUP(法术查询!$J$4,$AF$2:$AG$10,2,0)))&lt;&gt;"",IF(法术查询!$J$5="",1,$P186=VLOOKUP(法术查询!$J$5,$AH$2:$AI$11,2,0)),IF(法术查询!$J$6="",1,IF(法术查询!$J$6=$E186,1,0)),IF(法术查询!$J$7="",1,SEARCH(法术查询!$J$7,$F186)),IF(法术查询!$J$8="",1,SEARCH(法术查询!$J$8,G186)),IF(法术查询!$J$9="",1,SEARCH(法术查询!$J$9,N186)),IF(法术查询!$J$10="",1,IF(法术查询!$J$10=$AF$11,IF($M186=1,1,0),IF($M186="",1,0))),IF(法术查询!$J$11="",1,IF(法术查询!$J$11=$AF$11,IF($D186=1,1,0),IF($D186="",1,0))),IF(法术查询!$J$12="",1,SEARCH(法术查询!$J$12,$B186&amp;$C186&amp;$O186)),IF(法术查询!$J$13="",1,SEARCH(法术查询!$J$13,$B186&amp;$C186&amp;$O186)),IF(法术查询!$J$14="",1,SEARCH(法术查询!$J$14,$B186&amp;$C186&amp;$O186)),IF(法术查询!$J$16="",1,IF(法术查询!$J$16=$AF$11,IF($H186=1,1,0),IF($H186="",1,0))),IF(法术查询!$J$17="",1,IF(法术查询!$J$17=$AF$11,IF($I186=1,1,0),IF($I186="",1,0))),IF(法术查询!$J$18="",1,IF(法术查询!$J$18=$AF$11,IF($J186&lt;&gt;"",1,0),IF($J186="",1,0))),IF(法术查询!$J$19="",1,IF(法术查询!$J$19=$AF$11,IF($L186&lt;&gt;"",1,0),IF($L186="",1,0)))),$B186,""),"")</f>
        <v/>
      </c>
      <c r="AD185" s="180" t="str">
        <f t="array" ref="AD185">INDEX(AC:AC,SMALL(IF($AC$2:$AC$516&lt;&gt;"",ROW($2:$516),517),ROW(AC184)))&amp;""</f>
        <v/>
      </c>
      <c r="AE185" s="198" t="str">
        <f t="shared" si="6"/>
        <v/>
      </c>
      <c r="AJ185" s="250">
        <v>184</v>
      </c>
      <c r="AK185" s="180" t="str">
        <f>IF(法术书!AE41="","",法术书!AE41)</f>
        <v/>
      </c>
      <c r="AL185" s="119" t="str">
        <f t="array" ref="AL185">IFERROR(INDEX(AK$1:AK$301,SMALL(IF(MATCH(AK185,AK$1:AK$301,0)=ROW(AK185),ROW(AK$1:AK$301),999),ROW(AK185))),"")</f>
        <v/>
      </c>
      <c r="AM185" s="120" t="str">
        <f t="array" ref="AM185">INDEX(AL:AL,SMALL(IF($AL$2:$AL$301&lt;&gt;"",ROW($2:$301),302),ROW(AL184)))&amp;""</f>
        <v/>
      </c>
    </row>
    <row r="186" spans="1:39" ht="14.4" customHeight="1" x14ac:dyDescent="0.25">
      <c r="A186" s="250">
        <v>184</v>
      </c>
      <c r="B186" s="119" t="s">
        <v>7123</v>
      </c>
      <c r="C186" s="119" t="s">
        <v>7124</v>
      </c>
      <c r="E186" s="434" t="s">
        <v>6304</v>
      </c>
      <c r="F186" s="180" t="s">
        <v>6282</v>
      </c>
      <c r="G186" s="180" t="s">
        <v>6313</v>
      </c>
      <c r="H186" s="180">
        <v>1</v>
      </c>
      <c r="I186" s="180">
        <v>1</v>
      </c>
      <c r="J186" s="180">
        <v>1</v>
      </c>
      <c r="K186" s="119" t="s">
        <v>7125</v>
      </c>
      <c r="N186" s="180" t="s">
        <v>6284</v>
      </c>
      <c r="O186" s="119" t="s">
        <v>7126</v>
      </c>
      <c r="P186" s="119">
        <v>2</v>
      </c>
      <c r="Q186" s="251" t="str">
        <f>IF(综合数据!$B$7=TRUE,"XGE","")</f>
        <v>XGE</v>
      </c>
      <c r="W186" s="180">
        <v>6</v>
      </c>
      <c r="X186" s="180">
        <v>6</v>
      </c>
      <c r="AA186" s="198"/>
      <c r="AB186" s="250" t="str">
        <f t="array" ref="AB186">INDEX(B:B,SMALL(IF($Q$3:$Q$517&lt;&gt;"",ROW($3:$517),518),ROW(B185)))&amp;""</f>
        <v>龙息术</v>
      </c>
      <c r="AC186" s="394" t="str">
        <f>IFERROR(IF(AND($Q187&lt;&gt;"",IF(法术查询!$J$4="",1,INDEX($R187:$Z187,1,VLOOKUP(法术查询!$J$4,$AF$2:$AG$10,2,0)))&lt;&gt;"",IF(法术查询!$J$5="",1,$P187=VLOOKUP(法术查询!$J$5,$AH$2:$AI$11,2,0)),IF(法术查询!$J$6="",1,IF(法术查询!$J$6=$E187,1,0)),IF(法术查询!$J$7="",1,SEARCH(法术查询!$J$7,$F187)),IF(法术查询!$J$8="",1,SEARCH(法术查询!$J$8,G187)),IF(法术查询!$J$9="",1,SEARCH(法术查询!$J$9,N187)),IF(法术查询!$J$10="",1,IF(法术查询!$J$10=$AF$11,IF($M187=1,1,0),IF($M187="",1,0))),IF(法术查询!$J$11="",1,IF(法术查询!$J$11=$AF$11,IF($D187=1,1,0),IF($D187="",1,0))),IF(法术查询!$J$12="",1,SEARCH(法术查询!$J$12,$B187&amp;$C187&amp;$O187)),IF(法术查询!$J$13="",1,SEARCH(法术查询!$J$13,$B187&amp;$C187&amp;$O187)),IF(法术查询!$J$14="",1,SEARCH(法术查询!$J$14,$B187&amp;$C187&amp;$O187)),IF(法术查询!$J$16="",1,IF(法术查询!$J$16=$AF$11,IF($H187=1,1,0),IF($H187="",1,0))),IF(法术查询!$J$17="",1,IF(法术查询!$J$17=$AF$11,IF($I187=1,1,0),IF($I187="",1,0))),IF(法术查询!$J$18="",1,IF(法术查询!$J$18=$AF$11,IF($J187&lt;&gt;"",1,0),IF($J187="",1,0))),IF(法术查询!$J$19="",1,IF(法术查询!$J$19=$AF$11,IF($L187&lt;&gt;"",1,0),IF($L187="",1,0)))),$B187,""),"")</f>
        <v/>
      </c>
      <c r="AD186" s="180" t="str">
        <f t="array" ref="AD186">INDEX(AC:AC,SMALL(IF($AC$2:$AC$516&lt;&gt;"",ROW($2:$516),517),ROW(AC185)))&amp;""</f>
        <v/>
      </c>
      <c r="AE186" s="198" t="str">
        <f t="shared" si="6"/>
        <v/>
      </c>
      <c r="AJ186" s="250">
        <v>185</v>
      </c>
      <c r="AK186" s="180" t="str">
        <f>IF(法术书!AE42="","",法术书!AE42)</f>
        <v/>
      </c>
      <c r="AL186" s="119" t="str">
        <f t="array" ref="AL186">IFERROR(INDEX(AK$1:AK$301,SMALL(IF(MATCH(AK186,AK$1:AK$301,0)=ROW(AK186),ROW(AK$1:AK$301),999),ROW(AK186))),"")</f>
        <v/>
      </c>
      <c r="AM186" s="120" t="str">
        <f t="array" ref="AM186">INDEX(AL:AL,SMALL(IF($AL$2:$AL$301&lt;&gt;"",ROW($2:$301),302),ROW(AL185)))&amp;""</f>
        <v/>
      </c>
    </row>
    <row r="187" spans="1:39" ht="14.4" customHeight="1" x14ac:dyDescent="0.25">
      <c r="A187" s="250">
        <v>185</v>
      </c>
      <c r="B187" s="119" t="s">
        <v>7127</v>
      </c>
      <c r="C187" s="119" t="s">
        <v>7128</v>
      </c>
      <c r="E187" s="435" t="s">
        <v>6312</v>
      </c>
      <c r="F187" s="180" t="s">
        <v>6352</v>
      </c>
      <c r="G187" s="180" t="s">
        <v>3682</v>
      </c>
      <c r="H187" s="180">
        <v>1</v>
      </c>
      <c r="I187" s="180">
        <v>1</v>
      </c>
      <c r="J187" s="180">
        <v>1</v>
      </c>
      <c r="K187" s="119" t="s">
        <v>7129</v>
      </c>
      <c r="M187" s="180">
        <v>1</v>
      </c>
      <c r="N187" s="180" t="s">
        <v>6306</v>
      </c>
      <c r="O187" s="119" t="s">
        <v>7130</v>
      </c>
      <c r="P187" s="119">
        <v>2</v>
      </c>
      <c r="Q187" s="251" t="str">
        <f>IF(综合数据!$B$7=TRUE,"XGE","")</f>
        <v>XGE</v>
      </c>
      <c r="W187" s="180">
        <v>6</v>
      </c>
      <c r="X187" s="180">
        <v>6</v>
      </c>
      <c r="AA187" s="198"/>
      <c r="AB187" s="250" t="str">
        <f t="array" ref="AB187">INDEX(B:B,SMALL(IF($Q$3:$Q$517&lt;&gt;"",ROW($3:$517),518),ROW(B186)))&amp;""</f>
        <v>尘土恶魔</v>
      </c>
      <c r="AC187" s="394" t="str">
        <f>IFERROR(IF(AND($Q188&lt;&gt;"",IF(法术查询!$J$4="",1,INDEX($R188:$Z188,1,VLOOKUP(法术查询!$J$4,$AF$2:$AG$10,2,0)))&lt;&gt;"",IF(法术查询!$J$5="",1,$P188=VLOOKUP(法术查询!$J$5,$AH$2:$AI$11,2,0)),IF(法术查询!$J$6="",1,IF(法术查询!$J$6=$E188,1,0)),IF(法术查询!$J$7="",1,SEARCH(法术查询!$J$7,$F188)),IF(法术查询!$J$8="",1,SEARCH(法术查询!$J$8,G188)),IF(法术查询!$J$9="",1,SEARCH(法术查询!$J$9,N188)),IF(法术查询!$J$10="",1,IF(法术查询!$J$10=$AF$11,IF($M188=1,1,0),IF($M188="",1,0))),IF(法术查询!$J$11="",1,IF(法术查询!$J$11=$AF$11,IF($D188=1,1,0),IF($D188="",1,0))),IF(法术查询!$J$12="",1,SEARCH(法术查询!$J$12,$B188&amp;$C188&amp;$O188)),IF(法术查询!$J$13="",1,SEARCH(法术查询!$J$13,$B188&amp;$C188&amp;$O188)),IF(法术查询!$J$14="",1,SEARCH(法术查询!$J$14,$B188&amp;$C188&amp;$O188)),IF(法术查询!$J$16="",1,IF(法术查询!$J$16=$AF$11,IF($H188=1,1,0),IF($H188="",1,0))),IF(法术查询!$J$17="",1,IF(法术查询!$J$17=$AF$11,IF($I188=1,1,0),IF($I188="",1,0))),IF(法术查询!$J$18="",1,IF(法术查询!$J$18=$AF$11,IF($J188&lt;&gt;"",1,0),IF($J188="",1,0))),IF(法术查询!$J$19="",1,IF(法术查询!$J$19=$AF$11,IF($L188&lt;&gt;"",1,0),IF($L188="",1,0)))),$B188,""),"")</f>
        <v/>
      </c>
      <c r="AD187" s="180" t="str">
        <f t="array" ref="AD187">INDEX(AC:AC,SMALL(IF($AC$2:$AC$516&lt;&gt;"",ROW($2:$516),517),ROW(AC186)))&amp;""</f>
        <v/>
      </c>
      <c r="AE187" s="198" t="str">
        <f t="shared" si="6"/>
        <v/>
      </c>
      <c r="AJ187" s="250">
        <v>186</v>
      </c>
      <c r="AK187" s="180" t="str">
        <f>IF(法术书!AE43="","",法术书!AE43)</f>
        <v/>
      </c>
      <c r="AL187" s="119" t="str">
        <f t="array" ref="AL187">IFERROR(INDEX(AK$1:AK$301,SMALL(IF(MATCH(AK187,AK$1:AK$301,0)=ROW(AK187),ROW(AK$1:AK$301),999),ROW(AK187))),"")</f>
        <v/>
      </c>
      <c r="AM187" s="120" t="str">
        <f t="array" ref="AM187">INDEX(AL:AL,SMALL(IF($AL$2:$AL$301&lt;&gt;"",ROW($2:$301),302),ROW(AL186)))&amp;""</f>
        <v/>
      </c>
    </row>
    <row r="188" spans="1:39" ht="14.4" customHeight="1" x14ac:dyDescent="0.25">
      <c r="A188" s="250">
        <v>186</v>
      </c>
      <c r="B188" s="119" t="s">
        <v>7131</v>
      </c>
      <c r="C188" s="119" t="s">
        <v>7132</v>
      </c>
      <c r="E188" s="378" t="s">
        <v>6281</v>
      </c>
      <c r="F188" s="180" t="s">
        <v>6282</v>
      </c>
      <c r="G188" s="180" t="s">
        <v>6283</v>
      </c>
      <c r="H188" s="180">
        <v>1</v>
      </c>
      <c r="I188" s="180">
        <v>1</v>
      </c>
      <c r="J188" s="180">
        <v>1</v>
      </c>
      <c r="K188" s="119" t="s">
        <v>7133</v>
      </c>
      <c r="M188" s="180">
        <v>1</v>
      </c>
      <c r="N188" s="180" t="s">
        <v>6306</v>
      </c>
      <c r="O188" s="119" t="s">
        <v>7134</v>
      </c>
      <c r="P188" s="119">
        <v>2</v>
      </c>
      <c r="Q188" s="251" t="str">
        <f>IF(综合数据!$B$7=TRUE,"XGE","")</f>
        <v>XGE</v>
      </c>
      <c r="T188" s="180">
        <v>6</v>
      </c>
      <c r="W188" s="180">
        <v>6</v>
      </c>
      <c r="X188" s="180">
        <v>6</v>
      </c>
      <c r="AA188" s="198"/>
      <c r="AB188" s="250" t="str">
        <f t="array" ref="AB188">INDEX(B:B,SMALL(IF($Q$3:$Q$517&lt;&gt;"",ROW($3:$517),518),ROW(B187)))&amp;""</f>
        <v>地缚</v>
      </c>
      <c r="AC188" s="394" t="str">
        <f>IFERROR(IF(AND($Q189&lt;&gt;"",IF(法术查询!$J$4="",1,INDEX($R189:$Z189,1,VLOOKUP(法术查询!$J$4,$AF$2:$AG$10,2,0)))&lt;&gt;"",IF(法术查询!$J$5="",1,$P189=VLOOKUP(法术查询!$J$5,$AH$2:$AI$11,2,0)),IF(法术查询!$J$6="",1,IF(法术查询!$J$6=$E189,1,0)),IF(法术查询!$J$7="",1,SEARCH(法术查询!$J$7,$F189)),IF(法术查询!$J$8="",1,SEARCH(法术查询!$J$8,G189)),IF(法术查询!$J$9="",1,SEARCH(法术查询!$J$9,N189)),IF(法术查询!$J$10="",1,IF(法术查询!$J$10=$AF$11,IF($M189=1,1,0),IF($M189="",1,0))),IF(法术查询!$J$11="",1,IF(法术查询!$J$11=$AF$11,IF($D189=1,1,0),IF($D189="",1,0))),IF(法术查询!$J$12="",1,SEARCH(法术查询!$J$12,$B189&amp;$C189&amp;$O189)),IF(法术查询!$J$13="",1,SEARCH(法术查询!$J$13,$B189&amp;$C189&amp;$O189)),IF(法术查询!$J$14="",1,SEARCH(法术查询!$J$14,$B189&amp;$C189&amp;$O189)),IF(法术查询!$J$16="",1,IF(法术查询!$J$16=$AF$11,IF($H189=1,1,0),IF($H189="",1,0))),IF(法术查询!$J$17="",1,IF(法术查询!$J$17=$AF$11,IF($I189=1,1,0),IF($I189="",1,0))),IF(法术查询!$J$18="",1,IF(法术查询!$J$18=$AF$11,IF($J189&lt;&gt;"",1,0),IF($J189="",1,0))),IF(法术查询!$J$19="",1,IF(法术查询!$J$19=$AF$11,IF($L189&lt;&gt;"",1,0),IF($L189="",1,0)))),$B189,""),"")</f>
        <v/>
      </c>
      <c r="AD188" s="180" t="str">
        <f t="array" ref="AD188">INDEX(AC:AC,SMALL(IF($AC$2:$AC$516&lt;&gt;"",ROW($2:$516),517),ROW(AC187)))&amp;""</f>
        <v/>
      </c>
      <c r="AE188" s="198" t="str">
        <f t="shared" si="6"/>
        <v/>
      </c>
      <c r="AJ188" s="250">
        <v>187</v>
      </c>
      <c r="AK188" s="180" t="str">
        <f>IF(法术书!AE44="","",法术书!AE44)</f>
        <v/>
      </c>
      <c r="AL188" s="119" t="str">
        <f t="array" ref="AL188">IFERROR(INDEX(AK$1:AK$301,SMALL(IF(MATCH(AK188,AK$1:AK$301,0)=ROW(AK188),ROW(AK$1:AK$301),999),ROW(AK188))),"")</f>
        <v/>
      </c>
      <c r="AM188" s="120" t="str">
        <f t="array" ref="AM188">INDEX(AL:AL,SMALL(IF($AL$2:$AL$301&lt;&gt;"",ROW($2:$301),302),ROW(AL187)))&amp;""</f>
        <v/>
      </c>
    </row>
    <row r="189" spans="1:39" ht="14.4" customHeight="1" x14ac:dyDescent="0.25">
      <c r="A189" s="250">
        <v>187</v>
      </c>
      <c r="B189" s="119" t="s">
        <v>7135</v>
      </c>
      <c r="C189" s="119" t="s">
        <v>7136</v>
      </c>
      <c r="E189" s="435" t="s">
        <v>6312</v>
      </c>
      <c r="F189" s="180" t="s">
        <v>6282</v>
      </c>
      <c r="G189" s="180" t="s">
        <v>6426</v>
      </c>
      <c r="H189" s="180">
        <v>1</v>
      </c>
      <c r="M189" s="180">
        <v>1</v>
      </c>
      <c r="N189" s="180" t="s">
        <v>6306</v>
      </c>
      <c r="O189" s="119" t="s">
        <v>7137</v>
      </c>
      <c r="P189" s="119">
        <v>2</v>
      </c>
      <c r="Q189" s="251" t="str">
        <f>IF(综合数据!$B$7=TRUE,"XGE","")</f>
        <v>XGE</v>
      </c>
      <c r="T189" s="180">
        <v>6</v>
      </c>
      <c r="W189" s="180">
        <v>6</v>
      </c>
      <c r="X189" s="180">
        <v>6</v>
      </c>
      <c r="Y189" s="180">
        <v>6</v>
      </c>
      <c r="AA189" s="198"/>
      <c r="AB189" s="250" t="str">
        <f t="array" ref="AB189">INDEX(B:B,SMALL(IF($Q$3:$Q$517&lt;&gt;"",ROW($3:$517),518),ROW(B188)))&amp;""</f>
        <v>治愈之魂</v>
      </c>
      <c r="AC189" s="394" t="str">
        <f>IFERROR(IF(AND($Q190&lt;&gt;"",IF(法术查询!$J$4="",1,INDEX($R190:$Z190,1,VLOOKUP(法术查询!$J$4,$AF$2:$AG$10,2,0)))&lt;&gt;"",IF(法术查询!$J$5="",1,$P190=VLOOKUP(法术查询!$J$5,$AH$2:$AI$11,2,0)),IF(法术查询!$J$6="",1,IF(法术查询!$J$6=$E190,1,0)),IF(法术查询!$J$7="",1,SEARCH(法术查询!$J$7,$F190)),IF(法术查询!$J$8="",1,SEARCH(法术查询!$J$8,G190)),IF(法术查询!$J$9="",1,SEARCH(法术查询!$J$9,N190)),IF(法术查询!$J$10="",1,IF(法术查询!$J$10=$AF$11,IF($M190=1,1,0),IF($M190="",1,0))),IF(法术查询!$J$11="",1,IF(法术查询!$J$11=$AF$11,IF($D190=1,1,0),IF($D190="",1,0))),IF(法术查询!$J$12="",1,SEARCH(法术查询!$J$12,$B190&amp;$C190&amp;$O190)),IF(法术查询!$J$13="",1,SEARCH(法术查询!$J$13,$B190&amp;$C190&amp;$O190)),IF(法术查询!$J$14="",1,SEARCH(法术查询!$J$14,$B190&amp;$C190&amp;$O190)),IF(法术查询!$J$16="",1,IF(法术查询!$J$16=$AF$11,IF($H190=1,1,0),IF($H190="",1,0))),IF(法术查询!$J$17="",1,IF(法术查询!$J$17=$AF$11,IF($I190=1,1,0),IF($I190="",1,0))),IF(法术查询!$J$18="",1,IF(法术查询!$J$18=$AF$11,IF($J190&lt;&gt;"",1,0),IF($J190="",1,0))),IF(法术查询!$J$19="",1,IF(法术查询!$J$19=$AF$11,IF($L190&lt;&gt;"",1,0),IF($L190="",1,0)))),$B190,""),"")</f>
        <v/>
      </c>
      <c r="AD189" s="180" t="str">
        <f t="array" ref="AD189">INDEX(AC:AC,SMALL(IF($AC$2:$AC$516&lt;&gt;"",ROW($2:$516),517),ROW(AC188)))&amp;""</f>
        <v/>
      </c>
      <c r="AE189" s="198" t="str">
        <f t="shared" si="6"/>
        <v/>
      </c>
      <c r="AJ189" s="250">
        <v>188</v>
      </c>
      <c r="AK189" s="180" t="str">
        <f>IF(法术书!AE45="","",法术书!AE45)</f>
        <v/>
      </c>
      <c r="AL189" s="119" t="str">
        <f t="array" ref="AL189">IFERROR(INDEX(AK$1:AK$301,SMALL(IF(MATCH(AK189,AK$1:AK$301,0)=ROW(AK189),ROW(AK$1:AK$301),999),ROW(AK189))),"")</f>
        <v/>
      </c>
      <c r="AM189" s="120" t="str">
        <f t="array" ref="AM189">INDEX(AL:AL,SMALL(IF($AL$2:$AL$301&lt;&gt;"",ROW($2:$301),302),ROW(AL188)))&amp;""</f>
        <v/>
      </c>
    </row>
    <row r="190" spans="1:39" ht="14.4" customHeight="1" x14ac:dyDescent="0.25">
      <c r="A190" s="250">
        <v>188</v>
      </c>
      <c r="B190" s="119" t="s">
        <v>7138</v>
      </c>
      <c r="C190" s="119" t="s">
        <v>7139</v>
      </c>
      <c r="E190" s="378" t="s">
        <v>6281</v>
      </c>
      <c r="F190" s="180" t="s">
        <v>6352</v>
      </c>
      <c r="G190" s="180" t="s">
        <v>6283</v>
      </c>
      <c r="H190" s="180">
        <v>1</v>
      </c>
      <c r="I190" s="180">
        <v>1</v>
      </c>
      <c r="M190" s="180">
        <v>1</v>
      </c>
      <c r="N190" s="180" t="s">
        <v>6306</v>
      </c>
      <c r="O190" s="119" t="s">
        <v>7140</v>
      </c>
      <c r="P190" s="119">
        <v>2</v>
      </c>
      <c r="Q190" s="251" t="str">
        <f>IF(综合数据!$B$7=TRUE,"XGE","")</f>
        <v>XGE</v>
      </c>
      <c r="T190" s="180">
        <v>6</v>
      </c>
      <c r="AA190" s="198"/>
      <c r="AB190" s="250" t="str">
        <f t="array" ref="AB190">INDEX(B:B,SMALL(IF($Q$3:$Q$517&lt;&gt;"",ROW($3:$517),518),ROW(B189)))&amp;""</f>
        <v>麦克斯米利安的地之攫</v>
      </c>
      <c r="AC190" s="394" t="str">
        <f>IFERROR(IF(AND($Q191&lt;&gt;"",IF(法术查询!$J$4="",1,INDEX($R191:$Z191,1,VLOOKUP(法术查询!$J$4,$AF$2:$AG$10,2,0)))&lt;&gt;"",IF(法术查询!$J$5="",1,$P191=VLOOKUP(法术查询!$J$5,$AH$2:$AI$11,2,0)),IF(法术查询!$J$6="",1,IF(法术查询!$J$6=$E191,1,0)),IF(法术查询!$J$7="",1,SEARCH(法术查询!$J$7,$F191)),IF(法术查询!$J$8="",1,SEARCH(法术查询!$J$8,G191)),IF(法术查询!$J$9="",1,SEARCH(法术查询!$J$9,N191)),IF(法术查询!$J$10="",1,IF(法术查询!$J$10=$AF$11,IF($M191=1,1,0),IF($M191="",1,0))),IF(法术查询!$J$11="",1,IF(法术查询!$J$11=$AF$11,IF($D191=1,1,0),IF($D191="",1,0))),IF(法术查询!$J$12="",1,SEARCH(法术查询!$J$12,$B191&amp;$C191&amp;$O191)),IF(法术查询!$J$13="",1,SEARCH(法术查询!$J$13,$B191&amp;$C191&amp;$O191)),IF(法术查询!$J$14="",1,SEARCH(法术查询!$J$14,$B191&amp;$C191&amp;$O191)),IF(法术查询!$J$16="",1,IF(法术查询!$J$16=$AF$11,IF($H191=1,1,0),IF($H191="",1,0))),IF(法术查询!$J$17="",1,IF(法术查询!$J$17=$AF$11,IF($I191=1,1,0),IF($I191="",1,0))),IF(法术查询!$J$18="",1,IF(法术查询!$J$18=$AF$11,IF($J191&lt;&gt;"",1,0),IF($J191="",1,0))),IF(法术查询!$J$19="",1,IF(法术查询!$J$19=$AF$11,IF($L191&lt;&gt;"",1,0),IF($L191="",1,0)))),$B191,""),"")</f>
        <v/>
      </c>
      <c r="AD190" s="180" t="str">
        <f t="array" ref="AD190">INDEX(AC:AC,SMALL(IF($AC$2:$AC$516&lt;&gt;"",ROW($2:$516),517),ROW(AC189)))&amp;""</f>
        <v/>
      </c>
      <c r="AE190" s="198" t="str">
        <f t="shared" si="6"/>
        <v/>
      </c>
      <c r="AJ190" s="250">
        <v>189</v>
      </c>
      <c r="AK190" s="180" t="str">
        <f>IF(法术书!AE46="","",法术书!AE46)</f>
        <v/>
      </c>
      <c r="AL190" s="119" t="str">
        <f t="array" ref="AL190">IFERROR(INDEX(AK$1:AK$301,SMALL(IF(MATCH(AK190,AK$1:AK$301,0)=ROW(AK190),ROW(AK$1:AK$301),999),ROW(AK190))),"")</f>
        <v/>
      </c>
      <c r="AM190" s="120" t="str">
        <f t="array" ref="AM190">INDEX(AL:AL,SMALL(IF($AL$2:$AL$301&lt;&gt;"",ROW($2:$301),302),ROW(AL189)))&amp;""</f>
        <v/>
      </c>
    </row>
    <row r="191" spans="1:39" ht="14.4" customHeight="1" x14ac:dyDescent="0.25">
      <c r="A191" s="250">
        <v>189</v>
      </c>
      <c r="B191" s="119" t="s">
        <v>7141</v>
      </c>
      <c r="C191" s="119" t="s">
        <v>7142</v>
      </c>
      <c r="E191" s="435" t="s">
        <v>6312</v>
      </c>
      <c r="F191" s="180" t="s">
        <v>6282</v>
      </c>
      <c r="G191" s="180" t="s">
        <v>6313</v>
      </c>
      <c r="H191" s="180">
        <v>1</v>
      </c>
      <c r="I191" s="180">
        <v>1</v>
      </c>
      <c r="J191" s="180">
        <v>1</v>
      </c>
      <c r="K191" s="119" t="s">
        <v>7143</v>
      </c>
      <c r="M191" s="180">
        <v>1</v>
      </c>
      <c r="N191" s="180" t="s">
        <v>6306</v>
      </c>
      <c r="O191" s="119" t="s">
        <v>7144</v>
      </c>
      <c r="P191" s="119">
        <v>2</v>
      </c>
      <c r="Q191" s="251" t="str">
        <f>IF(综合数据!$B$7=TRUE,"XGE","")</f>
        <v>XGE</v>
      </c>
      <c r="W191" s="180">
        <v>6</v>
      </c>
      <c r="X191" s="180">
        <v>6</v>
      </c>
      <c r="AA191" s="198"/>
      <c r="AB191" s="250" t="str">
        <f t="array" ref="AB191">INDEX(B:B,SMALL(IF($Q$3:$Q$517&lt;&gt;"",ROW($3:$517),518),ROW(B190)))&amp;""</f>
        <v>心灵尖刺</v>
      </c>
      <c r="AC191" s="394" t="str">
        <f>IFERROR(IF(AND($Q192&lt;&gt;"",IF(法术查询!$J$4="",1,INDEX($R192:$Z192,1,VLOOKUP(法术查询!$J$4,$AF$2:$AG$10,2,0)))&lt;&gt;"",IF(法术查询!$J$5="",1,$P192=VLOOKUP(法术查询!$J$5,$AH$2:$AI$11,2,0)),IF(法术查询!$J$6="",1,IF(法术查询!$J$6=$E192,1,0)),IF(法术查询!$J$7="",1,SEARCH(法术查询!$J$7,$F192)),IF(法术查询!$J$8="",1,SEARCH(法术查询!$J$8,G192)),IF(法术查询!$J$9="",1,SEARCH(法术查询!$J$9,N192)),IF(法术查询!$J$10="",1,IF(法术查询!$J$10=$AF$11,IF($M192=1,1,0),IF($M192="",1,0))),IF(法术查询!$J$11="",1,IF(法术查询!$J$11=$AF$11,IF($D192=1,1,0),IF($D192="",1,0))),IF(法术查询!$J$12="",1,SEARCH(法术查询!$J$12,$B192&amp;$C192&amp;$O192)),IF(法术查询!$J$13="",1,SEARCH(法术查询!$J$13,$B192&amp;$C192&amp;$O192)),IF(法术查询!$J$14="",1,SEARCH(法术查询!$J$14,$B192&amp;$C192&amp;$O192)),IF(法术查询!$J$16="",1,IF(法术查询!$J$16=$AF$11,IF($H192=1,1,0),IF($H192="",1,0))),IF(法术查询!$J$17="",1,IF(法术查询!$J$17=$AF$11,IF($I192=1,1,0),IF($I192="",1,0))),IF(法术查询!$J$18="",1,IF(法术查询!$J$18=$AF$11,IF($J192&lt;&gt;"",1,0),IF($J192="",1,0))),IF(法术查询!$J$19="",1,IF(法术查询!$J$19=$AF$11,IF($L192&lt;&gt;"",1,0),IF($L192="",1,0)))),$B192,""),"")</f>
        <v/>
      </c>
      <c r="AD191" s="180" t="str">
        <f t="array" ref="AD191">INDEX(AC:AC,SMALL(IF($AC$2:$AC$516&lt;&gt;"",ROW($2:$516),517),ROW(AC190)))&amp;""</f>
        <v/>
      </c>
      <c r="AE191" s="198" t="str">
        <f t="shared" si="6"/>
        <v/>
      </c>
      <c r="AJ191" s="250">
        <v>190</v>
      </c>
      <c r="AK191" s="180" t="str">
        <f>IF(法术书!AE47="","",法术书!AE47)</f>
        <v/>
      </c>
      <c r="AL191" s="119" t="str">
        <f t="array" ref="AL191">IFERROR(INDEX(AK$1:AK$301,SMALL(IF(MATCH(AK191,AK$1:AK$301,0)=ROW(AK191),ROW(AK$1:AK$301),999),ROW(AK191))),"")</f>
        <v/>
      </c>
      <c r="AM191" s="120" t="str">
        <f t="array" ref="AM191">INDEX(AL:AL,SMALL(IF($AL$2:$AL$301&lt;&gt;"",ROW($2:$301),302),ROW(AL190)))&amp;""</f>
        <v/>
      </c>
    </row>
    <row r="192" spans="1:39" ht="14.4" customHeight="1" x14ac:dyDescent="0.25">
      <c r="A192" s="250">
        <v>190</v>
      </c>
      <c r="B192" s="119" t="s">
        <v>7145</v>
      </c>
      <c r="C192" s="119" t="s">
        <v>7146</v>
      </c>
      <c r="E192" s="438" t="s">
        <v>6335</v>
      </c>
      <c r="F192" s="180" t="s">
        <v>6282</v>
      </c>
      <c r="G192" s="180" t="s">
        <v>6283</v>
      </c>
      <c r="I192" s="180">
        <v>1</v>
      </c>
      <c r="M192" s="180">
        <v>1</v>
      </c>
      <c r="N192" s="180" t="s">
        <v>6379</v>
      </c>
      <c r="O192" s="119" t="s">
        <v>7147</v>
      </c>
      <c r="P192" s="119">
        <v>2</v>
      </c>
      <c r="Q192" s="251" t="str">
        <f>IF(综合数据!$B$7=TRUE,"XGE","")</f>
        <v>XGE</v>
      </c>
      <c r="W192" s="180">
        <v>6</v>
      </c>
      <c r="X192" s="180">
        <v>6</v>
      </c>
      <c r="Y192" s="180">
        <v>6</v>
      </c>
      <c r="AA192" s="198"/>
      <c r="AB192" s="250" t="str">
        <f t="array" ref="AB192">INDEX(B:B,SMALL(IF($Q$3:$Q$517&lt;&gt;"",ROW($3:$517),518),ROW(B191)))&amp;""</f>
        <v>烟火</v>
      </c>
      <c r="AC192" s="394" t="str">
        <f>IFERROR(IF(AND($Q193&lt;&gt;"",IF(法术查询!$J$4="",1,INDEX($R193:$Z193,1,VLOOKUP(法术查询!$J$4,$AF$2:$AG$10,2,0)))&lt;&gt;"",IF(法术查询!$J$5="",1,$P193=VLOOKUP(法术查询!$J$5,$AH$2:$AI$11,2,0)),IF(法术查询!$J$6="",1,IF(法术查询!$J$6=$E193,1,0)),IF(法术查询!$J$7="",1,SEARCH(法术查询!$J$7,$F193)),IF(法术查询!$J$8="",1,SEARCH(法术查询!$J$8,G193)),IF(法术查询!$J$9="",1,SEARCH(法术查询!$J$9,N193)),IF(法术查询!$J$10="",1,IF(法术查询!$J$10=$AF$11,IF($M193=1,1,0),IF($M193="",1,0))),IF(法术查询!$J$11="",1,IF(法术查询!$J$11=$AF$11,IF($D193=1,1,0),IF($D193="",1,0))),IF(法术查询!$J$12="",1,SEARCH(法术查询!$J$12,$B193&amp;$C193&amp;$O193)),IF(法术查询!$J$13="",1,SEARCH(法术查询!$J$13,$B193&amp;$C193&amp;$O193)),IF(法术查询!$J$14="",1,SEARCH(法术查询!$J$14,$B193&amp;$C193&amp;$O193)),IF(法术查询!$J$16="",1,IF(法术查询!$J$16=$AF$11,IF($H193=1,1,0),IF($H193="",1,0))),IF(法术查询!$J$17="",1,IF(法术查询!$J$17=$AF$11,IF($I193=1,1,0),IF($I193="",1,0))),IF(法术查询!$J$18="",1,IF(法术查询!$J$18=$AF$11,IF($J193&lt;&gt;"",1,0),IF($J193="",1,0))),IF(法术查询!$J$19="",1,IF(法术查询!$J$19=$AF$11,IF($L193&lt;&gt;"",1,0),IF($L193="",1,0)))),$B193,""),"")</f>
        <v/>
      </c>
      <c r="AD192" s="180" t="str">
        <f t="array" ref="AD192">INDEX(AC:AC,SMALL(IF($AC$2:$AC$516&lt;&gt;"",ROW($2:$516),517),ROW(AC191)))&amp;""</f>
        <v/>
      </c>
      <c r="AE192" s="198" t="str">
        <f t="shared" si="6"/>
        <v/>
      </c>
      <c r="AJ192" s="250">
        <v>191</v>
      </c>
      <c r="AK192" s="180" t="str">
        <f>IF(法术书!AE48="","",法术书!AE48)</f>
        <v/>
      </c>
      <c r="AL192" s="119" t="str">
        <f t="array" ref="AL192">IFERROR(INDEX(AK$1:AK$301,SMALL(IF(MATCH(AK192,AK$1:AK$301,0)=ROW(AK192),ROW(AK$1:AK$301),999),ROW(AK192))),"")</f>
        <v/>
      </c>
      <c r="AM192" s="120" t="str">
        <f t="array" ref="AM192">INDEX(AL:AL,SMALL(IF($AL$2:$AL$301&lt;&gt;"",ROW($2:$301),302),ROW(AL191)))&amp;""</f>
        <v/>
      </c>
    </row>
    <row r="193" spans="1:39" ht="14.4" customHeight="1" x14ac:dyDescent="0.25">
      <c r="A193" s="250">
        <v>191</v>
      </c>
      <c r="B193" s="119" t="s">
        <v>7148</v>
      </c>
      <c r="C193" s="119" t="s">
        <v>7149</v>
      </c>
      <c r="E193" s="435" t="s">
        <v>6312</v>
      </c>
      <c r="F193" s="180" t="s">
        <v>6282</v>
      </c>
      <c r="G193" s="180" t="s">
        <v>6283</v>
      </c>
      <c r="H193" s="180">
        <v>1</v>
      </c>
      <c r="I193" s="180">
        <v>1</v>
      </c>
      <c r="N193" s="180" t="s">
        <v>6284</v>
      </c>
      <c r="O193" s="119" t="s">
        <v>7150</v>
      </c>
      <c r="P193" s="119">
        <v>2</v>
      </c>
      <c r="Q193" s="251" t="str">
        <f>IF(综合数据!$B$7=TRUE,"XGE","")</f>
        <v>XGE</v>
      </c>
      <c r="R193" s="180">
        <v>6</v>
      </c>
      <c r="W193" s="180">
        <v>6</v>
      </c>
      <c r="X193" s="180">
        <v>6</v>
      </c>
      <c r="Z193" s="180">
        <v>9</v>
      </c>
      <c r="AA193" s="198"/>
      <c r="AB193" s="250" t="str">
        <f t="array" ref="AB193">INDEX(B:B,SMALL(IF($Q$3:$Q$517&lt;&gt;"",ROW($3:$517),518),ROW(B192)))&amp;""</f>
        <v>幽影刃</v>
      </c>
      <c r="AC193" s="394" t="str">
        <f>IFERROR(IF(AND($Q194&lt;&gt;"",IF(法术查询!$J$4="",1,INDEX($R194:$Z194,1,VLOOKUP(法术查询!$J$4,$AF$2:$AG$10,2,0)))&lt;&gt;"",IF(法术查询!$J$5="",1,$P194=VLOOKUP(法术查询!$J$5,$AH$2:$AI$11,2,0)),IF(法术查询!$J$6="",1,IF(法术查询!$J$6=$E194,1,0)),IF(法术查询!$J$7="",1,SEARCH(法术查询!$J$7,$F194)),IF(法术查询!$J$8="",1,SEARCH(法术查询!$J$8,G194)),IF(法术查询!$J$9="",1,SEARCH(法术查询!$J$9,N194)),IF(法术查询!$J$10="",1,IF(法术查询!$J$10=$AF$11,IF($M194=1,1,0),IF($M194="",1,0))),IF(法术查询!$J$11="",1,IF(法术查询!$J$11=$AF$11,IF($D194=1,1,0),IF($D194="",1,0))),IF(法术查询!$J$12="",1,SEARCH(法术查询!$J$12,$B194&amp;$C194&amp;$O194)),IF(法术查询!$J$13="",1,SEARCH(法术查询!$J$13,$B194&amp;$C194&amp;$O194)),IF(法术查询!$J$14="",1,SEARCH(法术查询!$J$14,$B194&amp;$C194&amp;$O194)),IF(法术查询!$J$16="",1,IF(法术查询!$J$16=$AF$11,IF($H194=1,1,0),IF($H194="",1,0))),IF(法术查询!$J$17="",1,IF(法术查询!$J$17=$AF$11,IF($I194=1,1,0),IF($I194="",1,0))),IF(法术查询!$J$18="",1,IF(法术查询!$J$18=$AF$11,IF($J194&lt;&gt;"",1,0),IF($J194="",1,0))),IF(法术查询!$J$19="",1,IF(法术查询!$J$19=$AF$11,IF($L194&lt;&gt;"",1,0),IF($L194="",1,0)))),$B194,""),"")</f>
        <v/>
      </c>
      <c r="AD193" s="180" t="str">
        <f t="array" ref="AD193">INDEX(AC:AC,SMALL(IF($AC$2:$AC$516&lt;&gt;"",ROW($2:$516),517),ROW(AC192)))&amp;""</f>
        <v/>
      </c>
      <c r="AE193" s="198" t="str">
        <f t="shared" si="6"/>
        <v/>
      </c>
      <c r="AJ193" s="250">
        <v>192</v>
      </c>
      <c r="AK193" s="180" t="str">
        <f>IF(法术书!AE49="","",法术书!AE49)</f>
        <v/>
      </c>
      <c r="AL193" s="119" t="str">
        <f t="array" ref="AL193">IFERROR(INDEX(AK$1:AK$301,SMALL(IF(MATCH(AK193,AK$1:AK$301,0)=ROW(AK193),ROW(AK$1:AK$301),999),ROW(AK193))),"")</f>
        <v/>
      </c>
      <c r="AM193" s="120" t="str">
        <f t="array" ref="AM193">INDEX(AL:AL,SMALL(IF($AL$2:$AL$301&lt;&gt;"",ROW($2:$301),302),ROW(AL192)))&amp;""</f>
        <v/>
      </c>
    </row>
    <row r="194" spans="1:39" ht="14.4" customHeight="1" x14ac:dyDescent="0.25">
      <c r="A194" s="250">
        <v>192</v>
      </c>
      <c r="B194" s="119" t="s">
        <v>7151</v>
      </c>
      <c r="C194" s="119" t="s">
        <v>7152</v>
      </c>
      <c r="E194" s="285" t="s">
        <v>6366</v>
      </c>
      <c r="F194" s="180" t="s">
        <v>6352</v>
      </c>
      <c r="G194" s="180" t="s">
        <v>6291</v>
      </c>
      <c r="H194" s="180">
        <v>1</v>
      </c>
      <c r="I194" s="180">
        <v>1</v>
      </c>
      <c r="M194" s="180">
        <v>1</v>
      </c>
      <c r="N194" s="180" t="s">
        <v>6306</v>
      </c>
      <c r="O194" s="119" t="s">
        <v>7153</v>
      </c>
      <c r="P194" s="119">
        <v>2</v>
      </c>
      <c r="Q194" s="251" t="str">
        <f>IF(综合数据!$B$7=TRUE,"XGE","")</f>
        <v>XGE</v>
      </c>
      <c r="W194" s="180">
        <v>6</v>
      </c>
      <c r="X194" s="180">
        <v>6</v>
      </c>
      <c r="Y194" s="180">
        <v>6</v>
      </c>
      <c r="AA194" s="198"/>
      <c r="AB194" s="250" t="str">
        <f t="array" ref="AB194">INDEX(B:B,SMALL(IF($Q$3:$Q$517&lt;&gt;"",ROW($3:$517),518),ROW(B193)))&amp;""</f>
        <v>写入空中</v>
      </c>
      <c r="AC194" s="394" t="str">
        <f>IFERROR(IF(AND($Q195&lt;&gt;"",IF(法术查询!$J$4="",1,INDEX($R195:$Z195,1,VLOOKUP(法术查询!$J$4,$AF$2:$AG$10,2,0)))&lt;&gt;"",IF(法术查询!$J$5="",1,$P195=VLOOKUP(法术查询!$J$5,$AH$2:$AI$11,2,0)),IF(法术查询!$J$6="",1,IF(法术查询!$J$6=$E195,1,0)),IF(法术查询!$J$7="",1,SEARCH(法术查询!$J$7,$F195)),IF(法术查询!$J$8="",1,SEARCH(法术查询!$J$8,G195)),IF(法术查询!$J$9="",1,SEARCH(法术查询!$J$9,N195)),IF(法术查询!$J$10="",1,IF(法术查询!$J$10=$AF$11,IF($M195=1,1,0),IF($M195="",1,0))),IF(法术查询!$J$11="",1,IF(法术查询!$J$11=$AF$11,IF($D195=1,1,0),IF($D195="",1,0))),IF(法术查询!$J$12="",1,SEARCH(法术查询!$J$12,$B195&amp;$C195&amp;$O195)),IF(法术查询!$J$13="",1,SEARCH(法术查询!$J$13,$B195&amp;$C195&amp;$O195)),IF(法术查询!$J$14="",1,SEARCH(法术查询!$J$14,$B195&amp;$C195&amp;$O195)),IF(法术查询!$J$16="",1,IF(法术查询!$J$16=$AF$11,IF($H195=1,1,0),IF($H195="",1,0))),IF(法术查询!$J$17="",1,IF(法术查询!$J$17=$AF$11,IF($I195=1,1,0),IF($I195="",1,0))),IF(法术查询!$J$18="",1,IF(法术查询!$J$18=$AF$11,IF($J195&lt;&gt;"",1,0),IF($J195="",1,0))),IF(法术查询!$J$19="",1,IF(法术查询!$J$19=$AF$11,IF($L195&lt;&gt;"",1,0),IF($L195="",1,0)))),$B195,""),"")</f>
        <v/>
      </c>
      <c r="AD194" s="180" t="str">
        <f t="array" ref="AD194">INDEX(AC:AC,SMALL(IF($AC$2:$AC$516&lt;&gt;"",ROW($2:$516),517),ROW(AC193)))&amp;""</f>
        <v/>
      </c>
      <c r="AE194" s="198" t="str">
        <f t="shared" si="6"/>
        <v/>
      </c>
      <c r="AJ194" s="250">
        <v>193</v>
      </c>
      <c r="AK194" s="180" t="str">
        <f>IF(法术书!AE50="","",法术书!AE50)</f>
        <v/>
      </c>
      <c r="AL194" s="119" t="str">
        <f t="array" ref="AL194">IFERROR(INDEX(AK$1:AK$301,SMALL(IF(MATCH(AK194,AK$1:AK$301,0)=ROW(AK194),ROW(AK$1:AK$301),999),ROW(AK194))),"")</f>
        <v/>
      </c>
      <c r="AM194" s="120" t="str">
        <f t="array" ref="AM194">INDEX(AL:AL,SMALL(IF($AL$2:$AL$301&lt;&gt;"",ROW($2:$301),302),ROW(AL193)))&amp;""</f>
        <v/>
      </c>
    </row>
    <row r="195" spans="1:39" ht="14.4" customHeight="1" x14ac:dyDescent="0.25">
      <c r="A195" s="250">
        <v>193</v>
      </c>
      <c r="B195" s="119" t="s">
        <v>7154</v>
      </c>
      <c r="C195" s="119" t="s">
        <v>7155</v>
      </c>
      <c r="D195" s="180">
        <v>1</v>
      </c>
      <c r="E195" s="435" t="s">
        <v>6312</v>
      </c>
      <c r="F195" s="180" t="s">
        <v>6282</v>
      </c>
      <c r="G195" s="180" t="s">
        <v>6460</v>
      </c>
      <c r="H195" s="180">
        <v>1</v>
      </c>
      <c r="I195" s="180">
        <v>1</v>
      </c>
      <c r="M195" s="180">
        <v>1</v>
      </c>
      <c r="N195" s="180" t="s">
        <v>6379</v>
      </c>
      <c r="O195" s="119" t="s">
        <v>7156</v>
      </c>
      <c r="P195" s="119">
        <v>2</v>
      </c>
      <c r="Q195" s="251" t="str">
        <f>IF(综合数据!$B$7=TRUE,"XGE","")</f>
        <v>XGE</v>
      </c>
      <c r="R195" s="180">
        <v>6</v>
      </c>
      <c r="T195" s="180">
        <v>6</v>
      </c>
      <c r="X195" s="180">
        <v>6</v>
      </c>
      <c r="Z195" s="180">
        <v>9</v>
      </c>
      <c r="AA195" s="198"/>
      <c r="AB195" s="250" t="str">
        <f t="array" ref="AB195">INDEX(B:B,SMALL(IF($Q$3:$Q$517&lt;&gt;"",ROW($3:$517),518),ROW(B194)))&amp;""</f>
        <v>史尼洛雪球群</v>
      </c>
      <c r="AC195" s="394" t="str">
        <f>IFERROR(IF(AND($Q196&lt;&gt;"",IF(法术查询!$J$4="",1,INDEX($R196:$Z196,1,VLOOKUP(法术查询!$J$4,$AF$2:$AG$10,2,0)))&lt;&gt;"",IF(法术查询!$J$5="",1,$P196=VLOOKUP(法术查询!$J$5,$AH$2:$AI$11,2,0)),IF(法术查询!$J$6="",1,IF(法术查询!$J$6=$E196,1,0)),IF(法术查询!$J$7="",1,SEARCH(法术查询!$J$7,$F196)),IF(法术查询!$J$8="",1,SEARCH(法术查询!$J$8,G196)),IF(法术查询!$J$9="",1,SEARCH(法术查询!$J$9,N196)),IF(法术查询!$J$10="",1,IF(法术查询!$J$10=$AF$11,IF($M196=1,1,0),IF($M196="",1,0))),IF(法术查询!$J$11="",1,IF(法术查询!$J$11=$AF$11,IF($D196=1,1,0),IF($D196="",1,0))),IF(法术查询!$J$12="",1,SEARCH(法术查询!$J$12,$B196&amp;$C196&amp;$O196)),IF(法术查询!$J$13="",1,SEARCH(法术查询!$J$13,$B196&amp;$C196&amp;$O196)),IF(法术查询!$J$14="",1,SEARCH(法术查询!$J$14,$B196&amp;$C196&amp;$O196)),IF(法术查询!$J$16="",1,IF(法术查询!$J$16=$AF$11,IF($H196=1,1,0),IF($H196="",1,0))),IF(法术查询!$J$17="",1,IF(法术查询!$J$17=$AF$11,IF($I196=1,1,0),IF($I196="",1,0))),IF(法术查询!$J$18="",1,IF(法术查询!$J$18=$AF$11,IF($J196&lt;&gt;"",1,0),IF($J196="",1,0))),IF(法术查询!$J$19="",1,IF(法术查询!$J$19=$AF$11,IF($L196&lt;&gt;"",1,0),IF($L196="",1,0)))),$B196,""),"")</f>
        <v/>
      </c>
      <c r="AD195" s="180" t="str">
        <f t="array" ref="AD195">INDEX(AC:AC,SMALL(IF($AC$2:$AC$516&lt;&gt;"",ROW($2:$516),517),ROW(AC194)))&amp;""</f>
        <v/>
      </c>
      <c r="AE195" s="198" t="str">
        <f t="shared" ref="AE195:AE258" si="7">IF(AD195="","",VLOOKUP(AD195,B:C,2,0))</f>
        <v/>
      </c>
      <c r="AJ195" s="250">
        <v>194</v>
      </c>
      <c r="AK195" s="180" t="str">
        <f>IF(法术书!AE51="","",法术书!AE51)</f>
        <v/>
      </c>
      <c r="AL195" s="119" t="str">
        <f t="array" ref="AL195">IFERROR(INDEX(AK$1:AK$301,SMALL(IF(MATCH(AK195,AK$1:AK$301,0)=ROW(AK195),ROW(AK$1:AK$301),999),ROW(AK195))),"")</f>
        <v/>
      </c>
      <c r="AM195" s="120" t="str">
        <f t="array" ref="AM195">INDEX(AL:AL,SMALL(IF($AL$2:$AL$301&lt;&gt;"",ROW($2:$301),302),ROW(AL194)))&amp;""</f>
        <v/>
      </c>
    </row>
    <row r="196" spans="1:39" ht="14.4" customHeight="1" x14ac:dyDescent="0.25">
      <c r="A196" s="250">
        <v>194</v>
      </c>
      <c r="B196" s="119" t="s">
        <v>7157</v>
      </c>
      <c r="C196" s="119" t="s">
        <v>7158</v>
      </c>
      <c r="E196" s="434" t="s">
        <v>6304</v>
      </c>
      <c r="F196" s="180" t="s">
        <v>6282</v>
      </c>
      <c r="G196" s="180" t="s">
        <v>6400</v>
      </c>
      <c r="H196" s="180">
        <v>1</v>
      </c>
      <c r="I196" s="180">
        <v>1</v>
      </c>
      <c r="J196" s="180">
        <v>1</v>
      </c>
      <c r="K196" s="119" t="s">
        <v>7159</v>
      </c>
      <c r="N196" s="180" t="s">
        <v>6284</v>
      </c>
      <c r="O196" s="119" t="s">
        <v>7160</v>
      </c>
      <c r="P196" s="119">
        <v>2</v>
      </c>
      <c r="Q196" s="251" t="str">
        <f>IF(综合数据!$B$7=TRUE,"XGE","")</f>
        <v>XGE</v>
      </c>
      <c r="W196" s="180">
        <v>6</v>
      </c>
      <c r="X196" s="180">
        <v>6</v>
      </c>
      <c r="AA196" s="198"/>
      <c r="AB196" s="250" t="str">
        <f t="array" ref="AB196">INDEX(B:B,SMALL(IF($Q$3:$Q$517&lt;&gt;"",ROW($3:$517),518),ROW(B195)))&amp;""</f>
        <v>守护之风</v>
      </c>
      <c r="AC196" s="394" t="str">
        <f>IFERROR(IF(AND($Q197&lt;&gt;"",IF(法术查询!$J$4="",1,INDEX($R197:$Z197,1,VLOOKUP(法术查询!$J$4,$AF$2:$AG$10,2,0)))&lt;&gt;"",IF(法术查询!$J$5="",1,$P197=VLOOKUP(法术查询!$J$5,$AH$2:$AI$11,2,0)),IF(法术查询!$J$6="",1,IF(法术查询!$J$6=$E197,1,0)),IF(法术查询!$J$7="",1,SEARCH(法术查询!$J$7,$F197)),IF(法术查询!$J$8="",1,SEARCH(法术查询!$J$8,G197)),IF(法术查询!$J$9="",1,SEARCH(法术查询!$J$9,N197)),IF(法术查询!$J$10="",1,IF(法术查询!$J$10=$AF$11,IF($M197=1,1,0),IF($M197="",1,0))),IF(法术查询!$J$11="",1,IF(法术查询!$J$11=$AF$11,IF($D197=1,1,0),IF($D197="",1,0))),IF(法术查询!$J$12="",1,SEARCH(法术查询!$J$12,$B197&amp;$C197&amp;$O197)),IF(法术查询!$J$13="",1,SEARCH(法术查询!$J$13,$B197&amp;$C197&amp;$O197)),IF(法术查询!$J$14="",1,SEARCH(法术查询!$J$14,$B197&amp;$C197&amp;$O197)),IF(法术查询!$J$16="",1,IF(法术查询!$J$16=$AF$11,IF($H197=1,1,0),IF($H197="",1,0))),IF(法术查询!$J$17="",1,IF(法术查询!$J$17=$AF$11,IF($I197=1,1,0),IF($I197="",1,0))),IF(法术查询!$J$18="",1,IF(法术查询!$J$18=$AF$11,IF($J197&lt;&gt;"",1,0),IF($J197="",1,0))),IF(法术查询!$J$19="",1,IF(法术查询!$J$19=$AF$11,IF($L197&lt;&gt;"",1,0),IF($L197="",1,0)))),$B197,""),"")</f>
        <v/>
      </c>
      <c r="AD196" s="180" t="str">
        <f t="array" ref="AD196">INDEX(AC:AC,SMALL(IF($AC$2:$AC$516&lt;&gt;"",ROW($2:$516),517),ROW(AC195)))&amp;""</f>
        <v/>
      </c>
      <c r="AE196" s="198" t="str">
        <f t="shared" si="7"/>
        <v/>
      </c>
      <c r="AJ196" s="250">
        <v>195</v>
      </c>
      <c r="AK196" s="180" t="str">
        <f>IF(法术书!AE52="","",法术书!AE52)</f>
        <v/>
      </c>
      <c r="AL196" s="119" t="str">
        <f t="array" ref="AL196">IFERROR(INDEX(AK$1:AK$301,SMALL(IF(MATCH(AK196,AK$1:AK$301,0)=ROW(AK196),ROW(AK$1:AK$301),999),ROW(AK196))),"")</f>
        <v/>
      </c>
      <c r="AM196" s="120" t="str">
        <f t="array" ref="AM196">INDEX(AL:AL,SMALL(IF($AL$2:$AL$301&lt;&gt;"",ROW($2:$301),302),ROW(AL195)))&amp;""</f>
        <v/>
      </c>
    </row>
    <row r="197" spans="1:39" ht="14.4" customHeight="1" x14ac:dyDescent="0.25">
      <c r="A197" s="250">
        <v>195</v>
      </c>
      <c r="B197" s="119" t="s">
        <v>7161</v>
      </c>
      <c r="C197" s="119" t="s">
        <v>7162</v>
      </c>
      <c r="E197" s="434" t="s">
        <v>6304</v>
      </c>
      <c r="F197" s="180" t="s">
        <v>6282</v>
      </c>
      <c r="G197" s="180" t="s">
        <v>6291</v>
      </c>
      <c r="H197" s="180">
        <v>1</v>
      </c>
      <c r="M197" s="180">
        <v>1</v>
      </c>
      <c r="N197" s="180" t="s">
        <v>6471</v>
      </c>
      <c r="O197" s="119" t="s">
        <v>7163</v>
      </c>
      <c r="P197" s="119">
        <v>2</v>
      </c>
      <c r="Q197" s="251" t="str">
        <f>IF(综合数据!$B$7=TRUE,"XGE","")</f>
        <v>XGE</v>
      </c>
      <c r="R197" s="180">
        <v>6</v>
      </c>
      <c r="T197" s="180">
        <v>6</v>
      </c>
      <c r="W197" s="180">
        <v>6</v>
      </c>
      <c r="X197" s="180">
        <v>6</v>
      </c>
      <c r="AA197" s="198" t="s">
        <v>7164</v>
      </c>
      <c r="AB197" s="250" t="str">
        <f t="array" ref="AB197">INDEX(B:B,SMALL(IF($Q$3:$Q$517&lt;&gt;"",ROW($3:$517),518),ROW(B196)))&amp;""</f>
        <v>命运宠儿</v>
      </c>
      <c r="AC197" s="394" t="str">
        <f>IFERROR(IF(AND($Q198&lt;&gt;"",IF(法术查询!$J$4="",1,INDEX($R198:$Z198,1,VLOOKUP(法术查询!$J$4,$AF$2:$AG$10,2,0)))&lt;&gt;"",IF(法术查询!$J$5="",1,$P198=VLOOKUP(法术查询!$J$5,$AH$2:$AI$11,2,0)),IF(法术查询!$J$6="",1,IF(法术查询!$J$6=$E198,1,0)),IF(法术查询!$J$7="",1,SEARCH(法术查询!$J$7,$F198)),IF(法术查询!$J$8="",1,SEARCH(法术查询!$J$8,G198)),IF(法术查询!$J$9="",1,SEARCH(法术查询!$J$9,N198)),IF(法术查询!$J$10="",1,IF(法术查询!$J$10=$AF$11,IF($M198=1,1,0),IF($M198="",1,0))),IF(法术查询!$J$11="",1,IF(法术查询!$J$11=$AF$11,IF($D198=1,1,0),IF($D198="",1,0))),IF(法术查询!$J$12="",1,SEARCH(法术查询!$J$12,$B198&amp;$C198&amp;$O198)),IF(法术查询!$J$13="",1,SEARCH(法术查询!$J$13,$B198&amp;$C198&amp;$O198)),IF(法术查询!$J$14="",1,SEARCH(法术查询!$J$14,$B198&amp;$C198&amp;$O198)),IF(法术查询!$J$16="",1,IF(法术查询!$J$16=$AF$11,IF($H198=1,1,0),IF($H198="",1,0))),IF(法术查询!$J$17="",1,IF(法术查询!$J$17=$AF$11,IF($I198=1,1,0),IF($I198="",1,0))),IF(法术查询!$J$18="",1,IF(法术查询!$J$18=$AF$11,IF($J198&lt;&gt;"",1,0),IF($J198="",1,0))),IF(法术查询!$J$19="",1,IF(法术查询!$J$19=$AF$11,IF($L198&lt;&gt;"",1,0),IF($L198="",1,0)))),$B198,""),"")</f>
        <v/>
      </c>
      <c r="AD197" s="180" t="str">
        <f t="array" ref="AD197">INDEX(AC:AC,SMALL(IF($AC$2:$AC$516&lt;&gt;"",ROW($2:$516),517),ROW(AC196)))&amp;""</f>
        <v/>
      </c>
      <c r="AE197" s="198" t="str">
        <f t="shared" si="7"/>
        <v/>
      </c>
      <c r="AJ197" s="250">
        <v>196</v>
      </c>
      <c r="AK197" s="180" t="str">
        <f>IF(法术书!AE53="","",法术书!AE53)</f>
        <v/>
      </c>
      <c r="AL197" s="119" t="str">
        <f t="array" ref="AL197">IFERROR(INDEX(AK$1:AK$301,SMALL(IF(MATCH(AK197,AK$1:AK$301,0)=ROW(AK197),ROW(AK$1:AK$301),999),ROW(AK197))),"")</f>
        <v/>
      </c>
      <c r="AM197" s="120" t="str">
        <f t="array" ref="AM197">INDEX(AL:AL,SMALL(IF($AL$2:$AL$301&lt;&gt;"",ROW($2:$301),302),ROW(AL196)))&amp;""</f>
        <v/>
      </c>
    </row>
    <row r="198" spans="1:39" ht="14.4" customHeight="1" x14ac:dyDescent="0.25">
      <c r="A198" s="250">
        <v>196</v>
      </c>
      <c r="B198" s="119" t="s">
        <v>7165</v>
      </c>
      <c r="C198" s="119" t="s">
        <v>7166</v>
      </c>
      <c r="E198" s="438" t="s">
        <v>6335</v>
      </c>
      <c r="F198" s="180" t="s">
        <v>6349</v>
      </c>
      <c r="G198" s="180" t="s">
        <v>6283</v>
      </c>
      <c r="H198" s="180">
        <v>1</v>
      </c>
      <c r="I198" s="180">
        <v>1</v>
      </c>
      <c r="J198" s="180">
        <v>1</v>
      </c>
      <c r="L198" s="119" t="s">
        <v>7167</v>
      </c>
      <c r="N198" s="180" t="s">
        <v>6344</v>
      </c>
      <c r="O198" s="119" t="s">
        <v>7168</v>
      </c>
      <c r="P198" s="119">
        <v>2</v>
      </c>
      <c r="Q198" s="257" t="str">
        <f>IF(综合数据!$B$11=TRUE,"EGtW","")</f>
        <v>EGtW</v>
      </c>
      <c r="AA198" s="120" t="s">
        <v>6537</v>
      </c>
      <c r="AB198" s="250" t="str">
        <f t="array" ref="AB198">INDEX(B:B,SMALL(IF($Q$3:$Q$517&lt;&gt;"",ROW($3:$517),518),ROW(B197)))&amp;""</f>
        <v>不动物件</v>
      </c>
      <c r="AC198" s="394" t="str">
        <f>IFERROR(IF(AND($Q199&lt;&gt;"",IF(法术查询!$J$4="",1,INDEX($R199:$Z199,1,VLOOKUP(法术查询!$J$4,$AF$2:$AG$10,2,0)))&lt;&gt;"",IF(法术查询!$J$5="",1,$P199=VLOOKUP(法术查询!$J$5,$AH$2:$AI$11,2,0)),IF(法术查询!$J$6="",1,IF(法术查询!$J$6=$E199,1,0)),IF(法术查询!$J$7="",1,SEARCH(法术查询!$J$7,$F199)),IF(法术查询!$J$8="",1,SEARCH(法术查询!$J$8,G199)),IF(法术查询!$J$9="",1,SEARCH(法术查询!$J$9,N199)),IF(法术查询!$J$10="",1,IF(法术查询!$J$10=$AF$11,IF($M199=1,1,0),IF($M199="",1,0))),IF(法术查询!$J$11="",1,IF(法术查询!$J$11=$AF$11,IF($D199=1,1,0),IF($D199="",1,0))),IF(法术查询!$J$12="",1,SEARCH(法术查询!$J$12,$B199&amp;$C199&amp;$O199)),IF(法术查询!$J$13="",1,SEARCH(法术查询!$J$13,$B199&amp;$C199&amp;$O199)),IF(法术查询!$J$14="",1,SEARCH(法术查询!$J$14,$B199&amp;$C199&amp;$O199)),IF(法术查询!$J$16="",1,IF(法术查询!$J$16=$AF$11,IF($H199=1,1,0),IF($H199="",1,0))),IF(法术查询!$J$17="",1,IF(法术查询!$J$17=$AF$11,IF($I199=1,1,0),IF($I199="",1,0))),IF(法术查询!$J$18="",1,IF(法术查询!$J$18=$AF$11,IF($J199&lt;&gt;"",1,0),IF($J199="",1,0))),IF(法术查询!$J$19="",1,IF(法术查询!$J$19=$AF$11,IF($L199&lt;&gt;"",1,0),IF($L199="",1,0)))),$B199,""),"")</f>
        <v/>
      </c>
      <c r="AD198" s="180" t="str">
        <f t="array" ref="AD198">INDEX(AC:AC,SMALL(IF($AC$2:$AC$516&lt;&gt;"",ROW($2:$516),517),ROW(AC197)))&amp;""</f>
        <v/>
      </c>
      <c r="AE198" s="198" t="str">
        <f t="shared" si="7"/>
        <v/>
      </c>
      <c r="AJ198" s="250">
        <v>197</v>
      </c>
      <c r="AK198" s="180" t="str">
        <f>IF(法术书!AE54="","",法术书!AE54)</f>
        <v/>
      </c>
      <c r="AL198" s="119" t="str">
        <f t="array" ref="AL198">IFERROR(INDEX(AK$1:AK$301,SMALL(IF(MATCH(AK198,AK$1:AK$301,0)=ROW(AK198),ROW(AK$1:AK$301),999),ROW(AK198))),"")</f>
        <v/>
      </c>
      <c r="AM198" s="120" t="str">
        <f t="array" ref="AM198">INDEX(AL:AL,SMALL(IF($AL$2:$AL$301&lt;&gt;"",ROW($2:$301),302),ROW(AL197)))&amp;""</f>
        <v/>
      </c>
    </row>
    <row r="199" spans="1:39" ht="14.4" customHeight="1" x14ac:dyDescent="0.25">
      <c r="A199" s="250">
        <v>197</v>
      </c>
      <c r="B199" s="119" t="s">
        <v>7169</v>
      </c>
      <c r="C199" s="119" t="s">
        <v>7170</v>
      </c>
      <c r="E199" s="435" t="s">
        <v>6312</v>
      </c>
      <c r="F199" s="180" t="s">
        <v>6282</v>
      </c>
      <c r="G199" s="180" t="s">
        <v>3682</v>
      </c>
      <c r="H199" s="180">
        <v>1</v>
      </c>
      <c r="I199" s="180">
        <v>1</v>
      </c>
      <c r="J199" s="180">
        <v>1</v>
      </c>
      <c r="L199" s="119" t="s">
        <v>7171</v>
      </c>
      <c r="N199" s="180" t="s">
        <v>6344</v>
      </c>
      <c r="O199" s="119" t="s">
        <v>7172</v>
      </c>
      <c r="P199" s="119">
        <v>2</v>
      </c>
      <c r="Q199" s="257" t="str">
        <f>IF(综合数据!$B$11=TRUE,"EGtW","")</f>
        <v>EGtW</v>
      </c>
      <c r="AA199" s="120" t="s">
        <v>3558</v>
      </c>
      <c r="AB199" s="250" t="str">
        <f t="array" ref="AB199">INDEX(B:B,SMALL(IF($Q$3:$Q$517&lt;&gt;"",ROW($3:$517),518),ROW(B198)))&amp;""</f>
        <v>魔袋术</v>
      </c>
      <c r="AC199" s="394" t="str">
        <f>IFERROR(IF(AND($Q200&lt;&gt;"",IF(法术查询!$J$4="",1,INDEX($R200:$Z200,1,VLOOKUP(法术查询!$J$4,$AF$2:$AG$10,2,0)))&lt;&gt;"",IF(法术查询!$J$5="",1,$P200=VLOOKUP(法术查询!$J$5,$AH$2:$AI$11,2,0)),IF(法术查询!$J$6="",1,IF(法术查询!$J$6=$E200,1,0)),IF(法术查询!$J$7="",1,SEARCH(法术查询!$J$7,$F200)),IF(法术查询!$J$8="",1,SEARCH(法术查询!$J$8,G200)),IF(法术查询!$J$9="",1,SEARCH(法术查询!$J$9,N200)),IF(法术查询!$J$10="",1,IF(法术查询!$J$10=$AF$11,IF($M200=1,1,0),IF($M200="",1,0))),IF(法术查询!$J$11="",1,IF(法术查询!$J$11=$AF$11,IF($D200=1,1,0),IF($D200="",1,0))),IF(法术查询!$J$12="",1,SEARCH(法术查询!$J$12,$B200&amp;$C200&amp;$O200)),IF(法术查询!$J$13="",1,SEARCH(法术查询!$J$13,$B200&amp;$C200&amp;$O200)),IF(法术查询!$J$14="",1,SEARCH(法术查询!$J$14,$B200&amp;$C200&amp;$O200)),IF(法术查询!$J$16="",1,IF(法术查询!$J$16=$AF$11,IF($H200=1,1,0),IF($H200="",1,0))),IF(法术查询!$J$17="",1,IF(法术查询!$J$17=$AF$11,IF($I200=1,1,0),IF($I200="",1,0))),IF(法术查询!$J$18="",1,IF(法术查询!$J$18=$AF$11,IF($J200&lt;&gt;"",1,0),IF($J200="",1,0))),IF(法术查询!$J$19="",1,IF(法术查询!$J$19=$AF$11,IF($L200&lt;&gt;"",1,0),IF($L200="",1,0)))),$B200,""),"")</f>
        <v/>
      </c>
      <c r="AD199" s="180" t="str">
        <f t="array" ref="AD199">INDEX(AC:AC,SMALL(IF($AC$2:$AC$516&lt;&gt;"",ROW($2:$516),517),ROW(AC198)))&amp;""</f>
        <v/>
      </c>
      <c r="AE199" s="198" t="str">
        <f t="shared" si="7"/>
        <v/>
      </c>
      <c r="AJ199" s="250">
        <v>198</v>
      </c>
      <c r="AK199" s="180" t="str">
        <f>IF(法术书!AE55="","",法术书!AE55)</f>
        <v/>
      </c>
      <c r="AL199" s="119" t="str">
        <f t="array" ref="AL199">IFERROR(INDEX(AK$1:AK$301,SMALL(IF(MATCH(AK199,AK$1:AK$301,0)=ROW(AK199),ROW(AK$1:AK$301),999),ROW(AK199))),"")</f>
        <v/>
      </c>
      <c r="AM199" s="120" t="str">
        <f t="array" ref="AM199">INDEX(AL:AL,SMALL(IF($AL$2:$AL$301&lt;&gt;"",ROW($2:$301),302),ROW(AL198)))&amp;""</f>
        <v/>
      </c>
    </row>
    <row r="200" spans="1:39" ht="14.4" customHeight="1" x14ac:dyDescent="0.25">
      <c r="A200" s="250">
        <v>198</v>
      </c>
      <c r="B200" s="119" t="s">
        <v>7173</v>
      </c>
      <c r="C200" s="119" t="s">
        <v>7174</v>
      </c>
      <c r="D200" s="180">
        <v>1</v>
      </c>
      <c r="E200" s="378" t="s">
        <v>6281</v>
      </c>
      <c r="F200" s="180" t="s">
        <v>6282</v>
      </c>
      <c r="G200" s="180" t="s">
        <v>6291</v>
      </c>
      <c r="I200" s="180">
        <v>1</v>
      </c>
      <c r="M200" s="180">
        <v>1</v>
      </c>
      <c r="N200" s="180" t="s">
        <v>6379</v>
      </c>
      <c r="O200" s="119" t="s">
        <v>7175</v>
      </c>
      <c r="P200" s="119">
        <v>2</v>
      </c>
      <c r="Q200" s="257" t="str">
        <f>IF(综合数据!$B$11=TRUE,"EGtW","")</f>
        <v>EGtW</v>
      </c>
      <c r="AA200" s="120" t="s">
        <v>6537</v>
      </c>
      <c r="AB200" s="250" t="str">
        <f t="array" ref="AB200">INDEX(B:B,SMALL(IF($Q$3:$Q$517&lt;&gt;"",ROW($3:$517),518),ROW(B199)))&amp;""</f>
        <v>巧舌如簧</v>
      </c>
      <c r="AC200" s="394" t="str">
        <f>IFERROR(IF(AND($Q201&lt;&gt;"",IF(法术查询!$J$4="",1,INDEX($R201:$Z201,1,VLOOKUP(法术查询!$J$4,$AF$2:$AG$10,2,0)))&lt;&gt;"",IF(法术查询!$J$5="",1,$P201=VLOOKUP(法术查询!$J$5,$AH$2:$AI$11,2,0)),IF(法术查询!$J$6="",1,IF(法术查询!$J$6=$E201,1,0)),IF(法术查询!$J$7="",1,SEARCH(法术查询!$J$7,$F201)),IF(法术查询!$J$8="",1,SEARCH(法术查询!$J$8,G201)),IF(法术查询!$J$9="",1,SEARCH(法术查询!$J$9,N201)),IF(法术查询!$J$10="",1,IF(法术查询!$J$10=$AF$11,IF($M201=1,1,0),IF($M201="",1,0))),IF(法术查询!$J$11="",1,IF(法术查询!$J$11=$AF$11,IF($D201=1,1,0),IF($D201="",1,0))),IF(法术查询!$J$12="",1,SEARCH(法术查询!$J$12,$B201&amp;$C201&amp;$O201)),IF(法术查询!$J$13="",1,SEARCH(法术查询!$J$13,$B201&amp;$C201&amp;$O201)),IF(法术查询!$J$14="",1,SEARCH(法术查询!$J$14,$B201&amp;$C201&amp;$O201)),IF(法术查询!$J$16="",1,IF(法术查询!$J$16=$AF$11,IF($H201=1,1,0),IF($H201="",1,0))),IF(法术查询!$J$17="",1,IF(法术查询!$J$17=$AF$11,IF($I201=1,1,0),IF($I201="",1,0))),IF(法术查询!$J$18="",1,IF(法术查询!$J$18=$AF$11,IF($J201&lt;&gt;"",1,0),IF($J201="",1,0))),IF(法术查询!$J$19="",1,IF(法术查询!$J$19=$AF$11,IF($L201&lt;&gt;"",1,0),IF($L201="",1,0)))),$B201,""),"")</f>
        <v/>
      </c>
      <c r="AD200" s="180" t="str">
        <f t="array" ref="AD200">INDEX(AC:AC,SMALL(IF($AC$2:$AC$516&lt;&gt;"",ROW($2:$516),517),ROW(AC199)))&amp;""</f>
        <v/>
      </c>
      <c r="AE200" s="198" t="str">
        <f t="shared" si="7"/>
        <v/>
      </c>
      <c r="AJ200" s="250">
        <v>199</v>
      </c>
      <c r="AK200" s="180" t="str">
        <f>IF(法术书!AE56="","",法术书!AE56)</f>
        <v/>
      </c>
      <c r="AL200" s="119" t="str">
        <f t="array" ref="AL200">IFERROR(INDEX(AK$1:AK$301,SMALL(IF(MATCH(AK200,AK$1:AK$301,0)=ROW(AK200),ROW(AK$1:AK$301),999),ROW(AK200))),"")</f>
        <v/>
      </c>
      <c r="AM200" s="120" t="str">
        <f t="array" ref="AM200">INDEX(AL:AL,SMALL(IF($AL$2:$AL$301&lt;&gt;"",ROW($2:$301),302),ROW(AL199)))&amp;""</f>
        <v/>
      </c>
    </row>
    <row r="201" spans="1:39" ht="14.4" customHeight="1" x14ac:dyDescent="0.25">
      <c r="A201" s="250">
        <v>199</v>
      </c>
      <c r="B201" s="119" t="s">
        <v>2581</v>
      </c>
      <c r="C201" s="119" t="s">
        <v>7176</v>
      </c>
      <c r="E201" s="379" t="s">
        <v>6328</v>
      </c>
      <c r="F201" s="180" t="s">
        <v>6452</v>
      </c>
      <c r="G201" s="180" t="s">
        <v>6291</v>
      </c>
      <c r="H201" s="180">
        <v>1</v>
      </c>
      <c r="I201" s="180">
        <v>1</v>
      </c>
      <c r="J201" s="180">
        <v>1</v>
      </c>
      <c r="L201" s="119" t="s">
        <v>7177</v>
      </c>
      <c r="N201" s="180" t="s">
        <v>6284</v>
      </c>
      <c r="O201" s="119" t="s">
        <v>7178</v>
      </c>
      <c r="P201" s="119">
        <v>2</v>
      </c>
      <c r="Q201" s="248" t="str">
        <f>IF(综合数据!$B$12=TRUE,"AcqInc.","")</f>
        <v>AcqInc.</v>
      </c>
      <c r="R201" s="180">
        <v>11</v>
      </c>
      <c r="X201" s="180">
        <v>11</v>
      </c>
      <c r="AA201" s="198"/>
      <c r="AB201" s="250" t="str">
        <f t="array" ref="AB201">INDEX(B:B,SMALL(IF($Q$3:$Q$517&lt;&gt;"",ROW($3:$517),518),ROW(B200)))&amp;""</f>
        <v>吉姆的发光硬币</v>
      </c>
      <c r="AC201" s="394" t="str">
        <f>IFERROR(IF(AND($Q202&lt;&gt;"",IF(法术查询!$J$4="",1,INDEX($R202:$Z202,1,VLOOKUP(法术查询!$J$4,$AF$2:$AG$10,2,0)))&lt;&gt;"",IF(法术查询!$J$5="",1,$P202=VLOOKUP(法术查询!$J$5,$AH$2:$AI$11,2,0)),IF(法术查询!$J$6="",1,IF(法术查询!$J$6=$E202,1,0)),IF(法术查询!$J$7="",1,SEARCH(法术查询!$J$7,$F202)),IF(法术查询!$J$8="",1,SEARCH(法术查询!$J$8,G202)),IF(法术查询!$J$9="",1,SEARCH(法术查询!$J$9,N202)),IF(法术查询!$J$10="",1,IF(法术查询!$J$10=$AF$11,IF($M202=1,1,0),IF($M202="",1,0))),IF(法术查询!$J$11="",1,IF(法术查询!$J$11=$AF$11,IF($D202=1,1,0),IF($D202="",1,0))),IF(法术查询!$J$12="",1,SEARCH(法术查询!$J$12,$B202&amp;$C202&amp;$O202)),IF(法术查询!$J$13="",1,SEARCH(法术查询!$J$13,$B202&amp;$C202&amp;$O202)),IF(法术查询!$J$14="",1,SEARCH(法术查询!$J$14,$B202&amp;$C202&amp;$O202)),IF(法术查询!$J$16="",1,IF(法术查询!$J$16=$AF$11,IF($H202=1,1,0),IF($H202="",1,0))),IF(法术查询!$J$17="",1,IF(法术查询!$J$17=$AF$11,IF($I202=1,1,0),IF($I202="",1,0))),IF(法术查询!$J$18="",1,IF(法术查询!$J$18=$AF$11,IF($J202&lt;&gt;"",1,0),IF($J202="",1,0))),IF(法术查询!$J$19="",1,IF(法术查询!$J$19=$AF$11,IF($L202&lt;&gt;"",1,0),IF($L202="",1,0)))),$B202,""),"")</f>
        <v/>
      </c>
      <c r="AD201" s="180" t="str">
        <f t="array" ref="AD201">INDEX(AC:AC,SMALL(IF($AC$2:$AC$516&lt;&gt;"",ROW($2:$516),517),ROW(AC200)))&amp;""</f>
        <v/>
      </c>
      <c r="AE201" s="198" t="str">
        <f t="shared" si="7"/>
        <v/>
      </c>
      <c r="AJ201" s="250">
        <v>200</v>
      </c>
      <c r="AK201" s="180" t="str">
        <f>IF(法术书!AE57="","",法术书!AE57)</f>
        <v/>
      </c>
      <c r="AL201" s="119" t="str">
        <f t="array" ref="AL201">IFERROR(INDEX(AK$1:AK$301,SMALL(IF(MATCH(AK201,AK$1:AK$301,0)=ROW(AK201),ROW(AK$1:AK$301),999),ROW(AK201))),"")</f>
        <v/>
      </c>
      <c r="AM201" s="120" t="str">
        <f t="array" ref="AM201">INDEX(AL:AL,SMALL(IF($AL$2:$AL$301&lt;&gt;"",ROW($2:$301),302),ROW(AL200)))&amp;""</f>
        <v/>
      </c>
    </row>
    <row r="202" spans="1:39" ht="14.4" customHeight="1" x14ac:dyDescent="0.25">
      <c r="A202" s="250">
        <v>200</v>
      </c>
      <c r="B202" s="119" t="s">
        <v>7179</v>
      </c>
      <c r="C202" s="119" t="s">
        <v>7180</v>
      </c>
      <c r="E202" s="379" t="s">
        <v>6328</v>
      </c>
      <c r="F202" s="180" t="s">
        <v>6282</v>
      </c>
      <c r="G202" s="180" t="s">
        <v>6283</v>
      </c>
      <c r="I202" s="180">
        <v>1</v>
      </c>
      <c r="J202" s="180">
        <v>2</v>
      </c>
      <c r="K202" s="119" t="s">
        <v>7181</v>
      </c>
      <c r="L202" s="119" t="s">
        <v>7177</v>
      </c>
      <c r="N202" s="180" t="s">
        <v>6349</v>
      </c>
      <c r="O202" s="119" t="s">
        <v>7182</v>
      </c>
      <c r="P202" s="119">
        <v>2</v>
      </c>
      <c r="Q202" s="248" t="str">
        <f>IF(综合数据!$B$12=TRUE,"AcqInc.","")</f>
        <v>AcqInc.</v>
      </c>
      <c r="X202" s="180">
        <v>11</v>
      </c>
      <c r="AA202" s="198"/>
      <c r="AB202" s="250" t="str">
        <f t="array" ref="AB202">INDEX(B:B,SMALL(IF($Q$3:$Q$517&lt;&gt;"",ROW($3:$517),518),ROW(B201)))&amp;""</f>
        <v>野兽召唤术</v>
      </c>
      <c r="AC202" s="394" t="str">
        <f>IFERROR(IF(AND($Q203&lt;&gt;"",IF(法术查询!$J$4="",1,INDEX($R203:$Z203,1,VLOOKUP(法术查询!$J$4,$AF$2:$AG$10,2,0)))&lt;&gt;"",IF(法术查询!$J$5="",1,$P203=VLOOKUP(法术查询!$J$5,$AH$2:$AI$11,2,0)),IF(法术查询!$J$6="",1,IF(法术查询!$J$6=$E203,1,0)),IF(法术查询!$J$7="",1,SEARCH(法术查询!$J$7,$F203)),IF(法术查询!$J$8="",1,SEARCH(法术查询!$J$8,G203)),IF(法术查询!$J$9="",1,SEARCH(法术查询!$J$9,N203)),IF(法术查询!$J$10="",1,IF(法术查询!$J$10=$AF$11,IF($M203=1,1,0),IF($M203="",1,0))),IF(法术查询!$J$11="",1,IF(法术查询!$J$11=$AF$11,IF($D203=1,1,0),IF($D203="",1,0))),IF(法术查询!$J$12="",1,SEARCH(法术查询!$J$12,$B203&amp;$C203&amp;$O203)),IF(法术查询!$J$13="",1,SEARCH(法术查询!$J$13,$B203&amp;$C203&amp;$O203)),IF(法术查询!$J$14="",1,SEARCH(法术查询!$J$14,$B203&amp;$C203&amp;$O203)),IF(法术查询!$J$16="",1,IF(法术查询!$J$16=$AF$11,IF($H203=1,1,0),IF($H203="",1,0))),IF(法术查询!$J$17="",1,IF(法术查询!$J$17=$AF$11,IF($I203=1,1,0),IF($I203="",1,0))),IF(法术查询!$J$18="",1,IF(法术查询!$J$18=$AF$11,IF($J203&lt;&gt;"",1,0),IF($J203="",1,0))),IF(法术查询!$J$19="",1,IF(法术查询!$J$19=$AF$11,IF($L203&lt;&gt;"",1,0),IF($L203="",1,0)))),$B203,""),"")</f>
        <v/>
      </c>
      <c r="AD202" s="180" t="str">
        <f t="array" ref="AD202">INDEX(AC:AC,SMALL(IF($AC$2:$AC$516&lt;&gt;"",ROW($2:$516),517),ROW(AC201)))&amp;""</f>
        <v/>
      </c>
      <c r="AE202" s="198" t="str">
        <f t="shared" si="7"/>
        <v/>
      </c>
      <c r="AJ202" s="337">
        <v>201</v>
      </c>
      <c r="AK202" s="277" t="str">
        <f>IF(法术书!AH8="","",法术书!AH8)</f>
        <v/>
      </c>
      <c r="AL202" s="277" t="str">
        <f t="array" ref="AL202">IFERROR(INDEX(AK$1:AK$301,SMALL(IF(MATCH(AK202,AK$1:AK$301,0)=ROW(AK202),ROW(AK$1:AK$301),999),ROW(AK202))),"")</f>
        <v/>
      </c>
      <c r="AM202" s="245" t="str">
        <f t="array" ref="AM202">INDEX(AL:AL,SMALL(IF($AL$2:$AL$301&lt;&gt;"",ROW($2:$301),302),ROW(AL201)))&amp;""</f>
        <v/>
      </c>
    </row>
    <row r="203" spans="1:39" ht="14.4" customHeight="1" x14ac:dyDescent="0.25">
      <c r="A203" s="250">
        <v>201</v>
      </c>
      <c r="B203" s="119" t="s">
        <v>7183</v>
      </c>
      <c r="C203" s="119" t="s">
        <v>7184</v>
      </c>
      <c r="E203" s="378" t="s">
        <v>6281</v>
      </c>
      <c r="F203" s="180" t="s">
        <v>6282</v>
      </c>
      <c r="G203" s="180" t="s">
        <v>6400</v>
      </c>
      <c r="H203" s="180">
        <v>1</v>
      </c>
      <c r="I203" s="180">
        <v>1</v>
      </c>
      <c r="J203" s="180">
        <v>1</v>
      </c>
      <c r="K203" s="119" t="s">
        <v>7185</v>
      </c>
      <c r="L203" s="119"/>
      <c r="M203" s="180">
        <v>1</v>
      </c>
      <c r="N203" s="180" t="s">
        <v>6379</v>
      </c>
      <c r="O203" s="119" t="s">
        <v>7186</v>
      </c>
      <c r="P203" s="119">
        <v>2</v>
      </c>
      <c r="Q203" s="443" t="str">
        <f>IF(综合数据!$B$14=TRUE,"TCE","")</f>
        <v>TCE</v>
      </c>
      <c r="T203" s="180">
        <v>13</v>
      </c>
      <c r="V203" s="180">
        <v>13</v>
      </c>
      <c r="AA203" s="198"/>
      <c r="AB203" s="250" t="str">
        <f t="array" ref="AB203">INDEX(B:B,SMALL(IF($Q$3:$Q$517&lt;&gt;"",ROW($3:$517),518),ROW(B202)))&amp;""</f>
        <v>塔莎心灵鞭</v>
      </c>
      <c r="AC203" s="394" t="str">
        <f>IFERROR(IF(AND($Q204&lt;&gt;"",IF(法术查询!$J$4="",1,INDEX($R204:$Z204,1,VLOOKUP(法术查询!$J$4,$AF$2:$AG$10,2,0)))&lt;&gt;"",IF(法术查询!$J$5="",1,$P204=VLOOKUP(法术查询!$J$5,$AH$2:$AI$11,2,0)),IF(法术查询!$J$6="",1,IF(法术查询!$J$6=$E204,1,0)),IF(法术查询!$J$7="",1,SEARCH(法术查询!$J$7,$F204)),IF(法术查询!$J$8="",1,SEARCH(法术查询!$J$8,G204)),IF(法术查询!$J$9="",1,SEARCH(法术查询!$J$9,N204)),IF(法术查询!$J$10="",1,IF(法术查询!$J$10=$AF$11,IF($M204=1,1,0),IF($M204="",1,0))),IF(法术查询!$J$11="",1,IF(法术查询!$J$11=$AF$11,IF($D204=1,1,0),IF($D204="",1,0))),IF(法术查询!$J$12="",1,SEARCH(法术查询!$J$12,$B204&amp;$C204&amp;$O204)),IF(法术查询!$J$13="",1,SEARCH(法术查询!$J$13,$B204&amp;$C204&amp;$O204)),IF(法术查询!$J$14="",1,SEARCH(法术查询!$J$14,$B204&amp;$C204&amp;$O204)),IF(法术查询!$J$16="",1,IF(法术查询!$J$16=$AF$11,IF($H204=1,1,0),IF($H204="",1,0))),IF(法术查询!$J$17="",1,IF(法术查询!$J$17=$AF$11,IF($I204=1,1,0),IF($I204="",1,0))),IF(法术查询!$J$18="",1,IF(法术查询!$J$18=$AF$11,IF($J204&lt;&gt;"",1,0),IF($J204="",1,0))),IF(法术查询!$J$19="",1,IF(法术查询!$J$19=$AF$11,IF($L204&lt;&gt;"",1,0),IF($L204="",1,0)))),$B204,""),"")</f>
        <v/>
      </c>
      <c r="AD203" s="180" t="str">
        <f t="array" ref="AD203">INDEX(AC:AC,SMALL(IF($AC$2:$AC$516&lt;&gt;"",ROW($2:$516),517),ROW(AC202)))&amp;""</f>
        <v/>
      </c>
      <c r="AE203" s="198" t="str">
        <f t="shared" si="7"/>
        <v/>
      </c>
      <c r="AJ203" s="250">
        <v>202</v>
      </c>
      <c r="AK203" s="119" t="str">
        <f>IF(法术书!AH9="","",法术书!AH9)</f>
        <v/>
      </c>
      <c r="AL203" s="119" t="str">
        <f t="array" ref="AL203">IFERROR(INDEX(AK$1:AK$301,SMALL(IF(MATCH(AK203,AK$1:AK$301,0)=ROW(AK203),ROW(AK$1:AK$301),999),ROW(AK203))),"")</f>
        <v/>
      </c>
      <c r="AM203" s="120" t="str">
        <f t="array" ref="AM203">INDEX(AL:AL,SMALL(IF($AL$2:$AL$301&lt;&gt;"",ROW($2:$301),302),ROW(AL202)))&amp;""</f>
        <v/>
      </c>
    </row>
    <row r="204" spans="1:39" ht="14.4" customHeight="1" x14ac:dyDescent="0.25">
      <c r="A204" s="250">
        <v>202</v>
      </c>
      <c r="B204" s="119" t="s">
        <v>7187</v>
      </c>
      <c r="C204" s="119" t="s">
        <v>7188</v>
      </c>
      <c r="E204" s="379" t="s">
        <v>6328</v>
      </c>
      <c r="F204" s="180" t="s">
        <v>6282</v>
      </c>
      <c r="G204" s="180" t="s">
        <v>6400</v>
      </c>
      <c r="H204" s="180">
        <v>1</v>
      </c>
      <c r="K204" s="119"/>
      <c r="L204" s="119"/>
      <c r="N204" s="180" t="s">
        <v>6292</v>
      </c>
      <c r="O204" s="119" t="s">
        <v>7189</v>
      </c>
      <c r="P204" s="119">
        <v>2</v>
      </c>
      <c r="Q204" s="443" t="str">
        <f>IF(综合数据!$B$14=TRUE,"TCE","")</f>
        <v>TCE</v>
      </c>
      <c r="W204" s="180">
        <v>13</v>
      </c>
      <c r="X204" s="180">
        <v>13</v>
      </c>
      <c r="AA204" s="198"/>
      <c r="AB204" s="250" t="str">
        <f t="array" ref="AB204">INDEX(B:B,SMALL(IF($Q$3:$Q$517&lt;&gt;"",ROW($3:$517),518),ROW(B203)))&amp;""</f>
        <v>纳撒尔恶作剧</v>
      </c>
      <c r="AC204" s="394" t="str">
        <f>IFERROR(IF(AND($Q205&lt;&gt;"",IF(法术查询!$J$4="",1,INDEX($R205:$Z205,1,VLOOKUP(法术查询!$J$4,$AF$2:$AG$10,2,0)))&lt;&gt;"",IF(法术查询!$J$5="",1,$P205=VLOOKUP(法术查询!$J$5,$AH$2:$AI$11,2,0)),IF(法术查询!$J$6="",1,IF(法术查询!$J$6=$E205,1,0)),IF(法术查询!$J$7="",1,SEARCH(法术查询!$J$7,$F205)),IF(法术查询!$J$8="",1,SEARCH(法术查询!$J$8,G205)),IF(法术查询!$J$9="",1,SEARCH(法术查询!$J$9,N205)),IF(法术查询!$J$10="",1,IF(法术查询!$J$10=$AF$11,IF($M205=1,1,0),IF($M205="",1,0))),IF(法术查询!$J$11="",1,IF(法术查询!$J$11=$AF$11,IF($D205=1,1,0),IF($D205="",1,0))),IF(法术查询!$J$12="",1,SEARCH(法术查询!$J$12,$B205&amp;$C205&amp;$O205)),IF(法术查询!$J$13="",1,SEARCH(法术查询!$J$13,$B205&amp;$C205&amp;$O205)),IF(法术查询!$J$14="",1,SEARCH(法术查询!$J$14,$B205&amp;$C205&amp;$O205)),IF(法术查询!$J$16="",1,IF(法术查询!$J$16=$AF$11,IF($H205=1,1,0),IF($H205="",1,0))),IF(法术查询!$J$17="",1,IF(法术查询!$J$17=$AF$11,IF($I205=1,1,0),IF($I205="",1,0))),IF(法术查询!$J$18="",1,IF(法术查询!$J$18=$AF$11,IF($J205&lt;&gt;"",1,0),IF($J205="",1,0))),IF(法术查询!$J$19="",1,IF(法术查询!$J$19=$AF$11,IF($L205&lt;&gt;"",1,0),IF($L205="",1,0)))),$B205,""),"")</f>
        <v/>
      </c>
      <c r="AD204" s="180" t="str">
        <f t="array" ref="AD204">INDEX(AC:AC,SMALL(IF($AC$2:$AC$516&lt;&gt;"",ROW($2:$516),517),ROW(AC203)))&amp;""</f>
        <v/>
      </c>
      <c r="AE204" s="198" t="str">
        <f t="shared" si="7"/>
        <v/>
      </c>
      <c r="AJ204" s="250">
        <v>203</v>
      </c>
      <c r="AK204" s="119" t="str">
        <f>IF(法术书!AH10="","",法术书!AH10)</f>
        <v/>
      </c>
      <c r="AL204" s="119" t="str">
        <f t="array" ref="AL204">IFERROR(INDEX(AK$1:AK$301,SMALL(IF(MATCH(AK204,AK$1:AK$301,0)=ROW(AK204),ROW(AK$1:AK$301),999),ROW(AK204))),"")</f>
        <v/>
      </c>
      <c r="AM204" s="120" t="str">
        <f t="array" ref="AM204">INDEX(AL:AL,SMALL(IF($AL$2:$AL$301&lt;&gt;"",ROW($2:$301),302),ROW(AL203)))&amp;""</f>
        <v/>
      </c>
    </row>
    <row r="205" spans="1:39" ht="14.4" customHeight="1" x14ac:dyDescent="0.25">
      <c r="A205" s="250">
        <v>203</v>
      </c>
      <c r="B205" s="119" t="s">
        <v>7190</v>
      </c>
      <c r="C205" s="119" t="s">
        <v>7191</v>
      </c>
      <c r="E205" s="285" t="s">
        <v>6366</v>
      </c>
      <c r="F205" s="180" t="s">
        <v>6282</v>
      </c>
      <c r="G205" s="180" t="s">
        <v>6283</v>
      </c>
      <c r="I205" s="180">
        <v>1</v>
      </c>
      <c r="J205" s="180">
        <v>1</v>
      </c>
      <c r="K205" s="119" t="s">
        <v>7192</v>
      </c>
      <c r="M205" s="180">
        <v>1</v>
      </c>
      <c r="N205" s="180" t="s">
        <v>6306</v>
      </c>
      <c r="O205" s="119" t="s">
        <v>7193</v>
      </c>
      <c r="P205" s="180">
        <v>2</v>
      </c>
      <c r="Q205" s="445" t="str">
        <f>IF(综合数据!$B$16=TRUE,"FTD","")</f>
        <v>FTD</v>
      </c>
      <c r="R205" s="180">
        <v>15</v>
      </c>
      <c r="W205" s="180">
        <v>15</v>
      </c>
      <c r="X205" s="180">
        <v>15</v>
      </c>
      <c r="AA205" s="198"/>
      <c r="AB205" s="250" t="str">
        <f t="array" ref="AB205">INDEX(B:B,SMALL(IF($Q$3:$Q$517&lt;&gt;"",ROW($3:$517),518),ROW(B204)))&amp;""</f>
        <v>莱姆束缚之霜</v>
      </c>
      <c r="AC205" s="394" t="str">
        <f>IFERROR(IF(AND($Q206&lt;&gt;"",IF(法术查询!$J$4="",1,INDEX($R206:$Z206,1,VLOOKUP(法术查询!$J$4,$AF$2:$AG$10,2,0)))&lt;&gt;"",IF(法术查询!$J$5="",1,$P206=VLOOKUP(法术查询!$J$5,$AH$2:$AI$11,2,0)),IF(法术查询!$J$6="",1,IF(法术查询!$J$6=$E206,1,0)),IF(法术查询!$J$7="",1,SEARCH(法术查询!$J$7,$F206)),IF(法术查询!$J$8="",1,SEARCH(法术查询!$J$8,G206)),IF(法术查询!$J$9="",1,SEARCH(法术查询!$J$9,N206)),IF(法术查询!$J$10="",1,IF(法术查询!$J$10=$AF$11,IF($M206=1,1,0),IF($M206="",1,0))),IF(法术查询!$J$11="",1,IF(法术查询!$J$11=$AF$11,IF($D206=1,1,0),IF($D206="",1,0))),IF(法术查询!$J$12="",1,SEARCH(法术查询!$J$12,$B206&amp;$C206&amp;$O206)),IF(法术查询!$J$13="",1,SEARCH(法术查询!$J$13,$B206&amp;$C206&amp;$O206)),IF(法术查询!$J$14="",1,SEARCH(法术查询!$J$14,$B206&amp;$C206&amp;$O206)),IF(法术查询!$J$16="",1,IF(法术查询!$J$16=$AF$11,IF($H206=1,1,0),IF($H206="",1,0))),IF(法术查询!$J$17="",1,IF(法术查询!$J$17=$AF$11,IF($I206=1,1,0),IF($I206="",1,0))),IF(法术查询!$J$18="",1,IF(法术查询!$J$18=$AF$11,IF($J206&lt;&gt;"",1,0),IF($J206="",1,0))),IF(法术查询!$J$19="",1,IF(法术查询!$J$19=$AF$11,IF($L206&lt;&gt;"",1,0),IF($L206="",1,0)))),$B206,""),"")</f>
        <v/>
      </c>
      <c r="AD205" s="180" t="str">
        <f t="array" ref="AD205">INDEX(AC:AC,SMALL(IF($AC$2:$AC$516&lt;&gt;"",ROW($2:$516),517),ROW(AC204)))&amp;""</f>
        <v/>
      </c>
      <c r="AE205" s="198" t="str">
        <f t="shared" si="7"/>
        <v/>
      </c>
      <c r="AJ205" s="250">
        <v>204</v>
      </c>
      <c r="AK205" s="119" t="str">
        <f>IF(法术书!AH11="","",法术书!AH11)</f>
        <v/>
      </c>
      <c r="AL205" s="119" t="str">
        <f t="array" ref="AL205">IFERROR(INDEX(AK$1:AK$301,SMALL(IF(MATCH(AK205,AK$1:AK$301,0)=ROW(AK205),ROW(AK$1:AK$301),999),ROW(AK205))),"")</f>
        <v/>
      </c>
      <c r="AM205" s="120" t="str">
        <f t="array" ref="AM205">INDEX(AL:AL,SMALL(IF($AL$2:$AL$301&lt;&gt;"",ROW($2:$301),302),ROW(AL204)))&amp;""</f>
        <v/>
      </c>
    </row>
    <row r="206" spans="1:39" ht="14.4" customHeight="1" x14ac:dyDescent="0.25">
      <c r="A206" s="250">
        <v>204</v>
      </c>
      <c r="B206" s="119" t="s">
        <v>7194</v>
      </c>
      <c r="C206" s="119" t="s">
        <v>7195</v>
      </c>
      <c r="E206" s="434" t="s">
        <v>6304</v>
      </c>
      <c r="F206" s="180" t="s">
        <v>6282</v>
      </c>
      <c r="G206" s="180" t="s">
        <v>6515</v>
      </c>
      <c r="I206" s="180">
        <v>1</v>
      </c>
      <c r="J206" s="180">
        <v>1</v>
      </c>
      <c r="K206" s="119" t="s">
        <v>7196</v>
      </c>
      <c r="N206" s="180" t="s">
        <v>6284</v>
      </c>
      <c r="O206" s="119" t="s">
        <v>7197</v>
      </c>
      <c r="P206" s="180">
        <v>2</v>
      </c>
      <c r="Q206" s="445" t="str">
        <f>IF(综合数据!$B$16=TRUE,"FTD","")</f>
        <v>FTD</v>
      </c>
      <c r="W206" s="180">
        <v>15</v>
      </c>
      <c r="X206" s="180">
        <v>15</v>
      </c>
      <c r="AA206" s="198"/>
      <c r="AB206" s="250" t="str">
        <f t="array" ref="AB206">INDEX(B:B,SMALL(IF($Q$3:$Q$517&lt;&gt;"",ROW($3:$517),518),ROW(B205)))&amp;""</f>
        <v>借鉴才学</v>
      </c>
      <c r="AC206" s="394" t="str">
        <f>IFERROR(IF(AND($Q207&lt;&gt;"",IF(法术查询!$J$4="",1,INDEX($R207:$Z207,1,VLOOKUP(法术查询!$J$4,$AF$2:$AG$10,2,0)))&lt;&gt;"",IF(法术查询!$J$5="",1,$P207=VLOOKUP(法术查询!$J$5,$AH$2:$AI$11,2,0)),IF(法术查询!$J$6="",1,IF(法术查询!$J$6=$E207,1,0)),IF(法术查询!$J$7="",1,SEARCH(法术查询!$J$7,$F207)),IF(法术查询!$J$8="",1,SEARCH(法术查询!$J$8,G207)),IF(法术查询!$J$9="",1,SEARCH(法术查询!$J$9,N207)),IF(法术查询!$J$10="",1,IF(法术查询!$J$10=$AF$11,IF($M207=1,1,0),IF($M207="",1,0))),IF(法术查询!$J$11="",1,IF(法术查询!$J$11=$AF$11,IF($D207=1,1,0),IF($D207="",1,0))),IF(法术查询!$J$12="",1,SEARCH(法术查询!$J$12,$B207&amp;$C207&amp;$O207)),IF(法术查询!$J$13="",1,SEARCH(法术查询!$J$13,$B207&amp;$C207&amp;$O207)),IF(法术查询!$J$14="",1,SEARCH(法术查询!$J$14,$B207&amp;$C207&amp;$O207)),IF(法术查询!$J$16="",1,IF(法术查询!$J$16=$AF$11,IF($H207=1,1,0),IF($H207="",1,0))),IF(法术查询!$J$17="",1,IF(法术查询!$J$17=$AF$11,IF($I207=1,1,0),IF($I207="",1,0))),IF(法术查询!$J$18="",1,IF(法术查询!$J$18=$AF$11,IF($J207&lt;&gt;"",1,0),IF($J207="",1,0))),IF(法术查询!$J$19="",1,IF(法术查询!$J$19=$AF$11,IF($L207&lt;&gt;"",1,0),IF($L207="",1,0)))),$B207,""),"")</f>
        <v/>
      </c>
      <c r="AD206" s="180" t="str">
        <f t="array" ref="AD206">INDEX(AC:AC,SMALL(IF($AC$2:$AC$516&lt;&gt;"",ROW($2:$516),517),ROW(AC205)))&amp;""</f>
        <v/>
      </c>
      <c r="AE206" s="198" t="str">
        <f t="shared" si="7"/>
        <v/>
      </c>
      <c r="AJ206" s="250">
        <v>205</v>
      </c>
      <c r="AK206" s="119" t="str">
        <f>IF(法术书!AH12="","",法术书!AH12)</f>
        <v/>
      </c>
      <c r="AL206" s="119" t="str">
        <f t="array" ref="AL206">IFERROR(INDEX(AK$1:AK$301,SMALL(IF(MATCH(AK206,AK$1:AK$301,0)=ROW(AK206),ROW(AK$1:AK$301),999),ROW(AK206))),"")</f>
        <v/>
      </c>
      <c r="AM206" s="120" t="str">
        <f t="array" ref="AM206">INDEX(AL:AL,SMALL(IF($AL$2:$AL$301&lt;&gt;"",ROW($2:$301),302),ROW(AL205)))&amp;""</f>
        <v/>
      </c>
    </row>
    <row r="207" spans="1:39" ht="14.4" customHeight="1" x14ac:dyDescent="0.25">
      <c r="A207" s="250">
        <v>205</v>
      </c>
      <c r="B207" s="119" t="s">
        <v>7198</v>
      </c>
      <c r="C207" s="119" t="s">
        <v>7199</v>
      </c>
      <c r="E207" s="180" t="s">
        <v>6335</v>
      </c>
      <c r="F207" s="180" t="s">
        <v>6282</v>
      </c>
      <c r="G207" s="180" t="s">
        <v>6291</v>
      </c>
      <c r="H207" s="180">
        <v>1</v>
      </c>
      <c r="I207" s="180">
        <v>1</v>
      </c>
      <c r="J207" s="180">
        <v>1</v>
      </c>
      <c r="K207" s="119" t="s">
        <v>7200</v>
      </c>
      <c r="N207" s="180" t="s">
        <v>6344</v>
      </c>
      <c r="O207" s="119" t="s">
        <v>7201</v>
      </c>
      <c r="P207" s="119">
        <v>2</v>
      </c>
      <c r="Q207" s="444" t="str">
        <f>IF(综合数据!$B$17=TRUE,"SCC","")</f>
        <v>SCC</v>
      </c>
      <c r="R207" s="180">
        <v>16</v>
      </c>
      <c r="S207" s="180">
        <v>16</v>
      </c>
      <c r="X207" s="180">
        <v>16</v>
      </c>
      <c r="Y207" s="180">
        <v>16</v>
      </c>
      <c r="AA207" s="198" t="s">
        <v>7202</v>
      </c>
      <c r="AB207" s="250" t="str">
        <f t="array" ref="AB207">INDEX(B:B,SMALL(IF($Q$3:$Q$517&lt;&gt;"",ROW($3:$517),518),ROW(B206)))&amp;""</f>
        <v>动力短行</v>
      </c>
      <c r="AC207" s="394" t="str">
        <f>IFERROR(IF(AND($Q208&lt;&gt;"",IF(法术查询!$J$4="",1,INDEX($R208:$Z208,1,VLOOKUP(法术查询!$J$4,$AF$2:$AG$10,2,0)))&lt;&gt;"",IF(法术查询!$J$5="",1,$P208=VLOOKUP(法术查询!$J$5,$AH$2:$AI$11,2,0)),IF(法术查询!$J$6="",1,IF(法术查询!$J$6=$E208,1,0)),IF(法术查询!$J$7="",1,SEARCH(法术查询!$J$7,$F208)),IF(法术查询!$J$8="",1,SEARCH(法术查询!$J$8,G208)),IF(法术查询!$J$9="",1,SEARCH(法术查询!$J$9,N208)),IF(法术查询!$J$10="",1,IF(法术查询!$J$10=$AF$11,IF($M208=1,1,0),IF($M208="",1,0))),IF(法术查询!$J$11="",1,IF(法术查询!$J$11=$AF$11,IF($D208=1,1,0),IF($D208="",1,0))),IF(法术查询!$J$12="",1,SEARCH(法术查询!$J$12,$B208&amp;$C208&amp;$O208)),IF(法术查询!$J$13="",1,SEARCH(法术查询!$J$13,$B208&amp;$C208&amp;$O208)),IF(法术查询!$J$14="",1,SEARCH(法术查询!$J$14,$B208&amp;$C208&amp;$O208)),IF(法术查询!$J$16="",1,IF(法术查询!$J$16=$AF$11,IF($H208=1,1,0),IF($H208="",1,0))),IF(法术查询!$J$17="",1,IF(法术查询!$J$17=$AF$11,IF($I208=1,1,0),IF($I208="",1,0))),IF(法术查询!$J$18="",1,IF(法术查询!$J$18=$AF$11,IF($J208&lt;&gt;"",1,0),IF($J208="",1,0))),IF(法术查询!$J$19="",1,IF(法术查询!$J$19=$AF$11,IF($L208&lt;&gt;"",1,0),IF($L208="",1,0)))),$B208,""),"")</f>
        <v/>
      </c>
      <c r="AD207" s="180" t="str">
        <f t="array" ref="AD207">INDEX(AC:AC,SMALL(IF($AC$2:$AC$516&lt;&gt;"",ROW($2:$516),517),ROW(AC206)))&amp;""</f>
        <v/>
      </c>
      <c r="AE207" s="198" t="str">
        <f t="shared" si="7"/>
        <v/>
      </c>
      <c r="AJ207" s="250">
        <v>206</v>
      </c>
      <c r="AK207" s="119" t="str">
        <f>IF(法术书!AH13="","",法术书!AH13)</f>
        <v/>
      </c>
      <c r="AL207" s="119" t="str">
        <f t="array" ref="AL207">IFERROR(INDEX(AK$1:AK$301,SMALL(IF(MATCH(AK207,AK$1:AK$301,0)=ROW(AK207),ROW(AK$1:AK$301),999),ROW(AK207))),"")</f>
        <v/>
      </c>
      <c r="AM207" s="120" t="str">
        <f t="array" ref="AM207">INDEX(AL:AL,SMALL(IF($AL$2:$AL$301&lt;&gt;"",ROW($2:$301),302),ROW(AL206)))&amp;""</f>
        <v/>
      </c>
    </row>
    <row r="208" spans="1:39" ht="14.4" customHeight="1" x14ac:dyDescent="0.25">
      <c r="A208" s="250">
        <v>206</v>
      </c>
      <c r="B208" s="119" t="s">
        <v>7203</v>
      </c>
      <c r="C208" s="119" t="s">
        <v>7204</v>
      </c>
      <c r="E208" s="180" t="s">
        <v>6312</v>
      </c>
      <c r="F208" s="180" t="s">
        <v>6352</v>
      </c>
      <c r="G208" s="180" t="s">
        <v>6291</v>
      </c>
      <c r="I208" s="180">
        <v>1</v>
      </c>
      <c r="M208" s="180">
        <v>1</v>
      </c>
      <c r="N208" s="180" t="s">
        <v>6306</v>
      </c>
      <c r="O208" s="119" t="s">
        <v>7205</v>
      </c>
      <c r="P208" s="119">
        <v>2</v>
      </c>
      <c r="Q208" s="444" t="str">
        <f>IF(综合数据!$B$17=TRUE,"SCC","")</f>
        <v>SCC</v>
      </c>
      <c r="R208" s="180">
        <v>16</v>
      </c>
      <c r="W208" s="180">
        <v>16</v>
      </c>
      <c r="X208" s="180">
        <v>16</v>
      </c>
      <c r="Z208" s="180">
        <v>16</v>
      </c>
      <c r="AA208" s="120" t="s">
        <v>6582</v>
      </c>
      <c r="AB208" s="250" t="str">
        <f t="array" ref="AB208">INDEX(B:B,SMALL(IF($Q$3:$Q$517&lt;&gt;"",ROW($3:$517),518),ROW(B207)))&amp;""</f>
        <v>涡旋翘曲</v>
      </c>
      <c r="AC208" s="394" t="str">
        <f>IFERROR(IF(AND($Q209&lt;&gt;"",IF(法术查询!$J$4="",1,INDEX($R209:$Z209,1,VLOOKUP(法术查询!$J$4,$AF$2:$AG$10,2,0)))&lt;&gt;"",IF(法术查询!$J$5="",1,$P209=VLOOKUP(法术查询!$J$5,$AH$2:$AI$11,2,0)),IF(法术查询!$J$6="",1,IF(法术查询!$J$6=$E209,1,0)),IF(法术查询!$J$7="",1,SEARCH(法术查询!$J$7,$F209)),IF(法术查询!$J$8="",1,SEARCH(法术查询!$J$8,G209)),IF(法术查询!$J$9="",1,SEARCH(法术查询!$J$9,N209)),IF(法术查询!$J$10="",1,IF(法术查询!$J$10=$AF$11,IF($M209=1,1,0),IF($M209="",1,0))),IF(法术查询!$J$11="",1,IF(法术查询!$J$11=$AF$11,IF($D209=1,1,0),IF($D209="",1,0))),IF(法术查询!$J$12="",1,SEARCH(法术查询!$J$12,$B209&amp;$C209&amp;$O209)),IF(法术查询!$J$13="",1,SEARCH(法术查询!$J$13,$B209&amp;$C209&amp;$O209)),IF(法术查询!$J$14="",1,SEARCH(法术查询!$J$14,$B209&amp;$C209&amp;$O209)),IF(法术查询!$J$16="",1,IF(法术查询!$J$16=$AF$11,IF($H209=1,1,0),IF($H209="",1,0))),IF(法术查询!$J$17="",1,IF(法术查询!$J$17=$AF$11,IF($I209=1,1,0),IF($I209="",1,0))),IF(法术查询!$J$18="",1,IF(法术查询!$J$18=$AF$11,IF($J209&lt;&gt;"",1,0),IF($J209="",1,0))),IF(法术查询!$J$19="",1,IF(法术查询!$J$19=$AF$11,IF($L209&lt;&gt;"",1,0),IF($L209="",1,0)))),$B209,""),"")</f>
        <v/>
      </c>
      <c r="AD208" s="180" t="str">
        <f t="array" ref="AD208">INDEX(AC:AC,SMALL(IF($AC$2:$AC$516&lt;&gt;"",ROW($2:$516),517),ROW(AC207)))&amp;""</f>
        <v/>
      </c>
      <c r="AE208" s="198" t="str">
        <f t="shared" si="7"/>
        <v/>
      </c>
      <c r="AJ208" s="250">
        <v>207</v>
      </c>
      <c r="AK208" s="119" t="str">
        <f>IF(法术书!AH14="","",法术书!AH14)</f>
        <v/>
      </c>
      <c r="AL208" s="119" t="str">
        <f t="array" ref="AL208">IFERROR(INDEX(AK$1:AK$301,SMALL(IF(MATCH(AK208,AK$1:AK$301,0)=ROW(AK208),ROW(AK$1:AK$301),999),ROW(AK208))),"")</f>
        <v/>
      </c>
      <c r="AM208" s="120" t="str">
        <f t="array" ref="AM208">INDEX(AL:AL,SMALL(IF($AL$2:$AL$301&lt;&gt;"",ROW($2:$301),302),ROW(AL207)))&amp;""</f>
        <v/>
      </c>
    </row>
    <row r="209" spans="1:39" ht="14.4" customHeight="1" x14ac:dyDescent="0.25">
      <c r="A209" s="250">
        <v>207</v>
      </c>
      <c r="B209" s="119" t="s">
        <v>7206</v>
      </c>
      <c r="C209" s="119" t="s">
        <v>7207</v>
      </c>
      <c r="E209" s="180" t="s">
        <v>6281</v>
      </c>
      <c r="F209" s="180" t="s">
        <v>6282</v>
      </c>
      <c r="G209" s="180" t="s">
        <v>6400</v>
      </c>
      <c r="H209" s="180">
        <v>1</v>
      </c>
      <c r="I209" s="180">
        <v>1</v>
      </c>
      <c r="N209" s="180" t="s">
        <v>6284</v>
      </c>
      <c r="O209" s="119" t="s">
        <v>7208</v>
      </c>
      <c r="P209" s="119">
        <v>2</v>
      </c>
      <c r="Q209" s="444" t="str">
        <f>IF(综合数据!$B$17=TRUE,"SCC","")</f>
        <v>SCC</v>
      </c>
      <c r="W209" s="180">
        <v>16</v>
      </c>
      <c r="X209" s="180">
        <v>16</v>
      </c>
      <c r="Z209" s="180">
        <v>16</v>
      </c>
      <c r="AA209" s="120" t="s">
        <v>7209</v>
      </c>
      <c r="AB209" s="250" t="str">
        <f t="array" ref="AB209">INDEX(B:B,SMALL(IF($Q$3:$Q$517&lt;&gt;"",ROW($3:$517),518),ROW(B208)))&amp;""</f>
        <v>靡叶生华</v>
      </c>
      <c r="AC209" s="394" t="str">
        <f>IFERROR(IF(AND($Q210&lt;&gt;"",IF(法术查询!$J$4="",1,INDEX($R210:$Z210,1,VLOOKUP(法术查询!$J$4,$AF$2:$AG$10,2,0)))&lt;&gt;"",IF(法术查询!$J$5="",1,$P210=VLOOKUP(法术查询!$J$5,$AH$2:$AI$11,2,0)),IF(法术查询!$J$6="",1,IF(法术查询!$J$6=$E210,1,0)),IF(法术查询!$J$7="",1,SEARCH(法术查询!$J$7,$F210)),IF(法术查询!$J$8="",1,SEARCH(法术查询!$J$8,G210)),IF(法术查询!$J$9="",1,SEARCH(法术查询!$J$9,N210)),IF(法术查询!$J$10="",1,IF(法术查询!$J$10=$AF$11,IF($M210=1,1,0),IF($M210="",1,0))),IF(法术查询!$J$11="",1,IF(法术查询!$J$11=$AF$11,IF($D210=1,1,0),IF($D210="",1,0))),IF(法术查询!$J$12="",1,SEARCH(法术查询!$J$12,$B210&amp;$C210&amp;$O210)),IF(法术查询!$J$13="",1,SEARCH(法术查询!$J$13,$B210&amp;$C210&amp;$O210)),IF(法术查询!$J$14="",1,SEARCH(法术查询!$J$14,$B210&amp;$C210&amp;$O210)),IF(法术查询!$J$16="",1,IF(法术查询!$J$16=$AF$11,IF($H210=1,1,0),IF($H210="",1,0))),IF(法术查询!$J$17="",1,IF(法术查询!$J$17=$AF$11,IF($I210=1,1,0),IF($I210="",1,0))),IF(法术查询!$J$18="",1,IF(法术查询!$J$18=$AF$11,IF($J210&lt;&gt;"",1,0),IF($J210="",1,0))),IF(法术查询!$J$19="",1,IF(法术查询!$J$19=$AF$11,IF($L210&lt;&gt;"",1,0),IF($L210="",1,0)))),$B210,""),"")</f>
        <v/>
      </c>
      <c r="AD209" s="180" t="str">
        <f t="array" ref="AD209">INDEX(AC:AC,SMALL(IF($AC$2:$AC$516&lt;&gt;"",ROW($2:$516),517),ROW(AC208)))&amp;""</f>
        <v/>
      </c>
      <c r="AE209" s="198" t="str">
        <f t="shared" si="7"/>
        <v/>
      </c>
      <c r="AJ209" s="250">
        <v>208</v>
      </c>
      <c r="AK209" s="119" t="str">
        <f>IF(法术书!AH15="","",法术书!AH15)</f>
        <v/>
      </c>
      <c r="AL209" s="119" t="str">
        <f t="array" ref="AL209">IFERROR(INDEX(AK$1:AK$301,SMALL(IF(MATCH(AK209,AK$1:AK$301,0)=ROW(AK209),ROW(AK$1:AK$301),999),ROW(AK209))),"")</f>
        <v/>
      </c>
      <c r="AM209" s="120" t="str">
        <f t="array" ref="AM209">INDEX(AL:AL,SMALL(IF($AL$2:$AL$301&lt;&gt;"",ROW($2:$301),302),ROW(AL208)))&amp;""</f>
        <v/>
      </c>
    </row>
    <row r="210" spans="1:39" ht="14.4" customHeight="1" x14ac:dyDescent="0.25">
      <c r="A210" s="250">
        <v>208</v>
      </c>
      <c r="B210" s="119" t="s">
        <v>7210</v>
      </c>
      <c r="C210" s="119" t="s">
        <v>7211</v>
      </c>
      <c r="E210" s="180" t="s">
        <v>6297</v>
      </c>
      <c r="F210" s="180" t="s">
        <v>6282</v>
      </c>
      <c r="G210" s="180" t="s">
        <v>6283</v>
      </c>
      <c r="H210" s="180">
        <v>1</v>
      </c>
      <c r="I210" s="180">
        <v>1</v>
      </c>
      <c r="J210" s="180">
        <v>1</v>
      </c>
      <c r="K210" s="119" t="s">
        <v>7212</v>
      </c>
      <c r="N210" s="180" t="s">
        <v>6284</v>
      </c>
      <c r="O210" s="119" t="s">
        <v>7213</v>
      </c>
      <c r="P210" s="119">
        <v>2</v>
      </c>
      <c r="Q210" s="444" t="str">
        <f>IF(综合数据!$B$17=TRUE,"SCC","")</f>
        <v>SCC</v>
      </c>
      <c r="T210" s="180">
        <v>16</v>
      </c>
      <c r="W210" s="180">
        <v>16</v>
      </c>
      <c r="X210" s="180">
        <v>16</v>
      </c>
      <c r="AA210" s="120" t="s">
        <v>7214</v>
      </c>
      <c r="AB210" s="250" t="str">
        <f t="array" ref="AB210">INDEX(B:B,SMALL(IF($Q$3:$Q$517&lt;&gt;"",ROW($3:$517),518),ROW(B209)))&amp;""</f>
        <v>操纵死尸</v>
      </c>
      <c r="AC210" s="394" t="str">
        <f>IFERROR(IF(AND($Q211&lt;&gt;"",IF(法术查询!$J$4="",1,INDEX($R211:$Z211,1,VLOOKUP(法术查询!$J$4,$AF$2:$AG$10,2,0)))&lt;&gt;"",IF(法术查询!$J$5="",1,$P211=VLOOKUP(法术查询!$J$5,$AH$2:$AI$11,2,0)),IF(法术查询!$J$6="",1,IF(法术查询!$J$6=$E211,1,0)),IF(法术查询!$J$7="",1,SEARCH(法术查询!$J$7,$F211)),IF(法术查询!$J$8="",1,SEARCH(法术查询!$J$8,G211)),IF(法术查询!$J$9="",1,SEARCH(法术查询!$J$9,N211)),IF(法术查询!$J$10="",1,IF(法术查询!$J$10=$AF$11,IF($M211=1,1,0),IF($M211="",1,0))),IF(法术查询!$J$11="",1,IF(法术查询!$J$11=$AF$11,IF($D211=1,1,0),IF($D211="",1,0))),IF(法术查询!$J$12="",1,SEARCH(法术查询!$J$12,$B211&amp;$C211&amp;$O211)),IF(法术查询!$J$13="",1,SEARCH(法术查询!$J$13,$B211&amp;$C211&amp;$O211)),IF(法术查询!$J$14="",1,SEARCH(法术查询!$J$14,$B211&amp;$C211&amp;$O211)),IF(法术查询!$J$16="",1,IF(法术查询!$J$16=$AF$11,IF($H211=1,1,0),IF($H211="",1,0))),IF(法术查询!$J$17="",1,IF(法术查询!$J$17=$AF$11,IF($I211=1,1,0),IF($I211="",1,0))),IF(法术查询!$J$18="",1,IF(法术查询!$J$18=$AF$11,IF($J211&lt;&gt;"",1,0),IF($J211="",1,0))),IF(法术查询!$J$19="",1,IF(法术查询!$J$19=$AF$11,IF($L211&lt;&gt;"",1,0),IF($L211="",1,0)))),$B211,""),"")</f>
        <v/>
      </c>
      <c r="AD210" s="180" t="str">
        <f t="array" ref="AD210">INDEX(AC:AC,SMALL(IF($AC$2:$AC$516&lt;&gt;"",ROW($2:$516),517),ROW(AC209)))&amp;""</f>
        <v/>
      </c>
      <c r="AE210" s="198" t="str">
        <f t="shared" si="7"/>
        <v/>
      </c>
      <c r="AJ210" s="250">
        <v>209</v>
      </c>
      <c r="AK210" s="119" t="str">
        <f>IF(法术书!AH16="","",法术书!AH16)</f>
        <v/>
      </c>
      <c r="AL210" s="119" t="str">
        <f t="array" ref="AL210">IFERROR(INDEX(AK$1:AK$301,SMALL(IF(MATCH(AK210,AK$1:AK$301,0)=ROW(AK210),ROW(AK$1:AK$301),999),ROW(AK210))),"")</f>
        <v/>
      </c>
      <c r="AM210" s="120" t="str">
        <f t="array" ref="AM210">INDEX(AL:AL,SMALL(IF($AL$2:$AL$301&lt;&gt;"",ROW($2:$301),302),ROW(AL209)))&amp;""</f>
        <v/>
      </c>
    </row>
    <row r="211" spans="1:39" ht="14.4" customHeight="1" x14ac:dyDescent="0.25">
      <c r="A211" s="250">
        <v>209</v>
      </c>
      <c r="B211" s="119" t="s">
        <v>7215</v>
      </c>
      <c r="C211" s="119" t="s">
        <v>7216</v>
      </c>
      <c r="E211" s="378" t="s">
        <v>6281</v>
      </c>
      <c r="F211" s="180" t="s">
        <v>6349</v>
      </c>
      <c r="G211" s="180" t="s">
        <v>3682</v>
      </c>
      <c r="H211" s="180">
        <v>1</v>
      </c>
      <c r="I211" s="180">
        <v>1</v>
      </c>
      <c r="K211" s="119"/>
      <c r="L211" s="119"/>
      <c r="M211" s="180">
        <v>1</v>
      </c>
      <c r="N211" s="180" t="s">
        <v>6379</v>
      </c>
      <c r="O211" s="119" t="s">
        <v>7217</v>
      </c>
      <c r="P211" s="119">
        <v>2</v>
      </c>
      <c r="Q211" s="168" t="str">
        <f>IF(综合数据!$B$19=TRUE,"MOD","")</f>
        <v/>
      </c>
      <c r="W211" s="180">
        <v>0</v>
      </c>
      <c r="X211" s="180">
        <v>0</v>
      </c>
      <c r="AA211" s="198"/>
      <c r="AB211" s="250" t="str">
        <f t="array" ref="AB211">INDEX(B:B,SMALL(IF($Q$3:$Q$517&lt;&gt;"",ROW($3:$517),518),ROW(B210)))&amp;""</f>
        <v>活力灵光</v>
      </c>
      <c r="AC211" s="394" t="str">
        <f>IFERROR(IF(AND($Q212&lt;&gt;"",IF(法术查询!$J$4="",1,INDEX($R212:$Z212,1,VLOOKUP(法术查询!$J$4,$AF$2:$AG$10,2,0)))&lt;&gt;"",IF(法术查询!$J$5="",1,$P212=VLOOKUP(法术查询!$J$5,$AH$2:$AI$11,2,0)),IF(法术查询!$J$6="",1,IF(法术查询!$J$6=$E212,1,0)),IF(法术查询!$J$7="",1,SEARCH(法术查询!$J$7,$F212)),IF(法术查询!$J$8="",1,SEARCH(法术查询!$J$8,G212)),IF(法术查询!$J$9="",1,SEARCH(法术查询!$J$9,N212)),IF(法术查询!$J$10="",1,IF(法术查询!$J$10=$AF$11,IF($M212=1,1,0),IF($M212="",1,0))),IF(法术查询!$J$11="",1,IF(法术查询!$J$11=$AF$11,IF($D212=1,1,0),IF($D212="",1,0))),IF(法术查询!$J$12="",1,SEARCH(法术查询!$J$12,$B212&amp;$C212&amp;$O212)),IF(法术查询!$J$13="",1,SEARCH(法术查询!$J$13,$B212&amp;$C212&amp;$O212)),IF(法术查询!$J$14="",1,SEARCH(法术查询!$J$14,$B212&amp;$C212&amp;$O212)),IF(法术查询!$J$16="",1,IF(法术查询!$J$16=$AF$11,IF($H212=1,1,0),IF($H212="",1,0))),IF(法术查询!$J$17="",1,IF(法术查询!$J$17=$AF$11,IF($I212=1,1,0),IF($I212="",1,0))),IF(法术查询!$J$18="",1,IF(法术查询!$J$18=$AF$11,IF($J212&lt;&gt;"",1,0),IF($J212="",1,0))),IF(法术查询!$J$19="",1,IF(法术查询!$J$19=$AF$11,IF($L212&lt;&gt;"",1,0),IF($L212="",1,0)))),$B212,""),"")</f>
        <v/>
      </c>
      <c r="AD211" s="180" t="str">
        <f t="array" ref="AD211">INDEX(AC:AC,SMALL(IF($AC$2:$AC$516&lt;&gt;"",ROW($2:$516),517),ROW(AC210)))&amp;""</f>
        <v/>
      </c>
      <c r="AE211" s="198" t="str">
        <f t="shared" si="7"/>
        <v/>
      </c>
      <c r="AJ211" s="250">
        <v>210</v>
      </c>
      <c r="AK211" s="119" t="str">
        <f>IF(法术书!AH17="","",法术书!AH17)</f>
        <v/>
      </c>
      <c r="AL211" s="119" t="str">
        <f t="array" ref="AL211">IFERROR(INDEX(AK$1:AK$301,SMALL(IF(MATCH(AK211,AK$1:AK$301,0)=ROW(AK211),ROW(AK$1:AK$301),999),ROW(AK211))),"")</f>
        <v/>
      </c>
      <c r="AM211" s="120" t="str">
        <f t="array" ref="AM211">INDEX(AL:AL,SMALL(IF($AL$2:$AL$301&lt;&gt;"",ROW($2:$301),302),ROW(AL210)))&amp;""</f>
        <v/>
      </c>
    </row>
    <row r="212" spans="1:39" ht="14.4" customHeight="1" x14ac:dyDescent="0.25">
      <c r="A212" s="250">
        <v>210</v>
      </c>
      <c r="B212" s="119" t="s">
        <v>7218</v>
      </c>
      <c r="C212" s="119" t="s">
        <v>7219</v>
      </c>
      <c r="E212" s="441" t="s">
        <v>6297</v>
      </c>
      <c r="F212" s="180" t="s">
        <v>6349</v>
      </c>
      <c r="G212" s="180" t="s">
        <v>6370</v>
      </c>
      <c r="H212" s="180">
        <v>1</v>
      </c>
      <c r="I212" s="180">
        <v>1</v>
      </c>
      <c r="J212" s="180">
        <v>1</v>
      </c>
      <c r="K212" s="119" t="s">
        <v>7220</v>
      </c>
      <c r="N212" s="180" t="s">
        <v>6284</v>
      </c>
      <c r="O212" s="119" t="s">
        <v>7221</v>
      </c>
      <c r="P212" s="119">
        <v>3</v>
      </c>
      <c r="Q212" s="119" t="s">
        <v>242</v>
      </c>
      <c r="S212" s="180">
        <v>1</v>
      </c>
      <c r="X212" s="180">
        <v>1</v>
      </c>
      <c r="AA212" s="120" t="s">
        <v>7222</v>
      </c>
      <c r="AB212" s="250" t="str">
        <f t="array" ref="AB212">INDEX(B:B,SMALL(IF($Q$3:$Q$517&lt;&gt;"",ROW($3:$517),518),ROW(B211)))&amp;""</f>
        <v>希望信标</v>
      </c>
      <c r="AC212" s="394" t="str">
        <f>IFERROR(IF(AND($Q213&lt;&gt;"",IF(法术查询!$J$4="",1,INDEX($R213:$Z213,1,VLOOKUP(法术查询!$J$4,$AF$2:$AG$10,2,0)))&lt;&gt;"",IF(法术查询!$J$5="",1,$P213=VLOOKUP(法术查询!$J$5,$AH$2:$AI$11,2,0)),IF(法术查询!$J$6="",1,IF(法术查询!$J$6=$E213,1,0)),IF(法术查询!$J$7="",1,SEARCH(法术查询!$J$7,$F213)),IF(法术查询!$J$8="",1,SEARCH(法术查询!$J$8,G213)),IF(法术查询!$J$9="",1,SEARCH(法术查询!$J$9,N213)),IF(法术查询!$J$10="",1,IF(法术查询!$J$10=$AF$11,IF($M213=1,1,0),IF($M213="",1,0))),IF(法术查询!$J$11="",1,IF(法术查询!$J$11=$AF$11,IF($D213=1,1,0),IF($D213="",1,0))),IF(法术查询!$J$12="",1,SEARCH(法术查询!$J$12,$B213&amp;$C213&amp;$O213)),IF(法术查询!$J$13="",1,SEARCH(法术查询!$J$13,$B213&amp;$C213&amp;$O213)),IF(法术查询!$J$14="",1,SEARCH(法术查询!$J$14,$B213&amp;$C213&amp;$O213)),IF(法术查询!$J$16="",1,IF(法术查询!$J$16=$AF$11,IF($H213=1,1,0),IF($H213="",1,0))),IF(法术查询!$J$17="",1,IF(法术查询!$J$17=$AF$11,IF($I213=1,1,0),IF($I213="",1,0))),IF(法术查询!$J$18="",1,IF(法术查询!$J$18=$AF$11,IF($J213&lt;&gt;"",1,0),IF($J213="",1,0))),IF(法术查询!$J$19="",1,IF(法术查询!$J$19=$AF$11,IF($L213&lt;&gt;"",1,0),IF($L213="",1,0)))),$B213,""),"")</f>
        <v/>
      </c>
      <c r="AD212" s="180" t="str">
        <f t="array" ref="AD212">INDEX(AC:AC,SMALL(IF($AC$2:$AC$516&lt;&gt;"",ROW($2:$516),517),ROW(AC211)))&amp;""</f>
        <v/>
      </c>
      <c r="AE212" s="198" t="str">
        <f t="shared" si="7"/>
        <v/>
      </c>
      <c r="AJ212" s="250">
        <v>211</v>
      </c>
      <c r="AK212" s="119" t="str">
        <f>IF(法术书!AH18="","",法术书!AH18)</f>
        <v/>
      </c>
      <c r="AL212" s="119" t="str">
        <f t="array" ref="AL212">IFERROR(INDEX(AK$1:AK$301,SMALL(IF(MATCH(AK212,AK$1:AK$301,0)=ROW(AK212),ROW(AK$1:AK$301),999),ROW(AK212))),"")</f>
        <v/>
      </c>
      <c r="AM212" s="120" t="str">
        <f t="array" ref="AM212">INDEX(AL:AL,SMALL(IF($AL$2:$AL$301&lt;&gt;"",ROW($2:$301),302),ROW(AL211)))&amp;""</f>
        <v/>
      </c>
    </row>
    <row r="213" spans="1:39" ht="14.4" customHeight="1" x14ac:dyDescent="0.25">
      <c r="A213" s="250">
        <v>211</v>
      </c>
      <c r="B213" s="119" t="s">
        <v>7223</v>
      </c>
      <c r="C213" s="119" t="s">
        <v>7224</v>
      </c>
      <c r="E213" s="434" t="s">
        <v>6304</v>
      </c>
      <c r="F213" s="180" t="s">
        <v>6282</v>
      </c>
      <c r="G213" s="180" t="s">
        <v>6507</v>
      </c>
      <c r="H213" s="180">
        <v>1</v>
      </c>
      <c r="M213" s="180">
        <v>1</v>
      </c>
      <c r="N213" s="180" t="s">
        <v>6306</v>
      </c>
      <c r="O213" s="119" t="s">
        <v>7225</v>
      </c>
      <c r="P213" s="119">
        <v>3</v>
      </c>
      <c r="Q213" s="119" t="s">
        <v>242</v>
      </c>
      <c r="S213" s="180" t="str">
        <f>IF(综合数据!$B$14=TRUE,"13","")</f>
        <v>13</v>
      </c>
      <c r="T213" s="180" t="str">
        <f>IF(综合数据!$B$14=TRUE,"13","")</f>
        <v>13</v>
      </c>
      <c r="U213" s="180">
        <v>1</v>
      </c>
      <c r="AA213" s="120" t="s">
        <v>7226</v>
      </c>
      <c r="AB213" s="250" t="str">
        <f t="array" ref="AB213">INDEX(B:B,SMALL(IF($Q$3:$Q$517&lt;&gt;"",ROW($3:$517),518),ROW(B212)))&amp;""</f>
        <v>降咒</v>
      </c>
      <c r="AC213" s="394" t="str">
        <f>IFERROR(IF(AND($Q214&lt;&gt;"",IF(法术查询!$J$4="",1,INDEX($R214:$Z214,1,VLOOKUP(法术查询!$J$4,$AF$2:$AG$10,2,0)))&lt;&gt;"",IF(法术查询!$J$5="",1,$P214=VLOOKUP(法术查询!$J$5,$AH$2:$AI$11,2,0)),IF(法术查询!$J$6="",1,IF(法术查询!$J$6=$E214,1,0)),IF(法术查询!$J$7="",1,SEARCH(法术查询!$J$7,$F214)),IF(法术查询!$J$8="",1,SEARCH(法术查询!$J$8,G214)),IF(法术查询!$J$9="",1,SEARCH(法术查询!$J$9,N214)),IF(法术查询!$J$10="",1,IF(法术查询!$J$10=$AF$11,IF($M214=1,1,0),IF($M214="",1,0))),IF(法术查询!$J$11="",1,IF(法术查询!$J$11=$AF$11,IF($D214=1,1,0),IF($D214="",1,0))),IF(法术查询!$J$12="",1,SEARCH(法术查询!$J$12,$B214&amp;$C214&amp;$O214)),IF(法术查询!$J$13="",1,SEARCH(法术查询!$J$13,$B214&amp;$C214&amp;$O214)),IF(法术查询!$J$14="",1,SEARCH(法术查询!$J$14,$B214&amp;$C214&amp;$O214)),IF(法术查询!$J$16="",1,IF(法术查询!$J$16=$AF$11,IF($H214=1,1,0),IF($H214="",1,0))),IF(法术查询!$J$17="",1,IF(法术查询!$J$17=$AF$11,IF($I214=1,1,0),IF($I214="",1,0))),IF(法术查询!$J$18="",1,IF(法术查询!$J$18=$AF$11,IF($J214&lt;&gt;"",1,0),IF($J214="",1,0))),IF(法术查询!$J$19="",1,IF(法术查询!$J$19=$AF$11,IF($L214&lt;&gt;"",1,0),IF($L214="",1,0)))),$B214,""),"")</f>
        <v/>
      </c>
      <c r="AD213" s="180" t="str">
        <f t="array" ref="AD213">INDEX(AC:AC,SMALL(IF($AC$2:$AC$516&lt;&gt;"",ROW($2:$516),517),ROW(AC212)))&amp;""</f>
        <v/>
      </c>
      <c r="AE213" s="198" t="str">
        <f t="shared" si="7"/>
        <v/>
      </c>
      <c r="AJ213" s="250">
        <v>212</v>
      </c>
      <c r="AK213" s="119" t="str">
        <f>IF(法术书!AH19="","",法术书!AH19)</f>
        <v/>
      </c>
      <c r="AL213" s="119" t="str">
        <f t="array" ref="AL213">IFERROR(INDEX(AK$1:AK$301,SMALL(IF(MATCH(AK213,AK$1:AK$301,0)=ROW(AK213),ROW(AK$1:AK$301),999),ROW(AK213))),"")</f>
        <v/>
      </c>
      <c r="AM213" s="120" t="str">
        <f t="array" ref="AM213">INDEX(AL:AL,SMALL(IF($AL$2:$AL$301&lt;&gt;"",ROW($2:$301),302),ROW(AL212)))&amp;""</f>
        <v/>
      </c>
    </row>
    <row r="214" spans="1:39" ht="14.4" customHeight="1" x14ac:dyDescent="0.25">
      <c r="A214" s="250">
        <v>212</v>
      </c>
      <c r="B214" s="119" t="s">
        <v>7227</v>
      </c>
      <c r="C214" s="119" t="s">
        <v>7228</v>
      </c>
      <c r="E214" s="440" t="s">
        <v>6290</v>
      </c>
      <c r="F214" s="180" t="s">
        <v>6282</v>
      </c>
      <c r="G214" s="180" t="s">
        <v>6313</v>
      </c>
      <c r="H214" s="180">
        <v>1</v>
      </c>
      <c r="I214" s="180">
        <v>1</v>
      </c>
      <c r="M214" s="180">
        <v>1</v>
      </c>
      <c r="N214" s="180" t="s">
        <v>6306</v>
      </c>
      <c r="O214" s="119" t="s">
        <v>7229</v>
      </c>
      <c r="P214" s="119">
        <v>3</v>
      </c>
      <c r="Q214" s="119" t="s">
        <v>242</v>
      </c>
      <c r="S214" s="180">
        <v>1</v>
      </c>
      <c r="AA214" s="120" t="s">
        <v>7230</v>
      </c>
      <c r="AB214" s="250" t="str">
        <f t="array" ref="AB214">INDEX(B:B,SMALL(IF($Q$3:$Q$517&lt;&gt;"",ROW($3:$517),518),ROW(B213)))&amp;""</f>
        <v>致盲斩</v>
      </c>
      <c r="AC214" s="394" t="str">
        <f>IFERROR(IF(AND($Q215&lt;&gt;"",IF(法术查询!$J$4="",1,INDEX($R215:$Z215,1,VLOOKUP(法术查询!$J$4,$AF$2:$AG$10,2,0)))&lt;&gt;"",IF(法术查询!$J$5="",1,$P215=VLOOKUP(法术查询!$J$5,$AH$2:$AI$11,2,0)),IF(法术查询!$J$6="",1,IF(法术查询!$J$6=$E215,1,0)),IF(法术查询!$J$7="",1,SEARCH(法术查询!$J$7,$F215)),IF(法术查询!$J$8="",1,SEARCH(法术查询!$J$8,G215)),IF(法术查询!$J$9="",1,SEARCH(法术查询!$J$9,N215)),IF(法术查询!$J$10="",1,IF(法术查询!$J$10=$AF$11,IF($M215=1,1,0),IF($M215="",1,0))),IF(法术查询!$J$11="",1,IF(法术查询!$J$11=$AF$11,IF($D215=1,1,0),IF($D215="",1,0))),IF(法术查询!$J$12="",1,SEARCH(法术查询!$J$12,$B215&amp;$C215&amp;$O215)),IF(法术查询!$J$13="",1,SEARCH(法术查询!$J$13,$B215&amp;$C215&amp;$O215)),IF(法术查询!$J$14="",1,SEARCH(法术查询!$J$14,$B215&amp;$C215&amp;$O215)),IF(法术查询!$J$16="",1,IF(法术查询!$J$16=$AF$11,IF($H215=1,1,0),IF($H215="",1,0))),IF(法术查询!$J$17="",1,IF(法术查询!$J$17=$AF$11,IF($I215=1,1,0),IF($I215="",1,0))),IF(法术查询!$J$18="",1,IF(法术查询!$J$18=$AF$11,IF($J215&lt;&gt;"",1,0),IF($J215="",1,0))),IF(法术查询!$J$19="",1,IF(法术查询!$J$19=$AF$11,IF($L215&lt;&gt;"",1,0),IF($L215="",1,0)))),$B215,""),"")</f>
        <v/>
      </c>
      <c r="AD214" s="180" t="str">
        <f t="array" ref="AD214">INDEX(AC:AC,SMALL(IF($AC$2:$AC$516&lt;&gt;"",ROW($2:$516),517),ROW(AC213)))&amp;""</f>
        <v/>
      </c>
      <c r="AE214" s="198" t="str">
        <f t="shared" si="7"/>
        <v/>
      </c>
      <c r="AJ214" s="250">
        <v>213</v>
      </c>
      <c r="AK214" s="119" t="str">
        <f>IF(法术书!AH20="","",法术书!AH20)</f>
        <v/>
      </c>
      <c r="AL214" s="119" t="str">
        <f t="array" ref="AL214">IFERROR(INDEX(AK$1:AK$301,SMALL(IF(MATCH(AK214,AK$1:AK$301,0)=ROW(AK214),ROW(AK$1:AK$301),999),ROW(AK214))),"")</f>
        <v/>
      </c>
      <c r="AM214" s="120" t="str">
        <f t="array" ref="AM214">INDEX(AL:AL,SMALL(IF($AL$2:$AL$301&lt;&gt;"",ROW($2:$301),302),ROW(AL213)))&amp;""</f>
        <v/>
      </c>
    </row>
    <row r="215" spans="1:39" ht="14.4" customHeight="1" x14ac:dyDescent="0.25">
      <c r="A215" s="250">
        <v>213</v>
      </c>
      <c r="B215" s="119" t="s">
        <v>7231</v>
      </c>
      <c r="C215" s="119" t="s">
        <v>7232</v>
      </c>
      <c r="E215" s="441" t="s">
        <v>6297</v>
      </c>
      <c r="F215" s="180" t="s">
        <v>6282</v>
      </c>
      <c r="G215" s="180" t="s">
        <v>3682</v>
      </c>
      <c r="H215" s="180">
        <v>1</v>
      </c>
      <c r="I215" s="180">
        <v>1</v>
      </c>
      <c r="M215" s="180">
        <v>1</v>
      </c>
      <c r="N215" s="180" t="s">
        <v>6306</v>
      </c>
      <c r="O215" s="119" t="s">
        <v>7233</v>
      </c>
      <c r="P215" s="119">
        <v>3</v>
      </c>
      <c r="Q215" s="119" t="s">
        <v>242</v>
      </c>
      <c r="R215" s="180">
        <v>1</v>
      </c>
      <c r="S215" s="180">
        <v>1</v>
      </c>
      <c r="X215" s="180">
        <v>1</v>
      </c>
      <c r="AA215" s="120" t="s">
        <v>7234</v>
      </c>
      <c r="AB215" s="250" t="str">
        <f t="array" ref="AB215">INDEX(B:B,SMALL(IF($Q$3:$Q$517&lt;&gt;"",ROW($3:$517),518),ROW(B214)))&amp;""</f>
        <v>闪现术</v>
      </c>
      <c r="AC215" s="394" t="str">
        <f>IFERROR(IF(AND($Q216&lt;&gt;"",IF(法术查询!$J$4="",1,INDEX($R216:$Z216,1,VLOOKUP(法术查询!$J$4,$AF$2:$AG$10,2,0)))&lt;&gt;"",IF(法术查询!$J$5="",1,$P216=VLOOKUP(法术查询!$J$5,$AH$2:$AI$11,2,0)),IF(法术查询!$J$6="",1,IF(法术查询!$J$6=$E216,1,0)),IF(法术查询!$J$7="",1,SEARCH(法术查询!$J$7,$F216)),IF(法术查询!$J$8="",1,SEARCH(法术查询!$J$8,G216)),IF(法术查询!$J$9="",1,SEARCH(法术查询!$J$9,N216)),IF(法术查询!$J$10="",1,IF(法术查询!$J$10=$AF$11,IF($M216=1,1,0),IF($M216="",1,0))),IF(法术查询!$J$11="",1,IF(法术查询!$J$11=$AF$11,IF($D216=1,1,0),IF($D216="",1,0))),IF(法术查询!$J$12="",1,SEARCH(法术查询!$J$12,$B216&amp;$C216&amp;$O216)),IF(法术查询!$J$13="",1,SEARCH(法术查询!$J$13,$B216&amp;$C216&amp;$O216)),IF(法术查询!$J$14="",1,SEARCH(法术查询!$J$14,$B216&amp;$C216&amp;$O216)),IF(法术查询!$J$16="",1,IF(法术查询!$J$16=$AF$11,IF($H216=1,1,0),IF($H216="",1,0))),IF(法术查询!$J$17="",1,IF(法术查询!$J$17=$AF$11,IF($I216=1,1,0),IF($I216="",1,0))),IF(法术查询!$J$18="",1,IF(法术查询!$J$18=$AF$11,IF($J216&lt;&gt;"",1,0),IF($J216="",1,0))),IF(法术查询!$J$19="",1,IF(法术查询!$J$19=$AF$11,IF($L216&lt;&gt;"",1,0),IF($L216="",1,0)))),$B216,""),"")</f>
        <v/>
      </c>
      <c r="AD215" s="180" t="str">
        <f t="array" ref="AD215">INDEX(AC:AC,SMALL(IF($AC$2:$AC$516&lt;&gt;"",ROW($2:$516),517),ROW(AC214)))&amp;""</f>
        <v/>
      </c>
      <c r="AE215" s="198" t="str">
        <f t="shared" si="7"/>
        <v/>
      </c>
      <c r="AJ215" s="250">
        <v>214</v>
      </c>
      <c r="AK215" s="119" t="str">
        <f>IF(法术书!AH21="","",法术书!AH21)</f>
        <v/>
      </c>
      <c r="AL215" s="119" t="str">
        <f t="array" ref="AL215">IFERROR(INDEX(AK$1:AK$301,SMALL(IF(MATCH(AK215,AK$1:AK$301,0)=ROW(AK215),ROW(AK$1:AK$301),999),ROW(AK215))),"")</f>
        <v/>
      </c>
      <c r="AM215" s="120" t="str">
        <f t="array" ref="AM215">INDEX(AL:AL,SMALL(IF($AL$2:$AL$301&lt;&gt;"",ROW($2:$301),302),ROW(AL214)))&amp;""</f>
        <v/>
      </c>
    </row>
    <row r="216" spans="1:39" ht="14.4" customHeight="1" x14ac:dyDescent="0.25">
      <c r="A216" s="250">
        <v>214</v>
      </c>
      <c r="B216" s="119" t="s">
        <v>7235</v>
      </c>
      <c r="C216" s="119" t="s">
        <v>7236</v>
      </c>
      <c r="E216" s="434" t="s">
        <v>6304</v>
      </c>
      <c r="F216" s="180" t="s">
        <v>6352</v>
      </c>
      <c r="G216" s="180" t="s">
        <v>6291</v>
      </c>
      <c r="H216" s="180">
        <v>1</v>
      </c>
      <c r="M216" s="180">
        <v>1</v>
      </c>
      <c r="N216" s="180" t="s">
        <v>6306</v>
      </c>
      <c r="O216" s="119" t="s">
        <v>7237</v>
      </c>
      <c r="P216" s="119">
        <v>3</v>
      </c>
      <c r="Q216" s="119" t="s">
        <v>242</v>
      </c>
      <c r="U216" s="180">
        <v>1</v>
      </c>
      <c r="AA216" s="198" t="s">
        <v>7238</v>
      </c>
      <c r="AB216" s="250" t="str">
        <f t="array" ref="AB216">INDEX(B:B,SMALL(IF($Q$3:$Q$517&lt;&gt;"",ROW($3:$517),518),ROW(B215)))&amp;""</f>
        <v>召雷术</v>
      </c>
      <c r="AC216" s="394" t="str">
        <f>IFERROR(IF(AND($Q217&lt;&gt;"",IF(法术查询!$J$4="",1,INDEX($R217:$Z217,1,VLOOKUP(法术查询!$J$4,$AF$2:$AG$10,2,0)))&lt;&gt;"",IF(法术查询!$J$5="",1,$P217=VLOOKUP(法术查询!$J$5,$AH$2:$AI$11,2,0)),IF(法术查询!$J$6="",1,IF(法术查询!$J$6=$E217,1,0)),IF(法术查询!$J$7="",1,SEARCH(法术查询!$J$7,$F217)),IF(法术查询!$J$8="",1,SEARCH(法术查询!$J$8,G217)),IF(法术查询!$J$9="",1,SEARCH(法术查询!$J$9,N217)),IF(法术查询!$J$10="",1,IF(法术查询!$J$10=$AF$11,IF($M217=1,1,0),IF($M217="",1,0))),IF(法术查询!$J$11="",1,IF(法术查询!$J$11=$AF$11,IF($D217=1,1,0),IF($D217="",1,0))),IF(法术查询!$J$12="",1,SEARCH(法术查询!$J$12,$B217&amp;$C217&amp;$O217)),IF(法术查询!$J$13="",1,SEARCH(法术查询!$J$13,$B217&amp;$C217&amp;$O217)),IF(法术查询!$J$14="",1,SEARCH(法术查询!$J$14,$B217&amp;$C217&amp;$O217)),IF(法术查询!$J$16="",1,IF(法术查询!$J$16=$AF$11,IF($H217=1,1,0),IF($H217="",1,0))),IF(法术查询!$J$17="",1,IF(法术查询!$J$17=$AF$11,IF($I217=1,1,0),IF($I217="",1,0))),IF(法术查询!$J$18="",1,IF(法术查询!$J$18=$AF$11,IF($J217&lt;&gt;"",1,0),IF($J217="",1,0))),IF(法术查询!$J$19="",1,IF(法术查询!$J$19=$AF$11,IF($L217&lt;&gt;"",1,0),IF($L217="",1,0)))),$B217,""),"")</f>
        <v/>
      </c>
      <c r="AD216" s="180" t="str">
        <f t="array" ref="AD216">INDEX(AC:AC,SMALL(IF($AC$2:$AC$516&lt;&gt;"",ROW($2:$516),517),ROW(AC215)))&amp;""</f>
        <v/>
      </c>
      <c r="AE216" s="198" t="str">
        <f t="shared" si="7"/>
        <v/>
      </c>
      <c r="AJ216" s="250">
        <v>215</v>
      </c>
      <c r="AK216" s="119" t="str">
        <f>IF(法术书!AH22="","",法术书!AH22)</f>
        <v/>
      </c>
      <c r="AL216" s="119" t="str">
        <f t="array" ref="AL216">IFERROR(INDEX(AK$1:AK$301,SMALL(IF(MATCH(AK216,AK$1:AK$301,0)=ROW(AK216),ROW(AK$1:AK$301),999),ROW(AK216))),"")</f>
        <v/>
      </c>
      <c r="AM216" s="120" t="str">
        <f t="array" ref="AM216">INDEX(AL:AL,SMALL(IF($AL$2:$AL$301&lt;&gt;"",ROW($2:$301),302),ROW(AL215)))&amp;""</f>
        <v/>
      </c>
    </row>
    <row r="217" spans="1:39" ht="14.4" customHeight="1" x14ac:dyDescent="0.25">
      <c r="A217" s="250">
        <v>215</v>
      </c>
      <c r="B217" s="119" t="s">
        <v>7239</v>
      </c>
      <c r="C217" s="119" t="s">
        <v>7240</v>
      </c>
      <c r="E217" s="435" t="s">
        <v>6312</v>
      </c>
      <c r="F217" s="180" t="s">
        <v>6282</v>
      </c>
      <c r="G217" s="180" t="s">
        <v>6291</v>
      </c>
      <c r="H217" s="180">
        <v>1</v>
      </c>
      <c r="I217" s="180">
        <v>1</v>
      </c>
      <c r="N217" s="180" t="s">
        <v>6349</v>
      </c>
      <c r="O217" s="119" t="s">
        <v>7241</v>
      </c>
      <c r="P217" s="119">
        <v>3</v>
      </c>
      <c r="Q217" s="119" t="s">
        <v>242</v>
      </c>
      <c r="W217" s="180">
        <v>1</v>
      </c>
      <c r="X217" s="180">
        <v>1</v>
      </c>
      <c r="Z217" s="180">
        <v>9</v>
      </c>
      <c r="AA217" s="120" t="s">
        <v>7242</v>
      </c>
      <c r="AB217" s="250" t="str">
        <f t="array" ref="AB217">INDEX(B:B,SMALL(IF($Q$3:$Q$517&lt;&gt;"",ROW($3:$517),518),ROW(B216)))&amp;""</f>
        <v>鹰眼术</v>
      </c>
      <c r="AC217" s="394" t="str">
        <f>IFERROR(IF(AND($Q218&lt;&gt;"",IF(法术查询!$J$4="",1,INDEX($R218:$Z218,1,VLOOKUP(法术查询!$J$4,$AF$2:$AG$10,2,0)))&lt;&gt;"",IF(法术查询!$J$5="",1,$P218=VLOOKUP(法术查询!$J$5,$AH$2:$AI$11,2,0)),IF(法术查询!$J$6="",1,IF(法术查询!$J$6=$E218,1,0)),IF(法术查询!$J$7="",1,SEARCH(法术查询!$J$7,$F218)),IF(法术查询!$J$8="",1,SEARCH(法术查询!$J$8,G218)),IF(法术查询!$J$9="",1,SEARCH(法术查询!$J$9,N218)),IF(法术查询!$J$10="",1,IF(法术查询!$J$10=$AF$11,IF($M218=1,1,0),IF($M218="",1,0))),IF(法术查询!$J$11="",1,IF(法术查询!$J$11=$AF$11,IF($D218=1,1,0),IF($D218="",1,0))),IF(法术查询!$J$12="",1,SEARCH(法术查询!$J$12,$B218&amp;$C218&amp;$O218)),IF(法术查询!$J$13="",1,SEARCH(法术查询!$J$13,$B218&amp;$C218&amp;$O218)),IF(法术查询!$J$14="",1,SEARCH(法术查询!$J$14,$B218&amp;$C218&amp;$O218)),IF(法术查询!$J$16="",1,IF(法术查询!$J$16=$AF$11,IF($H218=1,1,0),IF($H218="",1,0))),IF(法术查询!$J$17="",1,IF(法术查询!$J$17=$AF$11,IF($I218=1,1,0),IF($I218="",1,0))),IF(法术查询!$J$18="",1,IF(法术查询!$J$18=$AF$11,IF($J218&lt;&gt;"",1,0),IF($J218="",1,0))),IF(法术查询!$J$19="",1,IF(法术查询!$J$19=$AF$11,IF($L218&lt;&gt;"",1,0),IF($L218="",1,0)))),$B218,""),"")</f>
        <v/>
      </c>
      <c r="AD217" s="180" t="str">
        <f t="array" ref="AD217">INDEX(AC:AC,SMALL(IF($AC$2:$AC$516&lt;&gt;"",ROW($2:$516),517),ROW(AC216)))&amp;""</f>
        <v/>
      </c>
      <c r="AE217" s="198" t="str">
        <f t="shared" si="7"/>
        <v/>
      </c>
      <c r="AJ217" s="250">
        <v>216</v>
      </c>
      <c r="AK217" s="119" t="str">
        <f>IF(法术书!AH23="","",法术书!AH23)</f>
        <v/>
      </c>
      <c r="AL217" s="119" t="str">
        <f t="array" ref="AL217">IFERROR(INDEX(AK$1:AK$301,SMALL(IF(MATCH(AK217,AK$1:AK$301,0)=ROW(AK217),ROW(AK$1:AK$301),999),ROW(AK217))),"")</f>
        <v/>
      </c>
      <c r="AM217" s="120" t="str">
        <f t="array" ref="AM217">INDEX(AL:AL,SMALL(IF($AL$2:$AL$301&lt;&gt;"",ROW($2:$301),302),ROW(AL216)))&amp;""</f>
        <v/>
      </c>
    </row>
    <row r="218" spans="1:39" ht="14.4" customHeight="1" x14ac:dyDescent="0.25">
      <c r="A218" s="250">
        <v>216</v>
      </c>
      <c r="B218" s="119" t="s">
        <v>7243</v>
      </c>
      <c r="C218" s="119" t="s">
        <v>7244</v>
      </c>
      <c r="E218" s="378" t="s">
        <v>6281</v>
      </c>
      <c r="F218" s="180" t="s">
        <v>6282</v>
      </c>
      <c r="G218" s="180" t="s">
        <v>6298</v>
      </c>
      <c r="H218" s="180">
        <v>1</v>
      </c>
      <c r="I218" s="180">
        <v>1</v>
      </c>
      <c r="M218" s="180">
        <v>1</v>
      </c>
      <c r="N218" s="180" t="s">
        <v>6471</v>
      </c>
      <c r="O218" s="119" t="s">
        <v>7245</v>
      </c>
      <c r="P218" s="119">
        <v>3</v>
      </c>
      <c r="Q218" s="119" t="s">
        <v>242</v>
      </c>
      <c r="T218" s="180">
        <v>1</v>
      </c>
      <c r="AA218" s="120" t="s">
        <v>7246</v>
      </c>
      <c r="AB218" s="250" t="str">
        <f t="array" ref="AB218">INDEX(B:B,SMALL(IF($Q$3:$Q$517&lt;&gt;"",ROW($3:$517),518),ROW(B217)))&amp;""</f>
        <v>召唤动物</v>
      </c>
      <c r="AC218" s="394" t="str">
        <f>IFERROR(IF(AND($Q219&lt;&gt;"",IF(法术查询!$J$4="",1,INDEX($R219:$Z219,1,VLOOKUP(法术查询!$J$4,$AF$2:$AG$10,2,0)))&lt;&gt;"",IF(法术查询!$J$5="",1,$P219=VLOOKUP(法术查询!$J$5,$AH$2:$AI$11,2,0)),IF(法术查询!$J$6="",1,IF(法术查询!$J$6=$E219,1,0)),IF(法术查询!$J$7="",1,SEARCH(法术查询!$J$7,$F219)),IF(法术查询!$J$8="",1,SEARCH(法术查询!$J$8,G219)),IF(法术查询!$J$9="",1,SEARCH(法术查询!$J$9,N219)),IF(法术查询!$J$10="",1,IF(法术查询!$J$10=$AF$11,IF($M219=1,1,0),IF($M219="",1,0))),IF(法术查询!$J$11="",1,IF(法术查询!$J$11=$AF$11,IF($D219=1,1,0),IF($D219="",1,0))),IF(法术查询!$J$12="",1,SEARCH(法术查询!$J$12,$B219&amp;$C219&amp;$O219)),IF(法术查询!$J$13="",1,SEARCH(法术查询!$J$13,$B219&amp;$C219&amp;$O219)),IF(法术查询!$J$14="",1,SEARCH(法术查询!$J$14,$B219&amp;$C219&amp;$O219)),IF(法术查询!$J$16="",1,IF(法术查询!$J$16=$AF$11,IF($H219=1,1,0),IF($H219="",1,0))),IF(法术查询!$J$17="",1,IF(法术查询!$J$17=$AF$11,IF($I219=1,1,0),IF($I219="",1,0))),IF(法术查询!$J$18="",1,IF(法术查询!$J$18=$AF$11,IF($J219&lt;&gt;"",1,0),IF($J219="",1,0))),IF(法术查询!$J$19="",1,IF(法术查询!$J$19=$AF$11,IF($L219&lt;&gt;"",1,0),IF($L219="",1,0)))),$B219,""),"")</f>
        <v/>
      </c>
      <c r="AD218" s="180" t="str">
        <f t="array" ref="AD218">INDEX(AC:AC,SMALL(IF($AC$2:$AC$516&lt;&gt;"",ROW($2:$516),517),ROW(AC217)))&amp;""</f>
        <v/>
      </c>
      <c r="AE218" s="198" t="str">
        <f t="shared" si="7"/>
        <v/>
      </c>
      <c r="AJ218" s="250">
        <v>217</v>
      </c>
      <c r="AK218" s="119" t="str">
        <f>IF(法术书!AH24="","",法术书!AH24)</f>
        <v/>
      </c>
      <c r="AL218" s="119" t="str">
        <f t="array" ref="AL218">IFERROR(INDEX(AK$1:AK$301,SMALL(IF(MATCH(AK218,AK$1:AK$301,0)=ROW(AK218),ROW(AK$1:AK$301),999),ROW(AK218))),"")</f>
        <v/>
      </c>
      <c r="AM218" s="120" t="str">
        <f t="array" ref="AM218">INDEX(AL:AL,SMALL(IF($AL$2:$AL$301&lt;&gt;"",ROW($2:$301),302),ROW(AL217)))&amp;""</f>
        <v/>
      </c>
    </row>
    <row r="219" spans="1:39" ht="14.4" customHeight="1" x14ac:dyDescent="0.25">
      <c r="A219" s="250">
        <v>217</v>
      </c>
      <c r="B219" s="119" t="s">
        <v>7247</v>
      </c>
      <c r="C219" s="119" t="s">
        <v>7248</v>
      </c>
      <c r="E219" s="438" t="s">
        <v>6335</v>
      </c>
      <c r="F219" s="180" t="s">
        <v>6371</v>
      </c>
      <c r="G219" s="180" t="s">
        <v>6440</v>
      </c>
      <c r="H219" s="180">
        <v>1</v>
      </c>
      <c r="I219" s="180">
        <v>1</v>
      </c>
      <c r="J219" s="180">
        <v>1</v>
      </c>
      <c r="K219" s="119" t="s">
        <v>7249</v>
      </c>
      <c r="M219" s="180">
        <v>1</v>
      </c>
      <c r="N219" s="180" t="s">
        <v>6471</v>
      </c>
      <c r="O219" s="119" t="s">
        <v>7250</v>
      </c>
      <c r="P219" s="119">
        <v>3</v>
      </c>
      <c r="Q219" s="119" t="s">
        <v>242</v>
      </c>
      <c r="R219" s="180">
        <v>1</v>
      </c>
      <c r="S219" s="180">
        <v>1</v>
      </c>
      <c r="W219" s="180">
        <v>1</v>
      </c>
      <c r="X219" s="180">
        <v>1</v>
      </c>
      <c r="AA219" s="120" t="s">
        <v>7251</v>
      </c>
      <c r="AB219" s="250" t="str">
        <f t="array" ref="AB219">INDEX(B:B,SMALL(IF($Q$3:$Q$517&lt;&gt;"",ROW($3:$517),518),ROW(B218)))&amp;""</f>
        <v>召唤箭雨</v>
      </c>
      <c r="AC219" s="394" t="str">
        <f>IFERROR(IF(AND($Q220&lt;&gt;"",IF(法术查询!$J$4="",1,INDEX($R220:$Z220,1,VLOOKUP(法术查询!$J$4,$AF$2:$AG$10,2,0)))&lt;&gt;"",IF(法术查询!$J$5="",1,$P220=VLOOKUP(法术查询!$J$5,$AH$2:$AI$11,2,0)),IF(法术查询!$J$6="",1,IF(法术查询!$J$6=$E220,1,0)),IF(法术查询!$J$7="",1,SEARCH(法术查询!$J$7,$F220)),IF(法术查询!$J$8="",1,SEARCH(法术查询!$J$8,G220)),IF(法术查询!$J$9="",1,SEARCH(法术查询!$J$9,N220)),IF(法术查询!$J$10="",1,IF(法术查询!$J$10=$AF$11,IF($M220=1,1,0),IF($M220="",1,0))),IF(法术查询!$J$11="",1,IF(法术查询!$J$11=$AF$11,IF($D220=1,1,0),IF($D220="",1,0))),IF(法术查询!$J$12="",1,SEARCH(法术查询!$J$12,$B220&amp;$C220&amp;$O220)),IF(法术查询!$J$13="",1,SEARCH(法术查询!$J$13,$B220&amp;$C220&amp;$O220)),IF(法术查询!$J$14="",1,SEARCH(法术查询!$J$14,$B220&amp;$C220&amp;$O220)),IF(法术查询!$J$16="",1,IF(法术查询!$J$16=$AF$11,IF($H220=1,1,0),IF($H220="",1,0))),IF(法术查询!$J$17="",1,IF(法术查询!$J$17=$AF$11,IF($I220=1,1,0),IF($I220="",1,0))),IF(法术查询!$J$18="",1,IF(法术查询!$J$18=$AF$11,IF($J220&lt;&gt;"",1,0),IF($J220="",1,0))),IF(法术查询!$J$19="",1,IF(法术查询!$J$19=$AF$11,IF($L220&lt;&gt;"",1,0),IF($L220="",1,0)))),$B220,""),"")</f>
        <v/>
      </c>
      <c r="AD219" s="180" t="str">
        <f t="array" ref="AD219">INDEX(AC:AC,SMALL(IF($AC$2:$AC$516&lt;&gt;"",ROW($2:$516),517),ROW(AC218)))&amp;""</f>
        <v/>
      </c>
      <c r="AE219" s="198" t="str">
        <f t="shared" si="7"/>
        <v/>
      </c>
      <c r="AJ219" s="250">
        <v>218</v>
      </c>
      <c r="AK219" s="119" t="str">
        <f>IF(法术书!AH25="","",法术书!AH25)</f>
        <v/>
      </c>
      <c r="AL219" s="119" t="str">
        <f t="array" ref="AL219">IFERROR(INDEX(AK$1:AK$301,SMALL(IF(MATCH(AK219,AK$1:AK$301,0)=ROW(AK219),ROW(AK$1:AK$301),999),ROW(AK219))),"")</f>
        <v/>
      </c>
      <c r="AM219" s="120" t="str">
        <f t="array" ref="AM219">INDEX(AL:AL,SMALL(IF($AL$2:$AL$301&lt;&gt;"",ROW($2:$301),302),ROW(AL218)))&amp;""</f>
        <v/>
      </c>
    </row>
    <row r="220" spans="1:39" ht="14.4" customHeight="1" x14ac:dyDescent="0.25">
      <c r="A220" s="250">
        <v>218</v>
      </c>
      <c r="B220" s="119" t="s">
        <v>7252</v>
      </c>
      <c r="C220" s="119" t="s">
        <v>7253</v>
      </c>
      <c r="E220" s="378" t="s">
        <v>6281</v>
      </c>
      <c r="F220" s="180" t="s">
        <v>6282</v>
      </c>
      <c r="G220" s="180" t="s">
        <v>6283</v>
      </c>
      <c r="H220" s="180">
        <v>1</v>
      </c>
      <c r="I220" s="180">
        <v>1</v>
      </c>
      <c r="M220" s="180">
        <v>1</v>
      </c>
      <c r="N220" s="180" t="s">
        <v>6379</v>
      </c>
      <c r="O220" s="119" t="s">
        <v>7254</v>
      </c>
      <c r="P220" s="119">
        <v>3</v>
      </c>
      <c r="Q220" s="119" t="s">
        <v>242</v>
      </c>
      <c r="T220" s="180">
        <v>1</v>
      </c>
      <c r="V220" s="180">
        <v>1</v>
      </c>
      <c r="AA220" s="120" t="s">
        <v>7255</v>
      </c>
      <c r="AB220" s="250" t="str">
        <f t="array" ref="AB220">INDEX(B:B,SMALL(IF($Q$3:$Q$517&lt;&gt;"",ROW($3:$517),518),ROW(B219)))&amp;""</f>
        <v>法术反制</v>
      </c>
      <c r="AC220" s="394" t="str">
        <f>IFERROR(IF(AND($Q221&lt;&gt;"",IF(法术查询!$J$4="",1,INDEX($R221:$Z221,1,VLOOKUP(法术查询!$J$4,$AF$2:$AG$10,2,0)))&lt;&gt;"",IF(法术查询!$J$5="",1,$P221=VLOOKUP(法术查询!$J$5,$AH$2:$AI$11,2,0)),IF(法术查询!$J$6="",1,IF(法术查询!$J$6=$E221,1,0)),IF(法术查询!$J$7="",1,SEARCH(法术查询!$J$7,$F221)),IF(法术查询!$J$8="",1,SEARCH(法术查询!$J$8,G221)),IF(法术查询!$J$9="",1,SEARCH(法术查询!$J$9,N221)),IF(法术查询!$J$10="",1,IF(法术查询!$J$10=$AF$11,IF($M221=1,1,0),IF($M221="",1,0))),IF(法术查询!$J$11="",1,IF(法术查询!$J$11=$AF$11,IF($D221=1,1,0),IF($D221="",1,0))),IF(法术查询!$J$12="",1,SEARCH(法术查询!$J$12,$B221&amp;$C221&amp;$O221)),IF(法术查询!$J$13="",1,SEARCH(法术查询!$J$13,$B221&amp;$C221&amp;$O221)),IF(法术查询!$J$14="",1,SEARCH(法术查询!$J$14,$B221&amp;$C221&amp;$O221)),IF(法术查询!$J$16="",1,IF(法术查询!$J$16=$AF$11,IF($H221=1,1,0),IF($H221="",1,0))),IF(法术查询!$J$17="",1,IF(法术查询!$J$17=$AF$11,IF($I221=1,1,0),IF($I221="",1,0))),IF(法术查询!$J$18="",1,IF(法术查询!$J$18=$AF$11,IF($J221&lt;&gt;"",1,0),IF($J221="",1,0))),IF(法术查询!$J$19="",1,IF(法术查询!$J$19=$AF$11,IF($L221&lt;&gt;"",1,0),IF($L221="",1,0)))),$B221,""),"")</f>
        <v/>
      </c>
      <c r="AD220" s="180" t="str">
        <f t="array" ref="AD220">INDEX(AC:AC,SMALL(IF($AC$2:$AC$516&lt;&gt;"",ROW($2:$516),517),ROW(AC219)))&amp;""</f>
        <v/>
      </c>
      <c r="AE220" s="198" t="str">
        <f t="shared" si="7"/>
        <v/>
      </c>
      <c r="AJ220" s="250">
        <v>219</v>
      </c>
      <c r="AK220" s="119" t="str">
        <f>IF(法术书!AH26="","",法术书!AH26)</f>
        <v/>
      </c>
      <c r="AL220" s="119" t="str">
        <f t="array" ref="AL220">IFERROR(INDEX(AK$1:AK$301,SMALL(IF(MATCH(AK220,AK$1:AK$301,0)=ROW(AK220),ROW(AK$1:AK$301),999),ROW(AK220))),"")</f>
        <v/>
      </c>
      <c r="AM220" s="120" t="str">
        <f t="array" ref="AM220">INDEX(AL:AL,SMALL(IF($AL$2:$AL$301&lt;&gt;"",ROW($2:$301),302),ROW(AL219)))&amp;""</f>
        <v/>
      </c>
    </row>
    <row r="221" spans="1:39" ht="14.4" customHeight="1" x14ac:dyDescent="0.25">
      <c r="A221" s="250">
        <v>219</v>
      </c>
      <c r="B221" s="119" t="s">
        <v>7256</v>
      </c>
      <c r="C221" s="119" t="s">
        <v>7257</v>
      </c>
      <c r="E221" s="378" t="s">
        <v>6281</v>
      </c>
      <c r="F221" s="180" t="s">
        <v>6282</v>
      </c>
      <c r="G221" s="180" t="s">
        <v>6507</v>
      </c>
      <c r="H221" s="180">
        <v>1</v>
      </c>
      <c r="I221" s="180">
        <v>1</v>
      </c>
      <c r="J221" s="180">
        <v>1</v>
      </c>
      <c r="K221" s="119" t="s">
        <v>7258</v>
      </c>
      <c r="N221" s="180" t="s">
        <v>6284</v>
      </c>
      <c r="O221" s="119" t="s">
        <v>7259</v>
      </c>
      <c r="P221" s="119">
        <v>3</v>
      </c>
      <c r="Q221" s="119" t="s">
        <v>242</v>
      </c>
      <c r="V221" s="180">
        <v>1</v>
      </c>
      <c r="AA221" s="120" t="s">
        <v>7260</v>
      </c>
      <c r="AB221" s="250" t="str">
        <f t="array" ref="AB221">INDEX(B:B,SMALL(IF($Q$3:$Q$517&lt;&gt;"",ROW($3:$517),518),ROW(B220)))&amp;""</f>
        <v>造粮术</v>
      </c>
      <c r="AC221" s="394" t="str">
        <f>IFERROR(IF(AND($Q222&lt;&gt;"",IF(法术查询!$J$4="",1,INDEX($R222:$Z222,1,VLOOKUP(法术查询!$J$4,$AF$2:$AG$10,2,0)))&lt;&gt;"",IF(法术查询!$J$5="",1,$P222=VLOOKUP(法术查询!$J$5,$AH$2:$AI$11,2,0)),IF(法术查询!$J$6="",1,IF(法术查询!$J$6=$E222,1,0)),IF(法术查询!$J$7="",1,SEARCH(法术查询!$J$7,$F222)),IF(法术查询!$J$8="",1,SEARCH(法术查询!$J$8,G222)),IF(法术查询!$J$9="",1,SEARCH(法术查询!$J$9,N222)),IF(法术查询!$J$10="",1,IF(法术查询!$J$10=$AF$11,IF($M222=1,1,0),IF($M222="",1,0))),IF(法术查询!$J$11="",1,IF(法术查询!$J$11=$AF$11,IF($D222=1,1,0),IF($D222="",1,0))),IF(法术查询!$J$12="",1,SEARCH(法术查询!$J$12,$B222&amp;$C222&amp;$O222)),IF(法术查询!$J$13="",1,SEARCH(法术查询!$J$13,$B222&amp;$C222&amp;$O222)),IF(法术查询!$J$14="",1,SEARCH(法术查询!$J$14,$B222&amp;$C222&amp;$O222)),IF(法术查询!$J$16="",1,IF(法术查询!$J$16=$AF$11,IF($H222=1,1,0),IF($H222="",1,0))),IF(法术查询!$J$17="",1,IF(法术查询!$J$17=$AF$11,IF($I222=1,1,0),IF($I222="",1,0))),IF(法术查询!$J$18="",1,IF(法术查询!$J$18=$AF$11,IF($J222&lt;&gt;"",1,0),IF($J222="",1,0))),IF(法术查询!$J$19="",1,IF(法术查询!$J$19=$AF$11,IF($L222&lt;&gt;"",1,0),IF($L222="",1,0)))),$B222,""),"")</f>
        <v/>
      </c>
      <c r="AD221" s="180" t="str">
        <f t="array" ref="AD221">INDEX(AC:AC,SMALL(IF($AC$2:$AC$516&lt;&gt;"",ROW($2:$516),517),ROW(AC220)))&amp;""</f>
        <v/>
      </c>
      <c r="AE221" s="198" t="str">
        <f t="shared" si="7"/>
        <v/>
      </c>
      <c r="AJ221" s="250">
        <v>220</v>
      </c>
      <c r="AK221" s="119" t="str">
        <f>IF(法术书!AH27="","",法术书!AH27)</f>
        <v/>
      </c>
      <c r="AL221" s="119" t="str">
        <f t="array" ref="AL221">IFERROR(INDEX(AK$1:AK$301,SMALL(IF(MATCH(AK221,AK$1:AK$301,0)=ROW(AK221),ROW(AK$1:AK$301),999),ROW(AK221))),"")</f>
        <v/>
      </c>
      <c r="AM221" s="120" t="str">
        <f t="array" ref="AM221">INDEX(AL:AL,SMALL(IF($AL$2:$AL$301&lt;&gt;"",ROW($2:$301),302),ROW(AL220)))&amp;""</f>
        <v/>
      </c>
    </row>
    <row r="222" spans="1:39" ht="14.4" customHeight="1" x14ac:dyDescent="0.25">
      <c r="A222" s="250">
        <v>220</v>
      </c>
      <c r="B222" s="119" t="s">
        <v>7261</v>
      </c>
      <c r="C222" s="119" t="s">
        <v>7262</v>
      </c>
      <c r="E222" s="440" t="s">
        <v>6290</v>
      </c>
      <c r="F222" s="180" t="s">
        <v>6425</v>
      </c>
      <c r="G222" s="180" t="s">
        <v>6283</v>
      </c>
      <c r="I222" s="180">
        <v>1</v>
      </c>
      <c r="N222" s="180" t="s">
        <v>6284</v>
      </c>
      <c r="O222" s="119" t="s">
        <v>7263</v>
      </c>
      <c r="P222" s="119">
        <v>3</v>
      </c>
      <c r="Q222" s="119" t="s">
        <v>242</v>
      </c>
      <c r="W222" s="180">
        <v>1</v>
      </c>
      <c r="X222" s="180">
        <v>1</v>
      </c>
      <c r="Y222" s="180">
        <v>1</v>
      </c>
      <c r="AA222" s="120" t="s">
        <v>7264</v>
      </c>
      <c r="AB222" s="250" t="str">
        <f t="array" ref="AB222">INDEX(B:B,SMALL(IF($Q$3:$Q$517&lt;&gt;"",ROW($3:$517),518),ROW(B221)))&amp;""</f>
        <v>十字军披风</v>
      </c>
      <c r="AC222" s="394" t="str">
        <f>IFERROR(IF(AND($Q223&lt;&gt;"",IF(法术查询!$J$4="",1,INDEX($R223:$Z223,1,VLOOKUP(法术查询!$J$4,$AF$2:$AG$10,2,0)))&lt;&gt;"",IF(法术查询!$J$5="",1,$P223=VLOOKUP(法术查询!$J$5,$AH$2:$AI$11,2,0)),IF(法术查询!$J$6="",1,IF(法术查询!$J$6=$E223,1,0)),IF(法术查询!$J$7="",1,SEARCH(法术查询!$J$7,$F223)),IF(法术查询!$J$8="",1,SEARCH(法术查询!$J$8,G223)),IF(法术查询!$J$9="",1,SEARCH(法术查询!$J$9,N223)),IF(法术查询!$J$10="",1,IF(法术查询!$J$10=$AF$11,IF($M223=1,1,0),IF($M223="",1,0))),IF(法术查询!$J$11="",1,IF(法术查询!$J$11=$AF$11,IF($D223=1,1,0),IF($D223="",1,0))),IF(法术查询!$J$12="",1,SEARCH(法术查询!$J$12,$B223&amp;$C223&amp;$O223)),IF(法术查询!$J$13="",1,SEARCH(法术查询!$J$13,$B223&amp;$C223&amp;$O223)),IF(法术查询!$J$14="",1,SEARCH(法术查询!$J$14,$B223&amp;$C223&amp;$O223)),IF(法术查询!$J$16="",1,IF(法术查询!$J$16=$AF$11,IF($H223=1,1,0),IF($H223="",1,0))),IF(法术查询!$J$17="",1,IF(法术查询!$J$17=$AF$11,IF($I223=1,1,0),IF($I223="",1,0))),IF(法术查询!$J$18="",1,IF(法术查询!$J$18=$AF$11,IF($J223&lt;&gt;"",1,0),IF($J223="",1,0))),IF(法术查询!$J$19="",1,IF(法术查询!$J$19=$AF$11,IF($L223&lt;&gt;"",1,0),IF($L223="",1,0)))),$B223,""),"")</f>
        <v/>
      </c>
      <c r="AD222" s="180" t="str">
        <f t="array" ref="AD222">INDEX(AC:AC,SMALL(IF($AC$2:$AC$516&lt;&gt;"",ROW($2:$516),517),ROW(AC221)))&amp;""</f>
        <v/>
      </c>
      <c r="AE222" s="198" t="str">
        <f t="shared" si="7"/>
        <v/>
      </c>
      <c r="AJ222" s="250">
        <v>221</v>
      </c>
      <c r="AK222" s="119" t="str">
        <f>IF(法术书!AH28="","",法术书!AH28)</f>
        <v/>
      </c>
      <c r="AL222" s="119" t="str">
        <f t="array" ref="AL222">IFERROR(INDEX(AK$1:AK$301,SMALL(IF(MATCH(AK222,AK$1:AK$301,0)=ROW(AK222),ROW(AK$1:AK$301),999),ROW(AK222))),"")</f>
        <v/>
      </c>
      <c r="AM222" s="120" t="str">
        <f t="array" ref="AM222">INDEX(AL:AL,SMALL(IF($AL$2:$AL$301&lt;&gt;"",ROW($2:$301),302),ROW(AL221)))&amp;""</f>
        <v/>
      </c>
    </row>
    <row r="223" spans="1:39" ht="14.4" customHeight="1" x14ac:dyDescent="0.25">
      <c r="A223" s="250">
        <v>221</v>
      </c>
      <c r="B223" s="119" t="s">
        <v>7265</v>
      </c>
      <c r="C223" s="119" t="s">
        <v>7266</v>
      </c>
      <c r="E223" s="378" t="s">
        <v>6281</v>
      </c>
      <c r="F223" s="180" t="s">
        <v>6282</v>
      </c>
      <c r="G223" s="180" t="s">
        <v>6313</v>
      </c>
      <c r="H223" s="180">
        <v>1</v>
      </c>
      <c r="I223" s="180">
        <v>1</v>
      </c>
      <c r="N223" s="180" t="s">
        <v>6284</v>
      </c>
      <c r="O223" s="119" t="s">
        <v>7267</v>
      </c>
      <c r="P223" s="119">
        <v>3</v>
      </c>
      <c r="Q223" s="119" t="s">
        <v>242</v>
      </c>
      <c r="S223" s="180">
        <v>1</v>
      </c>
      <c r="U223" s="180">
        <v>1</v>
      </c>
      <c r="Z223" s="180">
        <v>9</v>
      </c>
      <c r="AA223" s="120" t="s">
        <v>7268</v>
      </c>
      <c r="AB223" s="250" t="str">
        <f t="array" ref="AB223">INDEX(B:B,SMALL(IF($Q$3:$Q$517&lt;&gt;"",ROW($3:$517),518),ROW(B222)))&amp;""</f>
        <v>昼明术</v>
      </c>
      <c r="AC223" s="394" t="str">
        <f>IFERROR(IF(AND($Q224&lt;&gt;"",IF(法术查询!$J$4="",1,INDEX($R224:$Z224,1,VLOOKUP(法术查询!$J$4,$AF$2:$AG$10,2,0)))&lt;&gt;"",IF(法术查询!$J$5="",1,$P224=VLOOKUP(法术查询!$J$5,$AH$2:$AI$11,2,0)),IF(法术查询!$J$6="",1,IF(法术查询!$J$6=$E224,1,0)),IF(法术查询!$J$7="",1,SEARCH(法术查询!$J$7,$F224)),IF(法术查询!$J$8="",1,SEARCH(法术查询!$J$8,G224)),IF(法术查询!$J$9="",1,SEARCH(法术查询!$J$9,N224)),IF(法术查询!$J$10="",1,IF(法术查询!$J$10=$AF$11,IF($M224=1,1,0),IF($M224="",1,0))),IF(法术查询!$J$11="",1,IF(法术查询!$J$11=$AF$11,IF($D224=1,1,0),IF($D224="",1,0))),IF(法术查询!$J$12="",1,SEARCH(法术查询!$J$12,$B224&amp;$C224&amp;$O224)),IF(法术查询!$J$13="",1,SEARCH(法术查询!$J$13,$B224&amp;$C224&amp;$O224)),IF(法术查询!$J$14="",1,SEARCH(法术查询!$J$14,$B224&amp;$C224&amp;$O224)),IF(法术查询!$J$16="",1,IF(法术查询!$J$16=$AF$11,IF($H224=1,1,0),IF($H224="",1,0))),IF(法术查询!$J$17="",1,IF(法术查询!$J$17=$AF$11,IF($I224=1,1,0),IF($I224="",1,0))),IF(法术查询!$J$18="",1,IF(法术查询!$J$18=$AF$11,IF($J224&lt;&gt;"",1,0),IF($J224="",1,0))),IF(法术查询!$J$19="",1,IF(法术查询!$J$19=$AF$11,IF($L224&lt;&gt;"",1,0),IF($L224="",1,0)))),$B224,""),"")</f>
        <v/>
      </c>
      <c r="AD223" s="180" t="str">
        <f t="array" ref="AD223">INDEX(AC:AC,SMALL(IF($AC$2:$AC$516&lt;&gt;"",ROW($2:$516),517),ROW(AC222)))&amp;""</f>
        <v/>
      </c>
      <c r="AE223" s="198" t="str">
        <f t="shared" si="7"/>
        <v/>
      </c>
      <c r="AJ223" s="250">
        <v>222</v>
      </c>
      <c r="AK223" s="119" t="str">
        <f>IF(法术书!AH29="","",法术书!AH29)</f>
        <v/>
      </c>
      <c r="AL223" s="119" t="str">
        <f t="array" ref="AL223">IFERROR(INDEX(AK$1:AK$301,SMALL(IF(MATCH(AK223,AK$1:AK$301,0)=ROW(AK223),ROW(AK$1:AK$301),999),ROW(AK223))),"")</f>
        <v/>
      </c>
      <c r="AM223" s="120" t="str">
        <f t="array" ref="AM223">INDEX(AL:AL,SMALL(IF($AL$2:$AL$301&lt;&gt;"",ROW($2:$301),302),ROW(AL222)))&amp;""</f>
        <v/>
      </c>
    </row>
    <row r="224" spans="1:39" ht="14.4" customHeight="1" x14ac:dyDescent="0.25">
      <c r="A224" s="250">
        <v>222</v>
      </c>
      <c r="B224" s="119" t="s">
        <v>7269</v>
      </c>
      <c r="C224" s="119" t="s">
        <v>7270</v>
      </c>
      <c r="E224" s="434" t="s">
        <v>6304</v>
      </c>
      <c r="F224" s="180" t="s">
        <v>6282</v>
      </c>
      <c r="G224" s="180" t="s">
        <v>6291</v>
      </c>
      <c r="H224" s="180">
        <v>1</v>
      </c>
      <c r="M224" s="180">
        <v>1</v>
      </c>
      <c r="N224" s="180" t="s">
        <v>6306</v>
      </c>
      <c r="O224" s="119" t="s">
        <v>7271</v>
      </c>
      <c r="P224" s="119">
        <v>3</v>
      </c>
      <c r="Q224" s="119" t="s">
        <v>242</v>
      </c>
      <c r="U224" s="180">
        <v>1</v>
      </c>
      <c r="AA224" s="120" t="s">
        <v>7272</v>
      </c>
      <c r="AB224" s="250" t="str">
        <f t="array" ref="AB224">INDEX(B:B,SMALL(IF($Q$3:$Q$517&lt;&gt;"",ROW($3:$517),518),ROW(B223)))&amp;""</f>
        <v>解除魔法</v>
      </c>
      <c r="AC224" s="394" t="str">
        <f>IFERROR(IF(AND($Q225&lt;&gt;"",IF(法术查询!$J$4="",1,INDEX($R225:$Z225,1,VLOOKUP(法术查询!$J$4,$AF$2:$AG$10,2,0)))&lt;&gt;"",IF(法术查询!$J$5="",1,$P225=VLOOKUP(法术查询!$J$5,$AH$2:$AI$11,2,0)),IF(法术查询!$J$6="",1,IF(法术查询!$J$6=$E225,1,0)),IF(法术查询!$J$7="",1,SEARCH(法术查询!$J$7,$F225)),IF(法术查询!$J$8="",1,SEARCH(法术查询!$J$8,G225)),IF(法术查询!$J$9="",1,SEARCH(法术查询!$J$9,N225)),IF(法术查询!$J$10="",1,IF(法术查询!$J$10=$AF$11,IF($M225=1,1,0),IF($M225="",1,0))),IF(法术查询!$J$11="",1,IF(法术查询!$J$11=$AF$11,IF($D225=1,1,0),IF($D225="",1,0))),IF(法术查询!$J$12="",1,SEARCH(法术查询!$J$12,$B225&amp;$C225&amp;$O225)),IF(法术查询!$J$13="",1,SEARCH(法术查询!$J$13,$B225&amp;$C225&amp;$O225)),IF(法术查询!$J$14="",1,SEARCH(法术查询!$J$14,$B225&amp;$C225&amp;$O225)),IF(法术查询!$J$16="",1,IF(法术查询!$J$16=$AF$11,IF($H225=1,1,0),IF($H225="",1,0))),IF(法术查询!$J$17="",1,IF(法术查询!$J$17=$AF$11,IF($I225=1,1,0),IF($I225="",1,0))),IF(法术查询!$J$18="",1,IF(法术查询!$J$18=$AF$11,IF($J225&lt;&gt;"",1,0),IF($J225="",1,0))),IF(法术查询!$J$19="",1,IF(法术查询!$J$19=$AF$11,IF($L225&lt;&gt;"",1,0),IF($L225="",1,0)))),$B225,""),"")</f>
        <v/>
      </c>
      <c r="AD224" s="180" t="str">
        <f t="array" ref="AD224">INDEX(AC:AC,SMALL(IF($AC$2:$AC$516&lt;&gt;"",ROW($2:$516),517),ROW(AC223)))&amp;""</f>
        <v/>
      </c>
      <c r="AE224" s="198" t="str">
        <f t="shared" si="7"/>
        <v/>
      </c>
      <c r="AJ224" s="250">
        <v>223</v>
      </c>
      <c r="AK224" s="119" t="str">
        <f>IF(法术书!AH30="","",法术书!AH30)</f>
        <v/>
      </c>
      <c r="AL224" s="119" t="str">
        <f t="array" ref="AL224">IFERROR(INDEX(AK$1:AK$301,SMALL(IF(MATCH(AK224,AK$1:AK$301,0)=ROW(AK224),ROW(AK$1:AK$301),999),ROW(AK224))),"")</f>
        <v/>
      </c>
      <c r="AM224" s="120" t="str">
        <f t="array" ref="AM224">INDEX(AL:AL,SMALL(IF($AL$2:$AL$301&lt;&gt;"",ROW($2:$301),302),ROW(AL223)))&amp;""</f>
        <v/>
      </c>
    </row>
    <row r="225" spans="1:39" ht="14.4" customHeight="1" x14ac:dyDescent="0.25">
      <c r="A225" s="250">
        <v>223</v>
      </c>
      <c r="B225" s="119" t="s">
        <v>7273</v>
      </c>
      <c r="C225" s="119" t="s">
        <v>7274</v>
      </c>
      <c r="E225" s="434" t="s">
        <v>6304</v>
      </c>
      <c r="F225" s="180" t="s">
        <v>6282</v>
      </c>
      <c r="G225" s="180" t="s">
        <v>6283</v>
      </c>
      <c r="H225" s="180">
        <v>1</v>
      </c>
      <c r="I225" s="180">
        <v>1</v>
      </c>
      <c r="N225" s="180" t="s">
        <v>6344</v>
      </c>
      <c r="O225" s="119" t="s">
        <v>7275</v>
      </c>
      <c r="P225" s="119">
        <v>3</v>
      </c>
      <c r="Q225" s="119" t="s">
        <v>242</v>
      </c>
      <c r="S225" s="180">
        <v>1</v>
      </c>
      <c r="T225" s="180">
        <v>1</v>
      </c>
      <c r="U225" s="180">
        <v>1</v>
      </c>
      <c r="V225" s="180">
        <v>1</v>
      </c>
      <c r="W225" s="180">
        <v>1</v>
      </c>
      <c r="AA225" s="120" t="s">
        <v>7276</v>
      </c>
      <c r="AB225" s="250" t="str">
        <f t="array" ref="AB225">INDEX(B:B,SMALL(IF($Q$3:$Q$517&lt;&gt;"",ROW($3:$517),518),ROW(B224)))&amp;""</f>
        <v>元素武器</v>
      </c>
      <c r="AC225" s="394" t="str">
        <f>IFERROR(IF(AND($Q226&lt;&gt;"",IF(法术查询!$J$4="",1,INDEX($R226:$Z226,1,VLOOKUP(法术查询!$J$4,$AF$2:$AG$10,2,0)))&lt;&gt;"",IF(法术查询!$J$5="",1,$P226=VLOOKUP(法术查询!$J$5,$AH$2:$AI$11,2,0)),IF(法术查询!$J$6="",1,IF(法术查询!$J$6=$E226,1,0)),IF(法术查询!$J$7="",1,SEARCH(法术查询!$J$7,$F226)),IF(法术查询!$J$8="",1,SEARCH(法术查询!$J$8,G226)),IF(法术查询!$J$9="",1,SEARCH(法术查询!$J$9,N226)),IF(法术查询!$J$10="",1,IF(法术查询!$J$10=$AF$11,IF($M226=1,1,0),IF($M226="",1,0))),IF(法术查询!$J$11="",1,IF(法术查询!$J$11=$AF$11,IF($D226=1,1,0),IF($D226="",1,0))),IF(法术查询!$J$12="",1,SEARCH(法术查询!$J$12,$B226&amp;$C226&amp;$O226)),IF(法术查询!$J$13="",1,SEARCH(法术查询!$J$13,$B226&amp;$C226&amp;$O226)),IF(法术查询!$J$14="",1,SEARCH(法术查询!$J$14,$B226&amp;$C226&amp;$O226)),IF(法术查询!$J$16="",1,IF(法术查询!$J$16=$AF$11,IF($H226=1,1,0),IF($H226="",1,0))),IF(法术查询!$J$17="",1,IF(法术查询!$J$17=$AF$11,IF($I226=1,1,0),IF($I226="",1,0))),IF(法术查询!$J$18="",1,IF(法术查询!$J$18=$AF$11,IF($J226&lt;&gt;"",1,0),IF($J226="",1,0))),IF(法术查询!$J$19="",1,IF(法术查询!$J$19=$AF$11,IF($L226&lt;&gt;"",1,0),IF($L226="",1,0)))),$B226,""),"")</f>
        <v/>
      </c>
      <c r="AD225" s="180" t="str">
        <f t="array" ref="AD225">INDEX(AC:AC,SMALL(IF($AC$2:$AC$516&lt;&gt;"",ROW($2:$516),517),ROW(AC224)))&amp;""</f>
        <v/>
      </c>
      <c r="AE225" s="198" t="str">
        <f t="shared" si="7"/>
        <v/>
      </c>
      <c r="AJ225" s="250">
        <v>224</v>
      </c>
      <c r="AK225" s="119" t="str">
        <f>IF(法术书!AH31="","",法术书!AH31)</f>
        <v/>
      </c>
      <c r="AL225" s="119" t="str">
        <f t="array" ref="AL225">IFERROR(INDEX(AK$1:AK$301,SMALL(IF(MATCH(AK225,AK$1:AK$301,0)=ROW(AK225),ROW(AK$1:AK$301),999),ROW(AK225))),"")</f>
        <v/>
      </c>
      <c r="AM225" s="120" t="str">
        <f t="array" ref="AM225">INDEX(AL:AL,SMALL(IF($AL$2:$AL$301&lt;&gt;"",ROW($2:$301),302),ROW(AL224)))&amp;""</f>
        <v/>
      </c>
    </row>
    <row r="226" spans="1:39" ht="14.4" customHeight="1" x14ac:dyDescent="0.25">
      <c r="A226" s="250">
        <v>224</v>
      </c>
      <c r="B226" s="119" t="s">
        <v>7277</v>
      </c>
      <c r="C226" s="119" t="s">
        <v>7278</v>
      </c>
      <c r="E226" s="440" t="s">
        <v>6290</v>
      </c>
      <c r="F226" s="180" t="s">
        <v>6282</v>
      </c>
      <c r="G226" s="180" t="s">
        <v>6298</v>
      </c>
      <c r="H226" s="180">
        <v>1</v>
      </c>
      <c r="I226" s="180">
        <v>1</v>
      </c>
      <c r="N226" s="180" t="s">
        <v>6284</v>
      </c>
      <c r="O226" s="119" t="s">
        <v>7279</v>
      </c>
      <c r="P226" s="119">
        <v>3</v>
      </c>
      <c r="Q226" s="119" t="s">
        <v>242</v>
      </c>
      <c r="R226" s="180">
        <v>1</v>
      </c>
      <c r="S226" s="180">
        <v>1</v>
      </c>
      <c r="T226" s="180">
        <v>1</v>
      </c>
      <c r="U226" s="180">
        <v>1</v>
      </c>
      <c r="W226" s="180">
        <v>1</v>
      </c>
      <c r="X226" s="180">
        <v>1</v>
      </c>
      <c r="Y226" s="180">
        <v>1</v>
      </c>
      <c r="Z226" s="180">
        <v>9</v>
      </c>
      <c r="AA226" s="120" t="s">
        <v>7280</v>
      </c>
      <c r="AB226" s="250" t="str">
        <f t="array" ref="AB226">INDEX(B:B,SMALL(IF($Q$3:$Q$517&lt;&gt;"",ROW($3:$517),518),ROW(B225)))&amp;""</f>
        <v>恐惧术</v>
      </c>
      <c r="AC226" s="394" t="str">
        <f>IFERROR(IF(AND($Q227&lt;&gt;"",IF(法术查询!$J$4="",1,INDEX($R227:$Z227,1,VLOOKUP(法术查询!$J$4,$AF$2:$AG$10,2,0)))&lt;&gt;"",IF(法术查询!$J$5="",1,$P227=VLOOKUP(法术查询!$J$5,$AH$2:$AI$11,2,0)),IF(法术查询!$J$6="",1,IF(法术查询!$J$6=$E227,1,0)),IF(法术查询!$J$7="",1,SEARCH(法术查询!$J$7,$F227)),IF(法术查询!$J$8="",1,SEARCH(法术查询!$J$8,G227)),IF(法术查询!$J$9="",1,SEARCH(法术查询!$J$9,N227)),IF(法术查询!$J$10="",1,IF(法术查询!$J$10=$AF$11,IF($M227=1,1,0),IF($M227="",1,0))),IF(法术查询!$J$11="",1,IF(法术查询!$J$11=$AF$11,IF($D227=1,1,0),IF($D227="",1,0))),IF(法术查询!$J$12="",1,SEARCH(法术查询!$J$12,$B227&amp;$C227&amp;$O227)),IF(法术查询!$J$13="",1,SEARCH(法术查询!$J$13,$B227&amp;$C227&amp;$O227)),IF(法术查询!$J$14="",1,SEARCH(法术查询!$J$14,$B227&amp;$C227&amp;$O227)),IF(法术查询!$J$16="",1,IF(法术查询!$J$16=$AF$11,IF($H227=1,1,0),IF($H227="",1,0))),IF(法术查询!$J$17="",1,IF(法术查询!$J$17=$AF$11,IF($I227=1,1,0),IF($I227="",1,0))),IF(法术查询!$J$18="",1,IF(法术查询!$J$18=$AF$11,IF($J227&lt;&gt;"",1,0),IF($J227="",1,0))),IF(法术查询!$J$19="",1,IF(法术查询!$J$19=$AF$11,IF($L227&lt;&gt;"",1,0),IF($L227="",1,0)))),$B227,""),"")</f>
        <v/>
      </c>
      <c r="AD226" s="180" t="str">
        <f t="array" ref="AD226">INDEX(AC:AC,SMALL(IF($AC$2:$AC$516&lt;&gt;"",ROW($2:$516),517),ROW(AC225)))&amp;""</f>
        <v/>
      </c>
      <c r="AE226" s="198" t="str">
        <f t="shared" si="7"/>
        <v/>
      </c>
      <c r="AJ226" s="250">
        <v>225</v>
      </c>
      <c r="AK226" s="119" t="str">
        <f>IF(法术书!AH32="","",法术书!AH32)</f>
        <v/>
      </c>
      <c r="AL226" s="119" t="str">
        <f t="array" ref="AL226">IFERROR(INDEX(AK$1:AK$301,SMALL(IF(MATCH(AK226,AK$1:AK$301,0)=ROW(AK226),ROW(AK$1:AK$301),999),ROW(AK226))),"")</f>
        <v/>
      </c>
      <c r="AM226" s="120" t="str">
        <f t="array" ref="AM226">INDEX(AL:AL,SMALL(IF($AL$2:$AL$301&lt;&gt;"",ROW($2:$301),302),ROW(AL225)))&amp;""</f>
        <v/>
      </c>
    </row>
    <row r="227" spans="1:39" ht="14.4" customHeight="1" x14ac:dyDescent="0.25">
      <c r="A227" s="250">
        <v>225</v>
      </c>
      <c r="B227" s="119" t="s">
        <v>7281</v>
      </c>
      <c r="C227" s="119" t="s">
        <v>7282</v>
      </c>
      <c r="E227" s="435" t="s">
        <v>6312</v>
      </c>
      <c r="F227" s="180" t="s">
        <v>6282</v>
      </c>
      <c r="G227" s="180" t="s">
        <v>3682</v>
      </c>
      <c r="H227" s="180">
        <v>1</v>
      </c>
      <c r="I227" s="180">
        <v>1</v>
      </c>
      <c r="M227" s="180">
        <v>1</v>
      </c>
      <c r="N227" s="180" t="s">
        <v>6379</v>
      </c>
      <c r="O227" s="119" t="s">
        <v>7283</v>
      </c>
      <c r="P227" s="119">
        <v>3</v>
      </c>
      <c r="Q227" s="119" t="s">
        <v>242</v>
      </c>
      <c r="T227" s="180" t="str">
        <f>IF(综合数据!$B$14=TRUE,"13","")</f>
        <v>13</v>
      </c>
      <c r="U227" s="180">
        <v>1</v>
      </c>
      <c r="V227" s="180" t="str">
        <f>IF(综合数据!$B$14=TRUE,"13","")</f>
        <v>13</v>
      </c>
      <c r="Z227" s="180">
        <v>9</v>
      </c>
      <c r="AA227" s="120" t="s">
        <v>7284</v>
      </c>
      <c r="AB227" s="250" t="str">
        <f t="array" ref="AB227">INDEX(B:B,SMALL(IF($Q$3:$Q$517&lt;&gt;"",ROW($3:$517),518),ROW(B226)))&amp;""</f>
        <v>假死术</v>
      </c>
      <c r="AC227" s="394" t="str">
        <f>IFERROR(IF(AND($Q228&lt;&gt;"",IF(法术查询!$J$4="",1,INDEX($R228:$Z228,1,VLOOKUP(法术查询!$J$4,$AF$2:$AG$10,2,0)))&lt;&gt;"",IF(法术查询!$J$5="",1,$P228=VLOOKUP(法术查询!$J$5,$AH$2:$AI$11,2,0)),IF(法术查询!$J$6="",1,IF(法术查询!$J$6=$E228,1,0)),IF(法术查询!$J$7="",1,SEARCH(法术查询!$J$7,$F228)),IF(法术查询!$J$8="",1,SEARCH(法术查询!$J$8,G228)),IF(法术查询!$J$9="",1,SEARCH(法术查询!$J$9,N228)),IF(法术查询!$J$10="",1,IF(法术查询!$J$10=$AF$11,IF($M228=1,1,0),IF($M228="",1,0))),IF(法术查询!$J$11="",1,IF(法术查询!$J$11=$AF$11,IF($D228=1,1,0),IF($D228="",1,0))),IF(法术查询!$J$12="",1,SEARCH(法术查询!$J$12,$B228&amp;$C228&amp;$O228)),IF(法术查询!$J$13="",1,SEARCH(法术查询!$J$13,$B228&amp;$C228&amp;$O228)),IF(法术查询!$J$14="",1,SEARCH(法术查询!$J$14,$B228&amp;$C228&amp;$O228)),IF(法术查询!$J$16="",1,IF(法术查询!$J$16=$AF$11,IF($H228=1,1,0),IF($H228="",1,0))),IF(法术查询!$J$17="",1,IF(法术查询!$J$17=$AF$11,IF($I228=1,1,0),IF($I228="",1,0))),IF(法术查询!$J$18="",1,IF(法术查询!$J$18=$AF$11,IF($J228&lt;&gt;"",1,0),IF($J228="",1,0))),IF(法术查询!$J$19="",1,IF(法术查询!$J$19=$AF$11,IF($L228&lt;&gt;"",1,0),IF($L228="",1,0)))),$B228,""),"")</f>
        <v/>
      </c>
      <c r="AD227" s="180" t="str">
        <f t="array" ref="AD227">INDEX(AC:AC,SMALL(IF($AC$2:$AC$516&lt;&gt;"",ROW($2:$516),517),ROW(AC226)))&amp;""</f>
        <v/>
      </c>
      <c r="AE227" s="198" t="str">
        <f t="shared" si="7"/>
        <v/>
      </c>
      <c r="AJ227" s="250">
        <v>226</v>
      </c>
      <c r="AK227" s="119" t="str">
        <f>IF(法术书!AH33="","",法术书!AH33)</f>
        <v/>
      </c>
      <c r="AL227" s="119" t="str">
        <f t="array" ref="AL227">IFERROR(INDEX(AK$1:AK$301,SMALL(IF(MATCH(AK227,AK$1:AK$301,0)=ROW(AK227),ROW(AK$1:AK$301),999),ROW(AK227))),"")</f>
        <v/>
      </c>
      <c r="AM227" s="120" t="str">
        <f t="array" ref="AM227">INDEX(AL:AL,SMALL(IF($AL$2:$AL$301&lt;&gt;"",ROW($2:$301),302),ROW(AL226)))&amp;""</f>
        <v/>
      </c>
    </row>
    <row r="228" spans="1:39" ht="14.4" customHeight="1" x14ac:dyDescent="0.25">
      <c r="A228" s="250">
        <v>226</v>
      </c>
      <c r="B228" s="119" t="s">
        <v>7285</v>
      </c>
      <c r="C228" s="119" t="s">
        <v>7286</v>
      </c>
      <c r="E228" s="285" t="s">
        <v>6366</v>
      </c>
      <c r="F228" s="180" t="s">
        <v>6282</v>
      </c>
      <c r="G228" s="180" t="s">
        <v>6515</v>
      </c>
      <c r="H228" s="180">
        <v>1</v>
      </c>
      <c r="I228" s="180">
        <v>1</v>
      </c>
      <c r="J228" s="180">
        <v>1</v>
      </c>
      <c r="K228" s="119" t="s">
        <v>7287</v>
      </c>
      <c r="M228" s="180">
        <v>1</v>
      </c>
      <c r="N228" s="180" t="s">
        <v>6306</v>
      </c>
      <c r="O228" s="119" t="s">
        <v>7288</v>
      </c>
      <c r="P228" s="119">
        <v>3</v>
      </c>
      <c r="Q228" s="119" t="s">
        <v>242</v>
      </c>
      <c r="R228" s="180">
        <v>1</v>
      </c>
      <c r="W228" s="180">
        <v>1</v>
      </c>
      <c r="X228" s="180">
        <v>1</v>
      </c>
      <c r="Y228" s="180">
        <v>1</v>
      </c>
      <c r="AA228" s="120" t="s">
        <v>7289</v>
      </c>
      <c r="AB228" s="250" t="str">
        <f t="array" ref="AB228">INDEX(B:B,SMALL(IF($Q$3:$Q$517&lt;&gt;"",ROW($3:$517),518),ROW(B227)))&amp;""</f>
        <v>火球术</v>
      </c>
      <c r="AC228" s="394" t="str">
        <f>IFERROR(IF(AND($Q229&lt;&gt;"",IF(法术查询!$J$4="",1,INDEX($R229:$Z229,1,VLOOKUP(法术查询!$J$4,$AF$2:$AG$10,2,0)))&lt;&gt;"",IF(法术查询!$J$5="",1,$P229=VLOOKUP(法术查询!$J$5,$AH$2:$AI$11,2,0)),IF(法术查询!$J$6="",1,IF(法术查询!$J$6=$E229,1,0)),IF(法术查询!$J$7="",1,SEARCH(法术查询!$J$7,$F229)),IF(法术查询!$J$8="",1,SEARCH(法术查询!$J$8,G229)),IF(法术查询!$J$9="",1,SEARCH(法术查询!$J$9,N229)),IF(法术查询!$J$10="",1,IF(法术查询!$J$10=$AF$11,IF($M229=1,1,0),IF($M229="",1,0))),IF(法术查询!$J$11="",1,IF(法术查询!$J$11=$AF$11,IF($D229=1,1,0),IF($D229="",1,0))),IF(法术查询!$J$12="",1,SEARCH(法术查询!$J$12,$B229&amp;$C229&amp;$O229)),IF(法术查询!$J$13="",1,SEARCH(法术查询!$J$13,$B229&amp;$C229&amp;$O229)),IF(法术查询!$J$14="",1,SEARCH(法术查询!$J$14,$B229&amp;$C229&amp;$O229)),IF(法术查询!$J$16="",1,IF(法术查询!$J$16=$AF$11,IF($H229=1,1,0),IF($H229="",1,0))),IF(法术查询!$J$17="",1,IF(法术查询!$J$17=$AF$11,IF($I229=1,1,0),IF($I229="",1,0))),IF(法术查询!$J$18="",1,IF(法术查询!$J$18=$AF$11,IF($J229&lt;&gt;"",1,0),IF($J229="",1,0))),IF(法术查询!$J$19="",1,IF(法术查询!$J$19=$AF$11,IF($L229&lt;&gt;"",1,0),IF($L229="",1,0)))),$B229,""),"")</f>
        <v/>
      </c>
      <c r="AD228" s="180" t="str">
        <f t="array" ref="AD228">INDEX(AC:AC,SMALL(IF($AC$2:$AC$516&lt;&gt;"",ROW($2:$516),517),ROW(AC227)))&amp;""</f>
        <v/>
      </c>
      <c r="AE228" s="198" t="str">
        <f t="shared" si="7"/>
        <v/>
      </c>
      <c r="AJ228" s="250">
        <v>227</v>
      </c>
      <c r="AK228" s="119" t="str">
        <f>IF(法术书!AH34="","",法术书!AH34)</f>
        <v/>
      </c>
      <c r="AL228" s="119" t="str">
        <f t="array" ref="AL228">IFERROR(INDEX(AK$1:AK$301,SMALL(IF(MATCH(AK228,AK$1:AK$301,0)=ROW(AK228),ROW(AK$1:AK$301),999),ROW(AK228))),"")</f>
        <v/>
      </c>
      <c r="AM228" s="120" t="str">
        <f t="array" ref="AM228">INDEX(AL:AL,SMALL(IF($AL$2:$AL$301&lt;&gt;"",ROW($2:$301),302),ROW(AL227)))&amp;""</f>
        <v/>
      </c>
    </row>
    <row r="229" spans="1:39" ht="14.4" customHeight="1" x14ac:dyDescent="0.25">
      <c r="A229" s="250">
        <v>227</v>
      </c>
      <c r="B229" s="119" t="s">
        <v>7290</v>
      </c>
      <c r="C229" s="119" t="s">
        <v>7291</v>
      </c>
      <c r="D229" s="180">
        <v>1</v>
      </c>
      <c r="E229" s="441" t="s">
        <v>6297</v>
      </c>
      <c r="F229" s="180" t="s">
        <v>6282</v>
      </c>
      <c r="G229" s="180" t="s">
        <v>3682</v>
      </c>
      <c r="H229" s="180">
        <v>1</v>
      </c>
      <c r="I229" s="180">
        <v>1</v>
      </c>
      <c r="J229" s="180">
        <v>1</v>
      </c>
      <c r="K229" s="119" t="s">
        <v>7292</v>
      </c>
      <c r="N229" s="180" t="s">
        <v>6344</v>
      </c>
      <c r="O229" s="119" t="s">
        <v>7293</v>
      </c>
      <c r="P229" s="119">
        <v>3</v>
      </c>
      <c r="Q229" s="119" t="s">
        <v>242</v>
      </c>
      <c r="R229" s="180">
        <v>1</v>
      </c>
      <c r="S229" s="180">
        <v>1</v>
      </c>
      <c r="T229" s="180">
        <v>1</v>
      </c>
      <c r="X229" s="180">
        <v>1</v>
      </c>
      <c r="AA229" s="198" t="s">
        <v>3458</v>
      </c>
      <c r="AB229" s="250" t="str">
        <f t="array" ref="AB229">INDEX(B:B,SMALL(IF($Q$3:$Q$517&lt;&gt;"",ROW($3:$517),518),ROW(B228)))&amp;""</f>
        <v>飞行术</v>
      </c>
      <c r="AC229" s="394" t="str">
        <f>IFERROR(IF(AND($Q230&lt;&gt;"",IF(法术查询!$J$4="",1,INDEX($R230:$Z230,1,VLOOKUP(法术查询!$J$4,$AF$2:$AG$10,2,0)))&lt;&gt;"",IF(法术查询!$J$5="",1,$P230=VLOOKUP(法术查询!$J$5,$AH$2:$AI$11,2,0)),IF(法术查询!$J$6="",1,IF(法术查询!$J$6=$E230,1,0)),IF(法术查询!$J$7="",1,SEARCH(法术查询!$J$7,$F230)),IF(法术查询!$J$8="",1,SEARCH(法术查询!$J$8,G230)),IF(法术查询!$J$9="",1,SEARCH(法术查询!$J$9,N230)),IF(法术查询!$J$10="",1,IF(法术查询!$J$10=$AF$11,IF($M230=1,1,0),IF($M230="",1,0))),IF(法术查询!$J$11="",1,IF(法术查询!$J$11=$AF$11,IF($D230=1,1,0),IF($D230="",1,0))),IF(法术查询!$J$12="",1,SEARCH(法术查询!$J$12,$B230&amp;$C230&amp;$O230)),IF(法术查询!$J$13="",1,SEARCH(法术查询!$J$13,$B230&amp;$C230&amp;$O230)),IF(法术查询!$J$14="",1,SEARCH(法术查询!$J$14,$B230&amp;$C230&amp;$O230)),IF(法术查询!$J$16="",1,IF(法术查询!$J$16=$AF$11,IF($H230=1,1,0),IF($H230="",1,0))),IF(法术查询!$J$17="",1,IF(法术查询!$J$17=$AF$11,IF($I230=1,1,0),IF($I230="",1,0))),IF(法术查询!$J$18="",1,IF(法术查询!$J$18=$AF$11,IF($J230&lt;&gt;"",1,0),IF($J230="",1,0))),IF(法术查询!$J$19="",1,IF(法术查询!$J$19=$AF$11,IF($L230&lt;&gt;"",1,0),IF($L230="",1,0)))),$B230,""),"")</f>
        <v/>
      </c>
      <c r="AD229" s="180" t="str">
        <f t="array" ref="AD229">INDEX(AC:AC,SMALL(IF($AC$2:$AC$516&lt;&gt;"",ROW($2:$516),517),ROW(AC228)))&amp;""</f>
        <v/>
      </c>
      <c r="AE229" s="198" t="str">
        <f t="shared" si="7"/>
        <v/>
      </c>
      <c r="AJ229" s="250">
        <v>228</v>
      </c>
      <c r="AK229" s="119" t="str">
        <f>IF(法术书!AH35="","",法术书!AH35)</f>
        <v/>
      </c>
      <c r="AL229" s="119" t="str">
        <f t="array" ref="AL229">IFERROR(INDEX(AK$1:AK$301,SMALL(IF(MATCH(AK229,AK$1:AK$301,0)=ROW(AK229),ROW(AK$1:AK$301),999),ROW(AK229))),"")</f>
        <v/>
      </c>
      <c r="AM229" s="120" t="str">
        <f t="array" ref="AM229">INDEX(AL:AL,SMALL(IF($AL$2:$AL$301&lt;&gt;"",ROW($2:$301),302),ROW(AL228)))&amp;""</f>
        <v/>
      </c>
    </row>
    <row r="230" spans="1:39" ht="14.4" customHeight="1" x14ac:dyDescent="0.25">
      <c r="A230" s="250">
        <v>228</v>
      </c>
      <c r="B230" s="119" t="s">
        <v>7294</v>
      </c>
      <c r="C230" s="119" t="s">
        <v>7295</v>
      </c>
      <c r="E230" s="434" t="s">
        <v>6304</v>
      </c>
      <c r="F230" s="180" t="s">
        <v>6282</v>
      </c>
      <c r="G230" s="180" t="s">
        <v>6419</v>
      </c>
      <c r="H230" s="180">
        <v>1</v>
      </c>
      <c r="I230" s="180">
        <v>1</v>
      </c>
      <c r="J230" s="180">
        <v>1</v>
      </c>
      <c r="K230" s="119" t="s">
        <v>7296</v>
      </c>
      <c r="N230" s="180" t="s">
        <v>6284</v>
      </c>
      <c r="O230" s="119" t="s">
        <v>7297</v>
      </c>
      <c r="P230" s="119">
        <v>3</v>
      </c>
      <c r="Q230" s="119" t="s">
        <v>242</v>
      </c>
      <c r="W230" s="180">
        <v>1</v>
      </c>
      <c r="X230" s="180">
        <v>1</v>
      </c>
      <c r="AA230" s="120" t="s">
        <v>7298</v>
      </c>
      <c r="AB230" s="250" t="str">
        <f t="array" ref="AB230">INDEX(B:B,SMALL(IF($Q$3:$Q$517&lt;&gt;"",ROW($3:$517),518),ROW(B229)))&amp;""</f>
        <v>气化形体</v>
      </c>
      <c r="AC230" s="394" t="str">
        <f>IFERROR(IF(AND($Q231&lt;&gt;"",IF(法术查询!$J$4="",1,INDEX($R231:$Z231,1,VLOOKUP(法术查询!$J$4,$AF$2:$AG$10,2,0)))&lt;&gt;"",IF(法术查询!$J$5="",1,$P231=VLOOKUP(法术查询!$J$5,$AH$2:$AI$11,2,0)),IF(法术查询!$J$6="",1,IF(法术查询!$J$6=$E231,1,0)),IF(法术查询!$J$7="",1,SEARCH(法术查询!$J$7,$F231)),IF(法术查询!$J$8="",1,SEARCH(法术查询!$J$8,G231)),IF(法术查询!$J$9="",1,SEARCH(法术查询!$J$9,N231)),IF(法术查询!$J$10="",1,IF(法术查询!$J$10=$AF$11,IF($M231=1,1,0),IF($M231="",1,0))),IF(法术查询!$J$11="",1,IF(法术查询!$J$11=$AF$11,IF($D231=1,1,0),IF($D231="",1,0))),IF(法术查询!$J$12="",1,SEARCH(法术查询!$J$12,$B231&amp;$C231&amp;$O231)),IF(法术查询!$J$13="",1,SEARCH(法术查询!$J$13,$B231&amp;$C231&amp;$O231)),IF(法术查询!$J$14="",1,SEARCH(法术查询!$J$14,$B231&amp;$C231&amp;$O231)),IF(法术查询!$J$16="",1,IF(法术查询!$J$16=$AF$11,IF($H231=1,1,0),IF($H231="",1,0))),IF(法术查询!$J$17="",1,IF(法术查询!$J$17=$AF$11,IF($I231=1,1,0),IF($I231="",1,0))),IF(法术查询!$J$18="",1,IF(法术查询!$J$18=$AF$11,IF($J231&lt;&gt;"",1,0),IF($J231="",1,0))),IF(法术查询!$J$19="",1,IF(法术查询!$J$19=$AF$11,IF($L231&lt;&gt;"",1,0),IF($L231="",1,0)))),$B231,""),"")</f>
        <v/>
      </c>
      <c r="AD230" s="180" t="str">
        <f t="array" ref="AD230">INDEX(AC:AC,SMALL(IF($AC$2:$AC$516&lt;&gt;"",ROW($2:$516),517),ROW(AC229)))&amp;""</f>
        <v/>
      </c>
      <c r="AE230" s="198" t="str">
        <f t="shared" si="7"/>
        <v/>
      </c>
      <c r="AJ230" s="250">
        <v>229</v>
      </c>
      <c r="AK230" s="119" t="str">
        <f>IF(法术书!AH36="","",法术书!AH36)</f>
        <v/>
      </c>
      <c r="AL230" s="119" t="str">
        <f t="array" ref="AL230">IFERROR(INDEX(AK$1:AK$301,SMALL(IF(MATCH(AK230,AK$1:AK$301,0)=ROW(AK230),ROW(AK$1:AK$301),999),ROW(AK230))),"")</f>
        <v/>
      </c>
      <c r="AM230" s="120" t="str">
        <f t="array" ref="AM230">INDEX(AL:AL,SMALL(IF($AL$2:$AL$301&lt;&gt;"",ROW($2:$301),302),ROW(AL229)))&amp;""</f>
        <v/>
      </c>
    </row>
    <row r="231" spans="1:39" ht="14.4" customHeight="1" x14ac:dyDescent="0.25">
      <c r="A231" s="250">
        <v>229</v>
      </c>
      <c r="B231" s="119" t="s">
        <v>7299</v>
      </c>
      <c r="C231" s="119" t="s">
        <v>7300</v>
      </c>
      <c r="E231" s="435" t="s">
        <v>6312</v>
      </c>
      <c r="F231" s="180" t="s">
        <v>6282</v>
      </c>
      <c r="G231" s="180" t="s">
        <v>3682</v>
      </c>
      <c r="H231" s="180">
        <v>1</v>
      </c>
      <c r="I231" s="180">
        <v>1</v>
      </c>
      <c r="J231" s="180">
        <v>1</v>
      </c>
      <c r="K231" s="119" t="s">
        <v>7301</v>
      </c>
      <c r="M231" s="180">
        <v>1</v>
      </c>
      <c r="N231" s="180" t="s">
        <v>6471</v>
      </c>
      <c r="O231" s="119" t="s">
        <v>7302</v>
      </c>
      <c r="P231" s="119">
        <v>3</v>
      </c>
      <c r="Q231" s="119" t="s">
        <v>242</v>
      </c>
      <c r="W231" s="180">
        <v>1</v>
      </c>
      <c r="X231" s="180">
        <v>1</v>
      </c>
      <c r="Y231" s="180">
        <v>1</v>
      </c>
      <c r="Z231" s="180">
        <v>9</v>
      </c>
      <c r="AA231" s="120" t="s">
        <v>7303</v>
      </c>
      <c r="AB231" s="250" t="str">
        <f t="array" ref="AB231">INDEX(B:B,SMALL(IF($Q$3:$Q$517&lt;&gt;"",ROW($3:$517),518),ROW(B230)))&amp;""</f>
        <v>守卫刻文</v>
      </c>
      <c r="AC231" s="394" t="str">
        <f>IFERROR(IF(AND($Q232&lt;&gt;"",IF(法术查询!$J$4="",1,INDEX($R232:$Z232,1,VLOOKUP(法术查询!$J$4,$AF$2:$AG$10,2,0)))&lt;&gt;"",IF(法术查询!$J$5="",1,$P232=VLOOKUP(法术查询!$J$5,$AH$2:$AI$11,2,0)),IF(法术查询!$J$6="",1,IF(法术查询!$J$6=$E232,1,0)),IF(法术查询!$J$7="",1,SEARCH(法术查询!$J$7,$F232)),IF(法术查询!$J$8="",1,SEARCH(法术查询!$J$8,G232)),IF(法术查询!$J$9="",1,SEARCH(法术查询!$J$9,N232)),IF(法术查询!$J$10="",1,IF(法术查询!$J$10=$AF$11,IF($M232=1,1,0),IF($M232="",1,0))),IF(法术查询!$J$11="",1,IF(法术查询!$J$11=$AF$11,IF($D232=1,1,0),IF($D232="",1,0))),IF(法术查询!$J$12="",1,SEARCH(法术查询!$J$12,$B232&amp;$C232&amp;$O232)),IF(法术查询!$J$13="",1,SEARCH(法术查询!$J$13,$B232&amp;$C232&amp;$O232)),IF(法术查询!$J$14="",1,SEARCH(法术查询!$J$14,$B232&amp;$C232&amp;$O232)),IF(法术查询!$J$16="",1,IF(法术查询!$J$16=$AF$11,IF($H232=1,1,0),IF($H232="",1,0))),IF(法术查询!$J$17="",1,IF(法术查询!$J$17=$AF$11,IF($I232=1,1,0),IF($I232="",1,0))),IF(法术查询!$J$18="",1,IF(法术查询!$J$18=$AF$11,IF($J232&lt;&gt;"",1,0),IF($J232="",1,0))),IF(法术查询!$J$19="",1,IF(法术查询!$J$19=$AF$11,IF($L232&lt;&gt;"",1,0),IF($L232="",1,0)))),$B232,""),"")</f>
        <v/>
      </c>
      <c r="AD231" s="180" t="str">
        <f t="array" ref="AD231">INDEX(AC:AC,SMALL(IF($AC$2:$AC$516&lt;&gt;"",ROW($2:$516),517),ROW(AC230)))&amp;""</f>
        <v/>
      </c>
      <c r="AE231" s="198" t="str">
        <f t="shared" si="7"/>
        <v/>
      </c>
      <c r="AJ231" s="250">
        <v>230</v>
      </c>
      <c r="AK231" s="119" t="str">
        <f>IF(法术书!AH37="","",法术书!AH37)</f>
        <v/>
      </c>
      <c r="AL231" s="119" t="str">
        <f t="array" ref="AL231">IFERROR(INDEX(AK$1:AK$301,SMALL(IF(MATCH(AK231,AK$1:AK$301,0)=ROW(AK231),ROW(AK$1:AK$301),999),ROW(AK231))),"")</f>
        <v/>
      </c>
      <c r="AM231" s="120" t="str">
        <f t="array" ref="AM231">INDEX(AL:AL,SMALL(IF($AL$2:$AL$301&lt;&gt;"",ROW($2:$301),302),ROW(AL230)))&amp;""</f>
        <v/>
      </c>
    </row>
    <row r="232" spans="1:39" ht="14.4" customHeight="1" x14ac:dyDescent="0.25">
      <c r="A232" s="250">
        <v>230</v>
      </c>
      <c r="B232" s="119" t="s">
        <v>7304</v>
      </c>
      <c r="C232" s="119" t="s">
        <v>7305</v>
      </c>
      <c r="E232" s="435" t="s">
        <v>6312</v>
      </c>
      <c r="F232" s="180" t="s">
        <v>6282</v>
      </c>
      <c r="G232" s="180" t="s">
        <v>3682</v>
      </c>
      <c r="H232" s="180">
        <v>1</v>
      </c>
      <c r="I232" s="180">
        <v>1</v>
      </c>
      <c r="J232" s="180">
        <v>1</v>
      </c>
      <c r="K232" s="119" t="s">
        <v>7306</v>
      </c>
      <c r="M232" s="180">
        <v>1</v>
      </c>
      <c r="N232" s="180" t="s">
        <v>6379</v>
      </c>
      <c r="O232" s="119" t="s">
        <v>7307</v>
      </c>
      <c r="P232" s="119">
        <v>3</v>
      </c>
      <c r="Q232" s="119" t="s">
        <v>242</v>
      </c>
      <c r="W232" s="180">
        <v>1</v>
      </c>
      <c r="X232" s="180">
        <v>1</v>
      </c>
      <c r="Y232" s="180">
        <v>1</v>
      </c>
      <c r="AA232" s="120" t="s">
        <v>7308</v>
      </c>
      <c r="AB232" s="250" t="str">
        <f t="array" ref="AB232">INDEX(B:B,SMALL(IF($Q$3:$Q$517&lt;&gt;"",ROW($3:$517),518),ROW(B231)))&amp;""</f>
        <v>加速术</v>
      </c>
      <c r="AC232" s="394" t="str">
        <f>IFERROR(IF(AND($Q233&lt;&gt;"",IF(法术查询!$J$4="",1,INDEX($R233:$Z233,1,VLOOKUP(法术查询!$J$4,$AF$2:$AG$10,2,0)))&lt;&gt;"",IF(法术查询!$J$5="",1,$P233=VLOOKUP(法术查询!$J$5,$AH$2:$AI$11,2,0)),IF(法术查询!$J$6="",1,IF(法术查询!$J$6=$E233,1,0)),IF(法术查询!$J$7="",1,SEARCH(法术查询!$J$7,$F233)),IF(法术查询!$J$8="",1,SEARCH(法术查询!$J$8,G233)),IF(法术查询!$J$9="",1,SEARCH(法术查询!$J$9,N233)),IF(法术查询!$J$10="",1,IF(法术查询!$J$10=$AF$11,IF($M233=1,1,0),IF($M233="",1,0))),IF(法术查询!$J$11="",1,IF(法术查询!$J$11=$AF$11,IF($D233=1,1,0),IF($D233="",1,0))),IF(法术查询!$J$12="",1,SEARCH(法术查询!$J$12,$B233&amp;$C233&amp;$O233)),IF(法术查询!$J$13="",1,SEARCH(法术查询!$J$13,$B233&amp;$C233&amp;$O233)),IF(法术查询!$J$14="",1,SEARCH(法术查询!$J$14,$B233&amp;$C233&amp;$O233)),IF(法术查询!$J$16="",1,IF(法术查询!$J$16=$AF$11,IF($H233=1,1,0),IF($H233="",1,0))),IF(法术查询!$J$17="",1,IF(法术查询!$J$17=$AF$11,IF($I233=1,1,0),IF($I233="",1,0))),IF(法术查询!$J$18="",1,IF(法术查询!$J$18=$AF$11,IF($J233&lt;&gt;"",1,0),IF($J233="",1,0))),IF(法术查询!$J$19="",1,IF(法术查询!$J$19=$AF$11,IF($L233&lt;&gt;"",1,0),IF($L233="",1,0)))),$B233,""),"")</f>
        <v/>
      </c>
      <c r="AD232" s="180" t="str">
        <f t="array" ref="AD232">INDEX(AC:AC,SMALL(IF($AC$2:$AC$516&lt;&gt;"",ROW($2:$516),517),ROW(AC231)))&amp;""</f>
        <v/>
      </c>
      <c r="AE232" s="198" t="str">
        <f t="shared" si="7"/>
        <v/>
      </c>
      <c r="AJ232" s="250">
        <v>231</v>
      </c>
      <c r="AK232" s="119" t="str">
        <f>IF(法术书!AH38="","",法术书!AH38)</f>
        <v/>
      </c>
      <c r="AL232" s="119" t="str">
        <f t="array" ref="AL232">IFERROR(INDEX(AK$1:AK$301,SMALL(IF(MATCH(AK232,AK$1:AK$301,0)=ROW(AK232),ROW(AK$1:AK$301),999),ROW(AK232))),"")</f>
        <v/>
      </c>
      <c r="AM232" s="120" t="str">
        <f t="array" ref="AM232">INDEX(AL:AL,SMALL(IF($AL$2:$AL$301&lt;&gt;"",ROW($2:$301),302),ROW(AL231)))&amp;""</f>
        <v/>
      </c>
    </row>
    <row r="233" spans="1:39" ht="14.4" customHeight="1" x14ac:dyDescent="0.25">
      <c r="A233" s="250">
        <v>231</v>
      </c>
      <c r="B233" s="119" t="s">
        <v>7309</v>
      </c>
      <c r="C233" s="119" t="s">
        <v>7310</v>
      </c>
      <c r="E233" s="440" t="s">
        <v>6290</v>
      </c>
      <c r="F233" s="180" t="s">
        <v>6344</v>
      </c>
      <c r="G233" s="180" t="s">
        <v>3682</v>
      </c>
      <c r="H233" s="180">
        <v>1</v>
      </c>
      <c r="I233" s="180">
        <v>1</v>
      </c>
      <c r="J233" s="180">
        <v>1</v>
      </c>
      <c r="L233" s="119" t="s">
        <v>7311</v>
      </c>
      <c r="N233" s="180" t="s">
        <v>6441</v>
      </c>
      <c r="O233" s="119" t="s">
        <v>7312</v>
      </c>
      <c r="P233" s="119">
        <v>3</v>
      </c>
      <c r="Q233" s="119" t="s">
        <v>242</v>
      </c>
      <c r="R233" s="180">
        <v>1</v>
      </c>
      <c r="S233" s="180">
        <v>1</v>
      </c>
      <c r="X233" s="180">
        <v>1</v>
      </c>
      <c r="Z233" s="180">
        <v>9</v>
      </c>
      <c r="AA233" s="120" t="s">
        <v>7313</v>
      </c>
      <c r="AB233" s="250" t="str">
        <f t="array" ref="AB233">INDEX(B:B,SMALL(IF($Q$3:$Q$517&lt;&gt;"",ROW($3:$517),518),ROW(B232)))&amp;""</f>
        <v>哈达之欲</v>
      </c>
      <c r="AC233" s="394" t="str">
        <f>IFERROR(IF(AND($Q234&lt;&gt;"",IF(法术查询!$J$4="",1,INDEX($R234:$Z234,1,VLOOKUP(法术查询!$J$4,$AF$2:$AG$10,2,0)))&lt;&gt;"",IF(法术查询!$J$5="",1,$P234=VLOOKUP(法术查询!$J$5,$AH$2:$AI$11,2,0)),IF(法术查询!$J$6="",1,IF(法术查询!$J$6=$E234,1,0)),IF(法术查询!$J$7="",1,SEARCH(法术查询!$J$7,$F234)),IF(法术查询!$J$8="",1,SEARCH(法术查询!$J$8,G234)),IF(法术查询!$J$9="",1,SEARCH(法术查询!$J$9,N234)),IF(法术查询!$J$10="",1,IF(法术查询!$J$10=$AF$11,IF($M234=1,1,0),IF($M234="",1,0))),IF(法术查询!$J$11="",1,IF(法术查询!$J$11=$AF$11,IF($D234=1,1,0),IF($D234="",1,0))),IF(法术查询!$J$12="",1,SEARCH(法术查询!$J$12,$B234&amp;$C234&amp;$O234)),IF(法术查询!$J$13="",1,SEARCH(法术查询!$J$13,$B234&amp;$C234&amp;$O234)),IF(法术查询!$J$14="",1,SEARCH(法术查询!$J$14,$B234&amp;$C234&amp;$O234)),IF(法术查询!$J$16="",1,IF(法术查询!$J$16=$AF$11,IF($H234=1,1,0),IF($H234="",1,0))),IF(法术查询!$J$17="",1,IF(法术查询!$J$17=$AF$11,IF($I234=1,1,0),IF($I234="",1,0))),IF(法术查询!$J$18="",1,IF(法术查询!$J$18=$AF$11,IF($J234&lt;&gt;"",1,0),IF($J234="",1,0))),IF(法术查询!$J$19="",1,IF(法术查询!$J$19=$AF$11,IF($L234&lt;&gt;"",1,0),IF($L234="",1,0)))),$B234,""),"")</f>
        <v/>
      </c>
      <c r="AD233" s="180" t="str">
        <f t="array" ref="AD233">INDEX(AC:AC,SMALL(IF($AC$2:$AC$516&lt;&gt;"",ROW($2:$516),517),ROW(AC232)))&amp;""</f>
        <v/>
      </c>
      <c r="AE233" s="198" t="str">
        <f t="shared" si="7"/>
        <v/>
      </c>
      <c r="AJ233" s="250">
        <v>232</v>
      </c>
      <c r="AK233" s="119" t="str">
        <f>IF(法术书!AH39="","",法术书!AH39)</f>
        <v/>
      </c>
      <c r="AL233" s="119" t="str">
        <f t="array" ref="AL233">IFERROR(INDEX(AK$1:AK$301,SMALL(IF(MATCH(AK233,AK$1:AK$301,0)=ROW(AK233),ROW(AK$1:AK$301),999),ROW(AK233))),"")</f>
        <v/>
      </c>
      <c r="AM233" s="120" t="str">
        <f t="array" ref="AM233">INDEX(AL:AL,SMALL(IF($AL$2:$AL$301&lt;&gt;"",ROW($2:$301),302),ROW(AL232)))&amp;""</f>
        <v/>
      </c>
    </row>
    <row r="234" spans="1:39" ht="14.4" customHeight="1" x14ac:dyDescent="0.25">
      <c r="A234" s="250">
        <v>232</v>
      </c>
      <c r="B234" s="119" t="s">
        <v>7314</v>
      </c>
      <c r="C234" s="119" t="s">
        <v>7315</v>
      </c>
      <c r="E234" s="435" t="s">
        <v>6312</v>
      </c>
      <c r="F234" s="180" t="s">
        <v>6282</v>
      </c>
      <c r="G234" s="180" t="s">
        <v>6313</v>
      </c>
      <c r="H234" s="180">
        <v>1</v>
      </c>
      <c r="I234" s="180">
        <v>1</v>
      </c>
      <c r="J234" s="180">
        <v>1</v>
      </c>
      <c r="K234" s="119" t="s">
        <v>7316</v>
      </c>
      <c r="M234" s="180">
        <v>1</v>
      </c>
      <c r="N234" s="180" t="s">
        <v>6306</v>
      </c>
      <c r="O234" s="119" t="s">
        <v>7317</v>
      </c>
      <c r="P234" s="119">
        <v>3</v>
      </c>
      <c r="Q234" s="119" t="s">
        <v>242</v>
      </c>
      <c r="W234" s="180">
        <v>1</v>
      </c>
      <c r="X234" s="180">
        <v>1</v>
      </c>
      <c r="Z234" s="180">
        <v>9</v>
      </c>
      <c r="AA234" s="120" t="s">
        <v>7318</v>
      </c>
      <c r="AB234" s="250" t="str">
        <f t="array" ref="AB234">INDEX(B:B,SMALL(IF($Q$3:$Q$517&lt;&gt;"",ROW($3:$517),518),ROW(B233)))&amp;""</f>
        <v>催眠图纹</v>
      </c>
      <c r="AC234" s="394" t="str">
        <f>IFERROR(IF(AND($Q235&lt;&gt;"",IF(法术查询!$J$4="",1,INDEX($R235:$Z235,1,VLOOKUP(法术查询!$J$4,$AF$2:$AG$10,2,0)))&lt;&gt;"",IF(法术查询!$J$5="",1,$P235=VLOOKUP(法术查询!$J$5,$AH$2:$AI$11,2,0)),IF(法术查询!$J$6="",1,IF(法术查询!$J$6=$E235,1,0)),IF(法术查询!$J$7="",1,SEARCH(法术查询!$J$7,$F235)),IF(法术查询!$J$8="",1,SEARCH(法术查询!$J$8,G235)),IF(法术查询!$J$9="",1,SEARCH(法术查询!$J$9,N235)),IF(法术查询!$J$10="",1,IF(法术查询!$J$10=$AF$11,IF($M235=1,1,0),IF($M235="",1,0))),IF(法术查询!$J$11="",1,IF(法术查询!$J$11=$AF$11,IF($D235=1,1,0),IF($D235="",1,0))),IF(法术查询!$J$12="",1,SEARCH(法术查询!$J$12,$B235&amp;$C235&amp;$O235)),IF(法术查询!$J$13="",1,SEARCH(法术查询!$J$13,$B235&amp;$C235&amp;$O235)),IF(法术查询!$J$14="",1,SEARCH(法术查询!$J$14,$B235&amp;$C235&amp;$O235)),IF(法术查询!$J$16="",1,IF(法术查询!$J$16=$AF$11,IF($H235=1,1,0),IF($H235="",1,0))),IF(法术查询!$J$17="",1,IF(法术查询!$J$17=$AF$11,IF($I235=1,1,0),IF($I235="",1,0))),IF(法术查询!$J$18="",1,IF(法术查询!$J$18=$AF$11,IF($J235&lt;&gt;"",1,0),IF($J235="",1,0))),IF(法术查询!$J$19="",1,IF(法术查询!$J$19=$AF$11,IF($L235&lt;&gt;"",1,0),IF($L235="",1,0)))),$B235,""),"")</f>
        <v/>
      </c>
      <c r="AD234" s="180" t="str">
        <f t="array" ref="AD234">INDEX(AC:AC,SMALL(IF($AC$2:$AC$516&lt;&gt;"",ROW($2:$516),517),ROW(AC233)))&amp;""</f>
        <v/>
      </c>
      <c r="AE234" s="198" t="str">
        <f t="shared" si="7"/>
        <v/>
      </c>
      <c r="AJ234" s="250">
        <v>233</v>
      </c>
      <c r="AK234" s="119" t="str">
        <f>IF(法术书!AH40="","",法术书!AH40)</f>
        <v/>
      </c>
      <c r="AL234" s="119" t="str">
        <f t="array" ref="AL234">IFERROR(INDEX(AK$1:AK$301,SMALL(IF(MATCH(AK234,AK$1:AK$301,0)=ROW(AK234),ROW(AK$1:AK$301),999),ROW(AK234))),"")</f>
        <v/>
      </c>
      <c r="AM234" s="120" t="str">
        <f t="array" ref="AM234">INDEX(AL:AL,SMALL(IF($AL$2:$AL$301&lt;&gt;"",ROW($2:$301),302),ROW(AL233)))&amp;""</f>
        <v/>
      </c>
    </row>
    <row r="235" spans="1:39" ht="14.4" customHeight="1" x14ac:dyDescent="0.25">
      <c r="A235" s="250">
        <v>233</v>
      </c>
      <c r="B235" s="119" t="s">
        <v>7319</v>
      </c>
      <c r="C235" s="119" t="s">
        <v>7320</v>
      </c>
      <c r="E235" s="378" t="s">
        <v>6281</v>
      </c>
      <c r="F235" s="180" t="s">
        <v>6282</v>
      </c>
      <c r="G235" s="180" t="s">
        <v>6419</v>
      </c>
      <c r="H235" s="180">
        <v>1</v>
      </c>
      <c r="I235" s="180">
        <v>1</v>
      </c>
      <c r="J235" s="180">
        <v>1</v>
      </c>
      <c r="K235" s="119" t="s">
        <v>7321</v>
      </c>
      <c r="M235" s="180">
        <v>1</v>
      </c>
      <c r="N235" s="180" t="s">
        <v>6306</v>
      </c>
      <c r="O235" s="119" t="s">
        <v>7322</v>
      </c>
      <c r="P235" s="119">
        <v>3</v>
      </c>
      <c r="Q235" s="119" t="s">
        <v>242</v>
      </c>
      <c r="Y235" s="180">
        <v>1</v>
      </c>
      <c r="AA235" s="198" t="s">
        <v>3409</v>
      </c>
      <c r="AB235" s="250" t="str">
        <f t="array" ref="AB235">INDEX(B:B,SMALL(IF($Q$3:$Q$517&lt;&gt;"",ROW($3:$517),518),ROW(B234)))&amp;""</f>
        <v>李欧蒙小屋</v>
      </c>
      <c r="AC235" s="394" t="str">
        <f>IFERROR(IF(AND($Q236&lt;&gt;"",IF(法术查询!$J$4="",1,INDEX($R236:$Z236,1,VLOOKUP(法术查询!$J$4,$AF$2:$AG$10,2,0)))&lt;&gt;"",IF(法术查询!$J$5="",1,$P236=VLOOKUP(法术查询!$J$5,$AH$2:$AI$11,2,0)),IF(法术查询!$J$6="",1,IF(法术查询!$J$6=$E236,1,0)),IF(法术查询!$J$7="",1,SEARCH(法术查询!$J$7,$F236)),IF(法术查询!$J$8="",1,SEARCH(法术查询!$J$8,G236)),IF(法术查询!$J$9="",1,SEARCH(法术查询!$J$9,N236)),IF(法术查询!$J$10="",1,IF(法术查询!$J$10=$AF$11,IF($M236=1,1,0),IF($M236="",1,0))),IF(法术查询!$J$11="",1,IF(法术查询!$J$11=$AF$11,IF($D236=1,1,0),IF($D236="",1,0))),IF(法术查询!$J$12="",1,SEARCH(法术查询!$J$12,$B236&amp;$C236&amp;$O236)),IF(法术查询!$J$13="",1,SEARCH(法术查询!$J$13,$B236&amp;$C236&amp;$O236)),IF(法术查询!$J$14="",1,SEARCH(法术查询!$J$14,$B236&amp;$C236&amp;$O236)),IF(法术查询!$J$16="",1,IF(法术查询!$J$16=$AF$11,IF($H236=1,1,0),IF($H236="",1,0))),IF(法术查询!$J$17="",1,IF(法术查询!$J$17=$AF$11,IF($I236=1,1,0),IF($I236="",1,0))),IF(法术查询!$J$18="",1,IF(法术查询!$J$18=$AF$11,IF($J236&lt;&gt;"",1,0),IF($J236="",1,0))),IF(法术查询!$J$19="",1,IF(法术查询!$J$19=$AF$11,IF($L236&lt;&gt;"",1,0),IF($L236="",1,0)))),$B236,""),"")</f>
        <v/>
      </c>
      <c r="AD235" s="180" t="str">
        <f t="array" ref="AD235">INDEX(AC:AC,SMALL(IF($AC$2:$AC$516&lt;&gt;"",ROW($2:$516),517),ROW(AC234)))&amp;""</f>
        <v/>
      </c>
      <c r="AE235" s="198" t="str">
        <f t="shared" si="7"/>
        <v/>
      </c>
      <c r="AJ235" s="250">
        <v>234</v>
      </c>
      <c r="AK235" s="119" t="str">
        <f>IF(法术书!AH41="","",法术书!AH41)</f>
        <v/>
      </c>
      <c r="AL235" s="119" t="str">
        <f t="array" ref="AL235">IFERROR(INDEX(AK$1:AK$301,SMALL(IF(MATCH(AK235,AK$1:AK$301,0)=ROW(AK235),ROW(AK$1:AK$301),999),ROW(AK235))),"")</f>
        <v/>
      </c>
      <c r="AM235" s="120" t="str">
        <f t="array" ref="AM235">INDEX(AL:AL,SMALL(IF($AL$2:$AL$301&lt;&gt;"",ROW($2:$301),302),ROW(AL234)))&amp;""</f>
        <v/>
      </c>
    </row>
    <row r="236" spans="1:39" ht="14.4" customHeight="1" x14ac:dyDescent="0.25">
      <c r="A236" s="250">
        <v>234</v>
      </c>
      <c r="B236" s="119" t="s">
        <v>7323</v>
      </c>
      <c r="C236" s="119" t="s">
        <v>7324</v>
      </c>
      <c r="E236" s="285" t="s">
        <v>6366</v>
      </c>
      <c r="F236" s="180" t="s">
        <v>6282</v>
      </c>
      <c r="G236" s="180" t="s">
        <v>6298</v>
      </c>
      <c r="I236" s="180">
        <v>1</v>
      </c>
      <c r="J236" s="180">
        <v>1</v>
      </c>
      <c r="K236" s="119" t="s">
        <v>7325</v>
      </c>
      <c r="M236" s="180">
        <v>1</v>
      </c>
      <c r="N236" s="180" t="s">
        <v>6306</v>
      </c>
      <c r="O236" s="119" t="s">
        <v>7326</v>
      </c>
      <c r="P236" s="119">
        <v>3</v>
      </c>
      <c r="Q236" s="119" t="s">
        <v>242</v>
      </c>
      <c r="R236" s="180">
        <v>1</v>
      </c>
      <c r="W236" s="180">
        <v>1</v>
      </c>
      <c r="X236" s="180">
        <v>1</v>
      </c>
      <c r="Y236" s="180">
        <v>1</v>
      </c>
      <c r="AA236" s="120" t="s">
        <v>7327</v>
      </c>
      <c r="AB236" s="250" t="str">
        <f t="array" ref="AB236">INDEX(B:B,SMALL(IF($Q$3:$Q$517&lt;&gt;"",ROW($3:$517),518),ROW(B235)))&amp;""</f>
        <v>闪电箭</v>
      </c>
      <c r="AC236" s="394" t="str">
        <f>IFERROR(IF(AND($Q237&lt;&gt;"",IF(法术查询!$J$4="",1,INDEX($R237:$Z237,1,VLOOKUP(法术查询!$J$4,$AF$2:$AG$10,2,0)))&lt;&gt;"",IF(法术查询!$J$5="",1,$P237=VLOOKUP(法术查询!$J$5,$AH$2:$AI$11,2,0)),IF(法术查询!$J$6="",1,IF(法术查询!$J$6=$E237,1,0)),IF(法术查询!$J$7="",1,SEARCH(法术查询!$J$7,$F237)),IF(法术查询!$J$8="",1,SEARCH(法术查询!$J$8,G237)),IF(法术查询!$J$9="",1,SEARCH(法术查询!$J$9,N237)),IF(法术查询!$J$10="",1,IF(法术查询!$J$10=$AF$11,IF($M237=1,1,0),IF($M237="",1,0))),IF(法术查询!$J$11="",1,IF(法术查询!$J$11=$AF$11,IF($D237=1,1,0),IF($D237="",1,0))),IF(法术查询!$J$12="",1,SEARCH(法术查询!$J$12,$B237&amp;$C237&amp;$O237)),IF(法术查询!$J$13="",1,SEARCH(法术查询!$J$13,$B237&amp;$C237&amp;$O237)),IF(法术查询!$J$14="",1,SEARCH(法术查询!$J$14,$B237&amp;$C237&amp;$O237)),IF(法术查询!$J$16="",1,IF(法术查询!$J$16=$AF$11,IF($H237=1,1,0),IF($H237="",1,0))),IF(法术查询!$J$17="",1,IF(法术查询!$J$17=$AF$11,IF($I237=1,1,0),IF($I237="",1,0))),IF(法术查询!$J$18="",1,IF(法术查询!$J$18=$AF$11,IF($J237&lt;&gt;"",1,0),IF($J237="",1,0))),IF(法术查询!$J$19="",1,IF(法术查询!$J$19=$AF$11,IF($L237&lt;&gt;"",1,0),IF($L237="",1,0)))),$B237,""),"")</f>
        <v/>
      </c>
      <c r="AD236" s="180" t="str">
        <f t="array" ref="AD236">INDEX(AC:AC,SMALL(IF($AC$2:$AC$516&lt;&gt;"",ROW($2:$516),517),ROW(AC235)))&amp;""</f>
        <v/>
      </c>
      <c r="AE236" s="198" t="str">
        <f t="shared" si="7"/>
        <v/>
      </c>
      <c r="AJ236" s="250">
        <v>235</v>
      </c>
      <c r="AK236" s="119" t="str">
        <f>IF(法术书!AH42="","",法术书!AH42)</f>
        <v/>
      </c>
      <c r="AL236" s="119" t="str">
        <f t="array" ref="AL236">IFERROR(INDEX(AK$1:AK$301,SMALL(IF(MATCH(AK236,AK$1:AK$301,0)=ROW(AK236),ROW(AK$1:AK$301),999),ROW(AK236))),"")</f>
        <v/>
      </c>
      <c r="AM236" s="120" t="str">
        <f t="array" ref="AM236">INDEX(AL:AL,SMALL(IF($AL$2:$AL$301&lt;&gt;"",ROW($2:$301),302),ROW(AL235)))&amp;""</f>
        <v/>
      </c>
    </row>
    <row r="237" spans="1:39" ht="14.4" customHeight="1" x14ac:dyDescent="0.25">
      <c r="A237" s="250">
        <v>235</v>
      </c>
      <c r="B237" s="119" t="s">
        <v>7328</v>
      </c>
      <c r="C237" s="119" t="s">
        <v>7329</v>
      </c>
      <c r="D237" s="180">
        <v>1</v>
      </c>
      <c r="E237" s="434" t="s">
        <v>6304</v>
      </c>
      <c r="F237" s="180" t="s">
        <v>6349</v>
      </c>
      <c r="G237" s="180" t="s">
        <v>6484</v>
      </c>
      <c r="H237" s="180">
        <v>1</v>
      </c>
      <c r="I237" s="180">
        <v>1</v>
      </c>
      <c r="J237" s="180">
        <v>1</v>
      </c>
      <c r="K237" s="119" t="s">
        <v>7330</v>
      </c>
      <c r="N237" s="180" t="s">
        <v>6388</v>
      </c>
      <c r="O237" s="119" t="s">
        <v>7331</v>
      </c>
      <c r="P237" s="119">
        <v>3</v>
      </c>
      <c r="Q237" s="119" t="s">
        <v>242</v>
      </c>
      <c r="R237" s="180">
        <v>1</v>
      </c>
      <c r="X237" s="180">
        <v>1</v>
      </c>
      <c r="AA237" s="120" t="s">
        <v>7332</v>
      </c>
      <c r="AB237" s="250" t="str">
        <f t="array" ref="AB237">INDEX(B:B,SMALL(IF($Q$3:$Q$517&lt;&gt;"",ROW($3:$517),518),ROW(B236)))&amp;""</f>
        <v>闪电束</v>
      </c>
      <c r="AC237" s="394" t="str">
        <f>IFERROR(IF(AND($Q238&lt;&gt;"",IF(法术查询!$J$4="",1,INDEX($R238:$Z238,1,VLOOKUP(法术查询!$J$4,$AF$2:$AG$10,2,0)))&lt;&gt;"",IF(法术查询!$J$5="",1,$P238=VLOOKUP(法术查询!$J$5,$AH$2:$AI$11,2,0)),IF(法术查询!$J$6="",1,IF(法术查询!$J$6=$E238,1,0)),IF(法术查询!$J$7="",1,SEARCH(法术查询!$J$7,$F238)),IF(法术查询!$J$8="",1,SEARCH(法术查询!$J$8,G238)),IF(法术查询!$J$9="",1,SEARCH(法术查询!$J$9,N238)),IF(法术查询!$J$10="",1,IF(法术查询!$J$10=$AF$11,IF($M238=1,1,0),IF($M238="",1,0))),IF(法术查询!$J$11="",1,IF(法术查询!$J$11=$AF$11,IF($D238=1,1,0),IF($D238="",1,0))),IF(法术查询!$J$12="",1,SEARCH(法术查询!$J$12,$B238&amp;$C238&amp;$O238)),IF(法术查询!$J$13="",1,SEARCH(法术查询!$J$13,$B238&amp;$C238&amp;$O238)),IF(法术查询!$J$14="",1,SEARCH(法术查询!$J$14,$B238&amp;$C238&amp;$O238)),IF(法术查询!$J$16="",1,IF(法术查询!$J$16=$AF$11,IF($H238=1,1,0),IF($H238="",1,0))),IF(法术查询!$J$17="",1,IF(法术查询!$J$17=$AF$11,IF($I238=1,1,0),IF($I238="",1,0))),IF(法术查询!$J$18="",1,IF(法术查询!$J$18=$AF$11,IF($J238&lt;&gt;"",1,0),IF($J238="",1,0))),IF(法术查询!$J$19="",1,IF(法术查询!$J$19=$AF$11,IF($L238&lt;&gt;"",1,0),IF($L238="",1,0)))),$B238,""),"")</f>
        <v/>
      </c>
      <c r="AD237" s="180" t="str">
        <f t="array" ref="AD237">INDEX(AC:AC,SMALL(IF($AC$2:$AC$516&lt;&gt;"",ROW($2:$516),517),ROW(AC236)))&amp;""</f>
        <v/>
      </c>
      <c r="AE237" s="198" t="str">
        <f t="shared" si="7"/>
        <v/>
      </c>
      <c r="AJ237" s="250">
        <v>236</v>
      </c>
      <c r="AK237" s="119" t="str">
        <f>IF(法术书!AH43="","",法术书!AH43)</f>
        <v/>
      </c>
      <c r="AL237" s="119" t="str">
        <f t="array" ref="AL237">IFERROR(INDEX(AK$1:AK$301,SMALL(IF(MATCH(AK237,AK$1:AK$301,0)=ROW(AK237),ROW(AK$1:AK$301),999),ROW(AK237))),"")</f>
        <v/>
      </c>
      <c r="AM237" s="120" t="str">
        <f t="array" ref="AM237">INDEX(AL:AL,SMALL(IF($AL$2:$AL$301&lt;&gt;"",ROW($2:$301),302),ROW(AL236)))&amp;""</f>
        <v/>
      </c>
    </row>
    <row r="238" spans="1:39" ht="14.4" customHeight="1" x14ac:dyDescent="0.25">
      <c r="A238" s="250">
        <v>236</v>
      </c>
      <c r="B238" s="119" t="s">
        <v>7333</v>
      </c>
      <c r="C238" s="119" t="s">
        <v>7334</v>
      </c>
      <c r="E238" s="435" t="s">
        <v>6312</v>
      </c>
      <c r="F238" s="180" t="s">
        <v>6352</v>
      </c>
      <c r="G238" s="180" t="s">
        <v>6291</v>
      </c>
      <c r="H238" s="180">
        <v>1</v>
      </c>
      <c r="I238" s="180">
        <v>1</v>
      </c>
      <c r="M238" s="180">
        <v>1</v>
      </c>
      <c r="N238" s="180" t="s">
        <v>6306</v>
      </c>
      <c r="O238" s="119" t="s">
        <v>7335</v>
      </c>
      <c r="P238" s="119">
        <v>3</v>
      </c>
      <c r="Q238" s="119" t="s">
        <v>242</v>
      </c>
      <c r="V238" s="180">
        <v>1</v>
      </c>
      <c r="AA238" s="198"/>
      <c r="AB238" s="250" t="str">
        <f t="array" ref="AB238">INDEX(B:B,SMALL(IF($Q$3:$Q$517&lt;&gt;"",ROW($3:$517),518),ROW(B237)))&amp;""</f>
        <v>防护法阵</v>
      </c>
      <c r="AC238" s="394" t="str">
        <f>IFERROR(IF(AND($Q239&lt;&gt;"",IF(法术查询!$J$4="",1,INDEX($R239:$Z239,1,VLOOKUP(法术查询!$J$4,$AF$2:$AG$10,2,0)))&lt;&gt;"",IF(法术查询!$J$5="",1,$P239=VLOOKUP(法术查询!$J$5,$AH$2:$AI$11,2,0)),IF(法术查询!$J$6="",1,IF(法术查询!$J$6=$E239,1,0)),IF(法术查询!$J$7="",1,SEARCH(法术查询!$J$7,$F239)),IF(法术查询!$J$8="",1,SEARCH(法术查询!$J$8,G239)),IF(法术查询!$J$9="",1,SEARCH(法术查询!$J$9,N239)),IF(法术查询!$J$10="",1,IF(法术查询!$J$10=$AF$11,IF($M239=1,1,0),IF($M239="",1,0))),IF(法术查询!$J$11="",1,IF(法术查询!$J$11=$AF$11,IF($D239=1,1,0),IF($D239="",1,0))),IF(法术查询!$J$12="",1,SEARCH(法术查询!$J$12,$B239&amp;$C239&amp;$O239)),IF(法术查询!$J$13="",1,SEARCH(法术查询!$J$13,$B239&amp;$C239&amp;$O239)),IF(法术查询!$J$14="",1,SEARCH(法术查询!$J$14,$B239&amp;$C239&amp;$O239)),IF(法术查询!$J$16="",1,IF(法术查询!$J$16=$AF$11,IF($H239=1,1,0),IF($H239="",1,0))),IF(法术查询!$J$17="",1,IF(法术查询!$J$17=$AF$11,IF($I239=1,1,0),IF($I239="",1,0))),IF(法术查询!$J$18="",1,IF(法术查询!$J$18=$AF$11,IF($J239&lt;&gt;"",1,0),IF($J239="",1,0))),IF(法术查询!$J$19="",1,IF(法术查询!$J$19=$AF$11,IF($L239&lt;&gt;"",1,0),IF($L239="",1,0)))),$B239,""),"")</f>
        <v/>
      </c>
      <c r="AD238" s="180" t="str">
        <f t="array" ref="AD238">INDEX(AC:AC,SMALL(IF($AC$2:$AC$516&lt;&gt;"",ROW($2:$516),517),ROW(AC237)))&amp;""</f>
        <v/>
      </c>
      <c r="AE238" s="198" t="str">
        <f t="shared" si="7"/>
        <v/>
      </c>
      <c r="AJ238" s="250">
        <v>237</v>
      </c>
      <c r="AK238" s="119" t="str">
        <f>IF(法术书!AH44="","",法术书!AH44)</f>
        <v/>
      </c>
      <c r="AL238" s="119" t="str">
        <f t="array" ref="AL238">IFERROR(INDEX(AK$1:AK$301,SMALL(IF(MATCH(AK238,AK$1:AK$301,0)=ROW(AK238),ROW(AK$1:AK$301),999),ROW(AK238))),"")</f>
        <v/>
      </c>
      <c r="AM238" s="120" t="str">
        <f t="array" ref="AM238">INDEX(AL:AL,SMALL(IF($AL$2:$AL$301&lt;&gt;"",ROW($2:$301),302),ROW(AL237)))&amp;""</f>
        <v/>
      </c>
    </row>
    <row r="239" spans="1:39" ht="14.4" customHeight="1" x14ac:dyDescent="0.25">
      <c r="A239" s="250">
        <v>237</v>
      </c>
      <c r="B239" s="119" t="s">
        <v>7336</v>
      </c>
      <c r="C239" s="119" t="s">
        <v>7337</v>
      </c>
      <c r="E239" s="434" t="s">
        <v>6304</v>
      </c>
      <c r="F239" s="180" t="s">
        <v>6282</v>
      </c>
      <c r="G239" s="180" t="s">
        <v>6528</v>
      </c>
      <c r="H239" s="180">
        <v>1</v>
      </c>
      <c r="I239" s="180">
        <v>1</v>
      </c>
      <c r="J239" s="180">
        <v>1</v>
      </c>
      <c r="K239" s="119" t="s">
        <v>7338</v>
      </c>
      <c r="N239" s="180" t="s">
        <v>6284</v>
      </c>
      <c r="O239" s="119" t="s">
        <v>7339</v>
      </c>
      <c r="P239" s="119">
        <v>3</v>
      </c>
      <c r="Q239" s="119" t="s">
        <v>242</v>
      </c>
      <c r="W239" s="180">
        <v>1</v>
      </c>
      <c r="X239" s="180">
        <v>1</v>
      </c>
      <c r="AA239" s="120" t="s">
        <v>7340</v>
      </c>
      <c r="AB239" s="250" t="str">
        <f t="array" ref="AB239">INDEX(B:B,SMALL(IF($Q$3:$Q$517&lt;&gt;"",ROW($3:$517),518),ROW(B238)))&amp;""</f>
        <v>高等幻影</v>
      </c>
      <c r="AC239" s="394" t="str">
        <f>IFERROR(IF(AND($Q240&lt;&gt;"",IF(法术查询!$J$4="",1,INDEX($R240:$Z240,1,VLOOKUP(法术查询!$J$4,$AF$2:$AG$10,2,0)))&lt;&gt;"",IF(法术查询!$J$5="",1,$P240=VLOOKUP(法术查询!$J$5,$AH$2:$AI$11,2,0)),IF(法术查询!$J$6="",1,IF(法术查询!$J$6=$E240,1,0)),IF(法术查询!$J$7="",1,SEARCH(法术查询!$J$7,$F240)),IF(法术查询!$J$8="",1,SEARCH(法术查询!$J$8,G240)),IF(法术查询!$J$9="",1,SEARCH(法术查询!$J$9,N240)),IF(法术查询!$J$10="",1,IF(法术查询!$J$10=$AF$11,IF($M240=1,1,0),IF($M240="",1,0))),IF(法术查询!$J$11="",1,IF(法术查询!$J$11=$AF$11,IF($D240=1,1,0),IF($D240="",1,0))),IF(法术查询!$J$12="",1,SEARCH(法术查询!$J$12,$B240&amp;$C240&amp;$O240)),IF(法术查询!$J$13="",1,SEARCH(法术查询!$J$13,$B240&amp;$C240&amp;$O240)),IF(法术查询!$J$14="",1,SEARCH(法术查询!$J$14,$B240&amp;$C240&amp;$O240)),IF(法术查询!$J$16="",1,IF(法术查询!$J$16=$AF$11,IF($H240=1,1,0),IF($H240="",1,0))),IF(法术查询!$J$17="",1,IF(法术查询!$J$17=$AF$11,IF($I240=1,1,0),IF($I240="",1,0))),IF(法术查询!$J$18="",1,IF(法术查询!$J$18=$AF$11,IF($J240&lt;&gt;"",1,0),IF($J240="",1,0))),IF(法术查询!$J$19="",1,IF(法术查询!$J$19=$AF$11,IF($L240&lt;&gt;"",1,0),IF($L240="",1,0)))),$B240,""),"")</f>
        <v/>
      </c>
      <c r="AD239" s="180" t="str">
        <f t="array" ref="AD239">INDEX(AC:AC,SMALL(IF($AC$2:$AC$516&lt;&gt;"",ROW($2:$516),517),ROW(AC238)))&amp;""</f>
        <v/>
      </c>
      <c r="AE239" s="198" t="str">
        <f t="shared" si="7"/>
        <v/>
      </c>
      <c r="AJ239" s="250">
        <v>238</v>
      </c>
      <c r="AK239" s="119" t="str">
        <f>IF(法术书!AH45="","",法术书!AH45)</f>
        <v/>
      </c>
      <c r="AL239" s="119" t="str">
        <f t="array" ref="AL239">IFERROR(INDEX(AK$1:AK$301,SMALL(IF(MATCH(AK239,AK$1:AK$301,0)=ROW(AK239),ROW(AK$1:AK$301),999),ROW(AK239))),"")</f>
        <v/>
      </c>
      <c r="AM239" s="120" t="str">
        <f t="array" ref="AM239">INDEX(AL:AL,SMALL(IF($AL$2:$AL$301&lt;&gt;"",ROW($2:$301),302),ROW(AL238)))&amp;""</f>
        <v/>
      </c>
    </row>
    <row r="240" spans="1:39" ht="14.4" customHeight="1" x14ac:dyDescent="0.25">
      <c r="A240" s="250">
        <v>238</v>
      </c>
      <c r="B240" s="119" t="s">
        <v>7341</v>
      </c>
      <c r="C240" s="119" t="s">
        <v>7342</v>
      </c>
      <c r="E240" s="378" t="s">
        <v>6281</v>
      </c>
      <c r="F240" s="180" t="s">
        <v>6349</v>
      </c>
      <c r="G240" s="180" t="s">
        <v>6370</v>
      </c>
      <c r="H240" s="180">
        <v>1</v>
      </c>
      <c r="I240" s="180">
        <v>1</v>
      </c>
      <c r="J240" s="180">
        <v>1</v>
      </c>
      <c r="L240" s="119" t="s">
        <v>7343</v>
      </c>
      <c r="N240" s="180" t="s">
        <v>6344</v>
      </c>
      <c r="O240" s="119" t="s">
        <v>7344</v>
      </c>
      <c r="P240" s="119">
        <v>3</v>
      </c>
      <c r="Q240" s="119" t="s">
        <v>242</v>
      </c>
      <c r="S240" s="180">
        <v>1</v>
      </c>
      <c r="U240" s="180">
        <v>1</v>
      </c>
      <c r="X240" s="180">
        <v>1</v>
      </c>
      <c r="Y240" s="180">
        <v>1</v>
      </c>
      <c r="AA240" s="120" t="s">
        <v>7345</v>
      </c>
      <c r="AB240" s="250" t="str">
        <f t="array" ref="AB240">INDEX(B:B,SMALL(IF($Q$3:$Q$517&lt;&gt;"",ROW($3:$517),518),ROW(B239)))&amp;""</f>
        <v>群体治愈真言</v>
      </c>
      <c r="AC240" s="394" t="str">
        <f>IFERROR(IF(AND($Q241&lt;&gt;"",IF(法术查询!$J$4="",1,INDEX($R241:$Z241,1,VLOOKUP(法术查询!$J$4,$AF$2:$AG$10,2,0)))&lt;&gt;"",IF(法术查询!$J$5="",1,$P241=VLOOKUP(法术查询!$J$5,$AH$2:$AI$11,2,0)),IF(法术查询!$J$6="",1,IF(法术查询!$J$6=$E241,1,0)),IF(法术查询!$J$7="",1,SEARCH(法术查询!$J$7,$F241)),IF(法术查询!$J$8="",1,SEARCH(法术查询!$J$8,G241)),IF(法术查询!$J$9="",1,SEARCH(法术查询!$J$9,N241)),IF(法术查询!$J$10="",1,IF(法术查询!$J$10=$AF$11,IF($M241=1,1,0),IF($M241="",1,0))),IF(法术查询!$J$11="",1,IF(法术查询!$J$11=$AF$11,IF($D241=1,1,0),IF($D241="",1,0))),IF(法术查询!$J$12="",1,SEARCH(法术查询!$J$12,$B241&amp;$C241&amp;$O241)),IF(法术查询!$J$13="",1,SEARCH(法术查询!$J$13,$B241&amp;$C241&amp;$O241)),IF(法术查询!$J$14="",1,SEARCH(法术查询!$J$14,$B241&amp;$C241&amp;$O241)),IF(法术查询!$J$16="",1,IF(法术查询!$J$16=$AF$11,IF($H241=1,1,0),IF($H241="",1,0))),IF(法术查询!$J$17="",1,IF(法术查询!$J$17=$AF$11,IF($I241=1,1,0),IF($I241="",1,0))),IF(法术查询!$J$18="",1,IF(法术查询!$J$18=$AF$11,IF($J241&lt;&gt;"",1,0),IF($J241="",1,0))),IF(法术查询!$J$19="",1,IF(法术查询!$J$19=$AF$11,IF($L241&lt;&gt;"",1,0),IF($L241="",1,0)))),$B241,""),"")</f>
        <v/>
      </c>
      <c r="AD240" s="180" t="str">
        <f t="array" ref="AD240">INDEX(AC:AC,SMALL(IF($AC$2:$AC$516&lt;&gt;"",ROW($2:$516),517),ROW(AC239)))&amp;""</f>
        <v/>
      </c>
      <c r="AE240" s="198" t="str">
        <f t="shared" si="7"/>
        <v/>
      </c>
      <c r="AJ240" s="250">
        <v>239</v>
      </c>
      <c r="AK240" s="119" t="str">
        <f>IF(法术书!AH46="","",法术书!AH46)</f>
        <v/>
      </c>
      <c r="AL240" s="119" t="str">
        <f t="array" ref="AL240">IFERROR(INDEX(AK$1:AK$301,SMALL(IF(MATCH(AK240,AK$1:AK$301,0)=ROW(AK240),ROW(AK$1:AK$301),999),ROW(AK240))),"")</f>
        <v/>
      </c>
      <c r="AM240" s="120" t="str">
        <f t="array" ref="AM240">INDEX(AL:AL,SMALL(IF($AL$2:$AL$301&lt;&gt;"",ROW($2:$301),302),ROW(AL239)))&amp;""</f>
        <v/>
      </c>
    </row>
    <row r="241" spans="1:39" ht="14.4" customHeight="1" x14ac:dyDescent="0.25">
      <c r="A241" s="250">
        <v>239</v>
      </c>
      <c r="B241" s="119" t="s">
        <v>7346</v>
      </c>
      <c r="C241" s="119" t="s">
        <v>7347</v>
      </c>
      <c r="E241" s="285" t="s">
        <v>6366</v>
      </c>
      <c r="F241" s="180" t="s">
        <v>6282</v>
      </c>
      <c r="G241" s="180" t="s">
        <v>6298</v>
      </c>
      <c r="H241" s="180">
        <v>1</v>
      </c>
      <c r="I241" s="180">
        <v>1</v>
      </c>
      <c r="J241" s="180">
        <v>1</v>
      </c>
      <c r="K241" s="119" t="s">
        <v>6367</v>
      </c>
      <c r="M241" s="180">
        <v>1</v>
      </c>
      <c r="N241" s="180" t="s">
        <v>6471</v>
      </c>
      <c r="O241" s="119" t="s">
        <v>7348</v>
      </c>
      <c r="P241" s="119">
        <v>3</v>
      </c>
      <c r="Q241" s="119" t="s">
        <v>242</v>
      </c>
      <c r="R241" s="180">
        <v>1</v>
      </c>
      <c r="W241" s="180">
        <v>1</v>
      </c>
      <c r="X241" s="180">
        <v>1</v>
      </c>
      <c r="Y241" s="180">
        <v>1</v>
      </c>
      <c r="AA241" s="198" t="s">
        <v>745</v>
      </c>
      <c r="AB241" s="250" t="str">
        <f t="array" ref="AB241">INDEX(B:B,SMALL(IF($Q$3:$Q$517&lt;&gt;"",ROW($3:$517),518),ROW(B240)))&amp;""</f>
        <v>融身入石</v>
      </c>
      <c r="AC241" s="394" t="str">
        <f>IFERROR(IF(AND($Q242&lt;&gt;"",IF(法术查询!$J$4="",1,INDEX($R242:$Z242,1,VLOOKUP(法术查询!$J$4,$AF$2:$AG$10,2,0)))&lt;&gt;"",IF(法术查询!$J$5="",1,$P242=VLOOKUP(法术查询!$J$5,$AH$2:$AI$11,2,0)),IF(法术查询!$J$6="",1,IF(法术查询!$J$6=$E242,1,0)),IF(法术查询!$J$7="",1,SEARCH(法术查询!$J$7,$F242)),IF(法术查询!$J$8="",1,SEARCH(法术查询!$J$8,G242)),IF(法术查询!$J$9="",1,SEARCH(法术查询!$J$9,N242)),IF(法术查询!$J$10="",1,IF(法术查询!$J$10=$AF$11,IF($M242=1,1,0),IF($M242="",1,0))),IF(法术查询!$J$11="",1,IF(法术查询!$J$11=$AF$11,IF($D242=1,1,0),IF($D242="",1,0))),IF(法术查询!$J$12="",1,SEARCH(法术查询!$J$12,$B242&amp;$C242&amp;$O242)),IF(法术查询!$J$13="",1,SEARCH(法术查询!$J$13,$B242&amp;$C242&amp;$O242)),IF(法术查询!$J$14="",1,SEARCH(法术查询!$J$14,$B242&amp;$C242&amp;$O242)),IF(法术查询!$J$16="",1,IF(法术查询!$J$16=$AF$11,IF($H242=1,1,0),IF($H242="",1,0))),IF(法术查询!$J$17="",1,IF(法术查询!$J$17=$AF$11,IF($I242=1,1,0),IF($I242="",1,0))),IF(法术查询!$J$18="",1,IF(法术查询!$J$18=$AF$11,IF($J242&lt;&gt;"",1,0),IF($J242="",1,0))),IF(法术查询!$J$19="",1,IF(法术查询!$J$19=$AF$11,IF($L242&lt;&gt;"",1,0),IF($L242="",1,0)))),$B242,""),"")</f>
        <v/>
      </c>
      <c r="AD241" s="180" t="str">
        <f t="array" ref="AD241">INDEX(AC:AC,SMALL(IF($AC$2:$AC$516&lt;&gt;"",ROW($2:$516),517),ROW(AC240)))&amp;""</f>
        <v/>
      </c>
      <c r="AE241" s="198" t="str">
        <f t="shared" si="7"/>
        <v/>
      </c>
      <c r="AJ241" s="250">
        <v>240</v>
      </c>
      <c r="AK241" s="119" t="str">
        <f>IF(法术书!AH47="","",法术书!AH47)</f>
        <v/>
      </c>
      <c r="AL241" s="119" t="str">
        <f t="array" ref="AL241">IFERROR(INDEX(AK$1:AK$301,SMALL(IF(MATCH(AK241,AK$1:AK$301,0)=ROW(AK241),ROW(AK$1:AK$301),999),ROW(AK241))),"")</f>
        <v/>
      </c>
      <c r="AM241" s="120" t="str">
        <f t="array" ref="AM241">INDEX(AL:AL,SMALL(IF($AL$2:$AL$301&lt;&gt;"",ROW($2:$301),302),ROW(AL240)))&amp;""</f>
        <v/>
      </c>
    </row>
    <row r="242" spans="1:39" ht="14.4" customHeight="1" x14ac:dyDescent="0.25">
      <c r="A242" s="250">
        <v>240</v>
      </c>
      <c r="B242" s="119" t="s">
        <v>7349</v>
      </c>
      <c r="C242" s="119" t="s">
        <v>7350</v>
      </c>
      <c r="E242" s="434" t="s">
        <v>6304</v>
      </c>
      <c r="F242" s="180" t="s">
        <v>6352</v>
      </c>
      <c r="G242" s="180" t="s">
        <v>6283</v>
      </c>
      <c r="H242" s="180">
        <v>1</v>
      </c>
      <c r="N242" s="180" t="s">
        <v>6284</v>
      </c>
      <c r="O242" s="119" t="s">
        <v>7351</v>
      </c>
      <c r="P242" s="119">
        <v>3</v>
      </c>
      <c r="Q242" s="119" t="s">
        <v>242</v>
      </c>
      <c r="R242" s="180" t="str">
        <f>IF(综合数据!$B$14=TRUE,"13","")</f>
        <v>13</v>
      </c>
      <c r="S242" s="180">
        <v>1</v>
      </c>
      <c r="AA242" s="120" t="s">
        <v>7352</v>
      </c>
      <c r="AB242" s="250" t="str">
        <f t="array" ref="AB242">INDEX(B:B,SMALL(IF($Q$3:$Q$517&lt;&gt;"",ROW($3:$517),518),ROW(B241)))&amp;""</f>
        <v>回避侦测</v>
      </c>
      <c r="AC242" s="394" t="str">
        <f>IFERROR(IF(AND($Q243&lt;&gt;"",IF(法术查询!$J$4="",1,INDEX($R243:$Z243,1,VLOOKUP(法术查询!$J$4,$AF$2:$AG$10,2,0)))&lt;&gt;"",IF(法术查询!$J$5="",1,$P243=VLOOKUP(法术查询!$J$5,$AH$2:$AI$11,2,0)),IF(法术查询!$J$6="",1,IF(法术查询!$J$6=$E243,1,0)),IF(法术查询!$J$7="",1,SEARCH(法术查询!$J$7,$F243)),IF(法术查询!$J$8="",1,SEARCH(法术查询!$J$8,G243)),IF(法术查询!$J$9="",1,SEARCH(法术查询!$J$9,N243)),IF(法术查询!$J$10="",1,IF(法术查询!$J$10=$AF$11,IF($M243=1,1,0),IF($M243="",1,0))),IF(法术查询!$J$11="",1,IF(法术查询!$J$11=$AF$11,IF($D243=1,1,0),IF($D243="",1,0))),IF(法术查询!$J$12="",1,SEARCH(法术查询!$J$12,$B243&amp;$C243&amp;$O243)),IF(法术查询!$J$13="",1,SEARCH(法术查询!$J$13,$B243&amp;$C243&amp;$O243)),IF(法术查询!$J$14="",1,SEARCH(法术查询!$J$14,$B243&amp;$C243&amp;$O243)),IF(法术查询!$J$16="",1,IF(法术查询!$J$16=$AF$11,IF($H243=1,1,0),IF($H243="",1,0))),IF(法术查询!$J$17="",1,IF(法术查询!$J$17=$AF$11,IF($I243=1,1,0),IF($I243="",1,0))),IF(法术查询!$J$18="",1,IF(法术查询!$J$18=$AF$11,IF($J243&lt;&gt;"",1,0),IF($J243="",1,0))),IF(法术查询!$J$19="",1,IF(法术查询!$J$19=$AF$11,IF($L243&lt;&gt;"",1,0),IF($L243="",1,0)))),$B243,""),"")</f>
        <v/>
      </c>
      <c r="AD242" s="180" t="str">
        <f t="array" ref="AD242">INDEX(AC:AC,SMALL(IF($AC$2:$AC$516&lt;&gt;"",ROW($2:$516),517),ROW(AC241)))&amp;""</f>
        <v/>
      </c>
      <c r="AE242" s="198" t="str">
        <f t="shared" si="7"/>
        <v/>
      </c>
      <c r="AJ242" s="250">
        <v>241</v>
      </c>
      <c r="AK242" s="119" t="str">
        <f>IF(法术书!AH48="","",法术书!AH48)</f>
        <v/>
      </c>
      <c r="AL242" s="119" t="str">
        <f t="array" ref="AL242">IFERROR(INDEX(AK$1:AK$301,SMALL(IF(MATCH(AK242,AK$1:AK$301,0)=ROW(AK242),ROW(AK$1:AK$301),999),ROW(AK242))),"")</f>
        <v/>
      </c>
      <c r="AM242" s="120" t="str">
        <f t="array" ref="AM242">INDEX(AL:AL,SMALL(IF($AL$2:$AL$301&lt;&gt;"",ROW($2:$301),302),ROW(AL241)))&amp;""</f>
        <v/>
      </c>
    </row>
    <row r="243" spans="1:39" ht="14.4" customHeight="1" x14ac:dyDescent="0.25">
      <c r="A243" s="250">
        <v>241</v>
      </c>
      <c r="B243" s="119" t="s">
        <v>7353</v>
      </c>
      <c r="C243" s="119" t="s">
        <v>7354</v>
      </c>
      <c r="D243" s="180">
        <v>1</v>
      </c>
      <c r="E243" s="435" t="s">
        <v>6312</v>
      </c>
      <c r="F243" s="180" t="s">
        <v>6282</v>
      </c>
      <c r="G243" s="180" t="s">
        <v>3682</v>
      </c>
      <c r="H243" s="180">
        <v>1</v>
      </c>
      <c r="I243" s="180">
        <v>1</v>
      </c>
      <c r="N243" s="180" t="s">
        <v>6388</v>
      </c>
      <c r="O243" s="119" t="s">
        <v>7355</v>
      </c>
      <c r="P243" s="119">
        <v>3</v>
      </c>
      <c r="Q243" s="119" t="s">
        <v>242</v>
      </c>
      <c r="S243" s="180">
        <v>1</v>
      </c>
      <c r="T243" s="180">
        <v>1</v>
      </c>
      <c r="V243" s="180" t="str">
        <f>IF(综合数据!$B$14=TRUE,"13","")</f>
        <v>13</v>
      </c>
      <c r="AA243" s="120" t="s">
        <v>7356</v>
      </c>
      <c r="AB243" s="250" t="str">
        <f t="array" ref="AB243">INDEX(B:B,SMALL(IF($Q$3:$Q$517&lt;&gt;"",ROW($3:$517),518),ROW(B242)))&amp;""</f>
        <v>魅影驹</v>
      </c>
      <c r="AC243" s="394" t="str">
        <f>IFERROR(IF(AND($Q244&lt;&gt;"",IF(法术查询!$J$4="",1,INDEX($R244:$Z244,1,VLOOKUP(法术查询!$J$4,$AF$2:$AG$10,2,0)))&lt;&gt;"",IF(法术查询!$J$5="",1,$P244=VLOOKUP(法术查询!$J$5,$AH$2:$AI$11,2,0)),IF(法术查询!$J$6="",1,IF(法术查询!$J$6=$E244,1,0)),IF(法术查询!$J$7="",1,SEARCH(法术查询!$J$7,$F244)),IF(法术查询!$J$8="",1,SEARCH(法术查询!$J$8,G244)),IF(法术查询!$J$9="",1,SEARCH(法术查询!$J$9,N244)),IF(法术查询!$J$10="",1,IF(法术查询!$J$10=$AF$11,IF($M244=1,1,0),IF($M244="",1,0))),IF(法术查询!$J$11="",1,IF(法术查询!$J$11=$AF$11,IF($D244=1,1,0),IF($D244="",1,0))),IF(法术查询!$J$12="",1,SEARCH(法术查询!$J$12,$B244&amp;$C244&amp;$O244)),IF(法术查询!$J$13="",1,SEARCH(法术查询!$J$13,$B244&amp;$C244&amp;$O244)),IF(法术查询!$J$14="",1,SEARCH(法术查询!$J$14,$B244&amp;$C244&amp;$O244)),IF(法术查询!$J$16="",1,IF(法术查询!$J$16=$AF$11,IF($H244=1,1,0),IF($H244="",1,0))),IF(法术查询!$J$17="",1,IF(法术查询!$J$17=$AF$11,IF($I244=1,1,0),IF($I244="",1,0))),IF(法术查询!$J$18="",1,IF(法术查询!$J$18=$AF$11,IF($J244&lt;&gt;"",1,0),IF($J244="",1,0))),IF(法术查询!$J$19="",1,IF(法术查询!$J$19=$AF$11,IF($L244&lt;&gt;"",1,0),IF($L244="",1,0)))),$B244,""),"")</f>
        <v/>
      </c>
      <c r="AD243" s="180" t="str">
        <f t="array" ref="AD243">INDEX(AC:AC,SMALL(IF($AC$2:$AC$516&lt;&gt;"",ROW($2:$516),517),ROW(AC242)))&amp;""</f>
        <v/>
      </c>
      <c r="AE243" s="198" t="str">
        <f t="shared" si="7"/>
        <v/>
      </c>
      <c r="AJ243" s="250">
        <v>242</v>
      </c>
      <c r="AK243" s="119" t="str">
        <f>IF(法术书!AH49="","",法术书!AH49)</f>
        <v/>
      </c>
      <c r="AL243" s="119" t="str">
        <f t="array" ref="AL243">IFERROR(INDEX(AK$1:AK$301,SMALL(IF(MATCH(AK243,AK$1:AK$301,0)=ROW(AK243),ROW(AK$1:AK$301),999),ROW(AK243))),"")</f>
        <v/>
      </c>
      <c r="AM243" s="120" t="str">
        <f t="array" ref="AM243">INDEX(AL:AL,SMALL(IF($AL$2:$AL$301&lt;&gt;"",ROW($2:$301),302),ROW(AL242)))&amp;""</f>
        <v/>
      </c>
    </row>
    <row r="244" spans="1:39" ht="14.4" customHeight="1" x14ac:dyDescent="0.25">
      <c r="A244" s="250">
        <v>242</v>
      </c>
      <c r="B244" s="119" t="s">
        <v>7357</v>
      </c>
      <c r="C244" s="119" t="s">
        <v>7358</v>
      </c>
      <c r="E244" s="440" t="s">
        <v>6290</v>
      </c>
      <c r="F244" s="180" t="s">
        <v>6282</v>
      </c>
      <c r="G244" s="180" t="s">
        <v>3682</v>
      </c>
      <c r="H244" s="180">
        <v>1</v>
      </c>
      <c r="I244" s="180">
        <v>1</v>
      </c>
      <c r="J244" s="180">
        <v>1</v>
      </c>
      <c r="L244" s="119" t="s">
        <v>7359</v>
      </c>
      <c r="N244" s="180" t="s">
        <v>6388</v>
      </c>
      <c r="O244" s="119" t="s">
        <v>7360</v>
      </c>
      <c r="P244" s="119">
        <v>3</v>
      </c>
      <c r="Q244" s="119" t="s">
        <v>242</v>
      </c>
      <c r="R244" s="180">
        <v>1</v>
      </c>
      <c r="V244" s="180">
        <v>1</v>
      </c>
      <c r="X244" s="180">
        <v>1</v>
      </c>
      <c r="AA244" s="120" t="s">
        <v>7361</v>
      </c>
      <c r="AB244" s="250" t="str">
        <f t="array" ref="AB244">INDEX(B:B,SMALL(IF($Q$3:$Q$517&lt;&gt;"",ROW($3:$517),518),ROW(B243)))&amp;""</f>
        <v>植物滋长</v>
      </c>
      <c r="AC244" s="394" t="str">
        <f>IFERROR(IF(AND($Q245&lt;&gt;"",IF(法术查询!$J$4="",1,INDEX($R245:$Z245,1,VLOOKUP(法术查询!$J$4,$AF$2:$AG$10,2,0)))&lt;&gt;"",IF(法术查询!$J$5="",1,$P245=VLOOKUP(法术查询!$J$5,$AH$2:$AI$11,2,0)),IF(法术查询!$J$6="",1,IF(法术查询!$J$6=$E245,1,0)),IF(法术查询!$J$7="",1,SEARCH(法术查询!$J$7,$F245)),IF(法术查询!$J$8="",1,SEARCH(法术查询!$J$8,G245)),IF(法术查询!$J$9="",1,SEARCH(法术查询!$J$9,N245)),IF(法术查询!$J$10="",1,IF(法术查询!$J$10=$AF$11,IF($M245=1,1,0),IF($M245="",1,0))),IF(法术查询!$J$11="",1,IF(法术查询!$J$11=$AF$11,IF($D245=1,1,0),IF($D245="",1,0))),IF(法术查询!$J$12="",1,SEARCH(法术查询!$J$12,$B245&amp;$C245&amp;$O245)),IF(法术查询!$J$13="",1,SEARCH(法术查询!$J$13,$B245&amp;$C245&amp;$O245)),IF(法术查询!$J$14="",1,SEARCH(法术查询!$J$14,$B245&amp;$C245&amp;$O245)),IF(法术查询!$J$16="",1,IF(法术查询!$J$16=$AF$11,IF($H245=1,1,0),IF($H245="",1,0))),IF(法术查询!$J$17="",1,IF(法术查询!$J$17=$AF$11,IF($I245=1,1,0),IF($I245="",1,0))),IF(法术查询!$J$18="",1,IF(法术查询!$J$18=$AF$11,IF($J245&lt;&gt;"",1,0),IF($J245="",1,0))),IF(法术查询!$J$19="",1,IF(法术查询!$J$19=$AF$11,IF($L245&lt;&gt;"",1,0),IF($L245="",1,0)))),$B245,""),"")</f>
        <v/>
      </c>
      <c r="AD244" s="180" t="str">
        <f t="array" ref="AD244">INDEX(AC:AC,SMALL(IF($AC$2:$AC$516&lt;&gt;"",ROW($2:$516),517),ROW(AC243)))&amp;""</f>
        <v/>
      </c>
      <c r="AE244" s="198" t="str">
        <f t="shared" si="7"/>
        <v/>
      </c>
      <c r="AJ244" s="250">
        <v>243</v>
      </c>
      <c r="AK244" s="119" t="str">
        <f>IF(法术书!AH50="","",法术书!AH50)</f>
        <v/>
      </c>
      <c r="AL244" s="119" t="str">
        <f t="array" ref="AL244">IFERROR(INDEX(AK$1:AK$301,SMALL(IF(MATCH(AK244,AK$1:AK$301,0)=ROW(AK244),ROW(AK$1:AK$301),999),ROW(AK244))),"")</f>
        <v/>
      </c>
      <c r="AM244" s="120" t="str">
        <f t="array" ref="AM244">INDEX(AL:AL,SMALL(IF($AL$2:$AL$301&lt;&gt;"",ROW($2:$301),302),ROW(AL243)))&amp;""</f>
        <v/>
      </c>
    </row>
    <row r="245" spans="1:39" ht="14.4" customHeight="1" x14ac:dyDescent="0.25">
      <c r="A245" s="250">
        <v>243</v>
      </c>
      <c r="B245" s="119" t="s">
        <v>7362</v>
      </c>
      <c r="C245" s="119" t="s">
        <v>7363</v>
      </c>
      <c r="D245" s="180">
        <v>1</v>
      </c>
      <c r="E245" s="285" t="s">
        <v>6366</v>
      </c>
      <c r="F245" s="180" t="s">
        <v>6349</v>
      </c>
      <c r="G245" s="180" t="s">
        <v>6313</v>
      </c>
      <c r="H245" s="180">
        <v>1</v>
      </c>
      <c r="I245" s="180">
        <v>1</v>
      </c>
      <c r="N245" s="180" t="s">
        <v>6344</v>
      </c>
      <c r="O245" s="119" t="s">
        <v>7364</v>
      </c>
      <c r="P245" s="119">
        <v>3</v>
      </c>
      <c r="Q245" s="119" t="s">
        <v>242</v>
      </c>
      <c r="X245" s="180">
        <v>1</v>
      </c>
      <c r="AA245" s="120" t="s">
        <v>7365</v>
      </c>
      <c r="AB245" s="250" t="str">
        <f t="array" ref="AB245">INDEX(B:B,SMALL(IF($Q$3:$Q$517&lt;&gt;"",ROW($3:$517),518),ROW(B244)))&amp;""</f>
        <v>防护能量伤害</v>
      </c>
      <c r="AC245" s="394" t="str">
        <f>IFERROR(IF(AND($Q246&lt;&gt;"",IF(法术查询!$J$4="",1,INDEX($R246:$Z246,1,VLOOKUP(法术查询!$J$4,$AF$2:$AG$10,2,0)))&lt;&gt;"",IF(法术查询!$J$5="",1,$P246=VLOOKUP(法术查询!$J$5,$AH$2:$AI$11,2,0)),IF(法术查询!$J$6="",1,IF(法术查询!$J$6=$E246,1,0)),IF(法术查询!$J$7="",1,SEARCH(法术查询!$J$7,$F246)),IF(法术查询!$J$8="",1,SEARCH(法术查询!$J$8,G246)),IF(法术查询!$J$9="",1,SEARCH(法术查询!$J$9,N246)),IF(法术查询!$J$10="",1,IF(法术查询!$J$10=$AF$11,IF($M246=1,1,0),IF($M246="",1,0))),IF(法术查询!$J$11="",1,IF(法术查询!$J$11=$AF$11,IF($D246=1,1,0),IF($D246="",1,0))),IF(法术查询!$J$12="",1,SEARCH(法术查询!$J$12,$B246&amp;$C246&amp;$O246)),IF(法术查询!$J$13="",1,SEARCH(法术查询!$J$13,$B246&amp;$C246&amp;$O246)),IF(法术查询!$J$14="",1,SEARCH(法术查询!$J$14,$B246&amp;$C246&amp;$O246)),IF(法术查询!$J$16="",1,IF(法术查询!$J$16=$AF$11,IF($H246=1,1,0),IF($H246="",1,0))),IF(法术查询!$J$17="",1,IF(法术查询!$J$17=$AF$11,IF($I246=1,1,0),IF($I246="",1,0))),IF(法术查询!$J$18="",1,IF(法术查询!$J$18=$AF$11,IF($J246&lt;&gt;"",1,0),IF($J246="",1,0))),IF(法术查询!$J$19="",1,IF(法术查询!$J$19=$AF$11,IF($L246&lt;&gt;"",1,0),IF($L246="",1,0)))),$B246,""),"")</f>
        <v/>
      </c>
      <c r="AD245" s="180" t="str">
        <f t="array" ref="AD245">INDEX(AC:AC,SMALL(IF($AC$2:$AC$516&lt;&gt;"",ROW($2:$516),517),ROW(AC244)))&amp;""</f>
        <v/>
      </c>
      <c r="AE245" s="198" t="str">
        <f t="shared" si="7"/>
        <v/>
      </c>
      <c r="AJ245" s="250">
        <v>244</v>
      </c>
      <c r="AK245" s="119" t="str">
        <f>IF(法术书!AH51="","",法术书!AH51)</f>
        <v/>
      </c>
      <c r="AL245" s="119" t="str">
        <f t="array" ref="AL245">IFERROR(INDEX(AK$1:AK$301,SMALL(IF(MATCH(AK245,AK$1:AK$301,0)=ROW(AK245),ROW(AK$1:AK$301),999),ROW(AK245))),"")</f>
        <v/>
      </c>
      <c r="AM245" s="120" t="str">
        <f t="array" ref="AM245">INDEX(AL:AL,SMALL(IF($AL$2:$AL$301&lt;&gt;"",ROW($2:$301),302),ROW(AL244)))&amp;""</f>
        <v/>
      </c>
    </row>
    <row r="246" spans="1:39" ht="14.4" customHeight="1" x14ac:dyDescent="0.25">
      <c r="A246" s="250">
        <v>244</v>
      </c>
      <c r="B246" s="119" t="s">
        <v>7366</v>
      </c>
      <c r="C246" s="119" t="s">
        <v>7367</v>
      </c>
      <c r="E246" s="435" t="s">
        <v>6312</v>
      </c>
      <c r="F246" s="180" t="s">
        <v>6459</v>
      </c>
      <c r="G246" s="180" t="s">
        <v>6419</v>
      </c>
      <c r="H246" s="180">
        <v>1</v>
      </c>
      <c r="I246" s="180">
        <v>1</v>
      </c>
      <c r="N246" s="180" t="s">
        <v>6284</v>
      </c>
      <c r="O246" s="119" t="s">
        <v>7368</v>
      </c>
      <c r="P246" s="119">
        <v>3</v>
      </c>
      <c r="Q246" s="119" t="s">
        <v>242</v>
      </c>
      <c r="R246" s="180">
        <v>1</v>
      </c>
      <c r="T246" s="180">
        <v>1</v>
      </c>
      <c r="V246" s="180">
        <v>1</v>
      </c>
      <c r="AA246" s="120" t="s">
        <v>7369</v>
      </c>
      <c r="AB246" s="250" t="str">
        <f t="array" ref="AB246">INDEX(B:B,SMALL(IF($Q$3:$Q$517&lt;&gt;"",ROW($3:$517),518),ROW(B245)))&amp;""</f>
        <v>移除诅咒</v>
      </c>
      <c r="AC246" s="394" t="str">
        <f>IFERROR(IF(AND($Q247&lt;&gt;"",IF(法术查询!$J$4="",1,INDEX($R247:$Z247,1,VLOOKUP(法术查询!$J$4,$AF$2:$AG$10,2,0)))&lt;&gt;"",IF(法术查询!$J$5="",1,$P247=VLOOKUP(法术查询!$J$5,$AH$2:$AI$11,2,0)),IF(法术查询!$J$6="",1,IF(法术查询!$J$6=$E247,1,0)),IF(法术查询!$J$7="",1,SEARCH(法术查询!$J$7,$F247)),IF(法术查询!$J$8="",1,SEARCH(法术查询!$J$8,G247)),IF(法术查询!$J$9="",1,SEARCH(法术查询!$J$9,N247)),IF(法术查询!$J$10="",1,IF(法术查询!$J$10=$AF$11,IF($M247=1,1,0),IF($M247="",1,0))),IF(法术查询!$J$11="",1,IF(法术查询!$J$11=$AF$11,IF($D247=1,1,0),IF($D247="",1,0))),IF(法术查询!$J$12="",1,SEARCH(法术查询!$J$12,$B247&amp;$C247&amp;$O247)),IF(法术查询!$J$13="",1,SEARCH(法术查询!$J$13,$B247&amp;$C247&amp;$O247)),IF(法术查询!$J$14="",1,SEARCH(法术查询!$J$14,$B247&amp;$C247&amp;$O247)),IF(法术查询!$J$16="",1,IF(法术查询!$J$16=$AF$11,IF($H247=1,1,0),IF($H247="",1,0))),IF(法术查询!$J$17="",1,IF(法术查询!$J$17=$AF$11,IF($I247=1,1,0),IF($I247="",1,0))),IF(法术查询!$J$18="",1,IF(法术查询!$J$18=$AF$11,IF($J247&lt;&gt;"",1,0),IF($J247="",1,0))),IF(法术查询!$J$19="",1,IF(法术查询!$J$19=$AF$11,IF($L247&lt;&gt;"",1,0),IF($L247="",1,0)))),$B247,""),"")</f>
        <v/>
      </c>
      <c r="AD246" s="180" t="str">
        <f t="array" ref="AD246">INDEX(AC:AC,SMALL(IF($AC$2:$AC$516&lt;&gt;"",ROW($2:$516),517),ROW(AC245)))&amp;""</f>
        <v/>
      </c>
      <c r="AE246" s="198" t="str">
        <f t="shared" si="7"/>
        <v/>
      </c>
      <c r="AJ246" s="250">
        <v>245</v>
      </c>
      <c r="AK246" s="119" t="str">
        <f>IF(法术书!AH52="","",法术书!AH52)</f>
        <v/>
      </c>
      <c r="AL246" s="119" t="str">
        <f t="array" ref="AL246">IFERROR(INDEX(AK$1:AK$301,SMALL(IF(MATCH(AK246,AK$1:AK$301,0)=ROW(AK246),ROW(AK$1:AK$301),999),ROW(AK246))),"")</f>
        <v/>
      </c>
      <c r="AM246" s="120" t="str">
        <f t="array" ref="AM246">INDEX(AL:AL,SMALL(IF($AL$2:$AL$301&lt;&gt;"",ROW($2:$301),302),ROW(AL245)))&amp;""</f>
        <v/>
      </c>
    </row>
    <row r="247" spans="1:39" ht="14.4" customHeight="1" x14ac:dyDescent="0.25">
      <c r="A247" s="250">
        <v>245</v>
      </c>
      <c r="B247" s="119" t="s">
        <v>7370</v>
      </c>
      <c r="C247" s="119" t="s">
        <v>7371</v>
      </c>
      <c r="E247" s="440" t="s">
        <v>6290</v>
      </c>
      <c r="F247" s="180" t="s">
        <v>6282</v>
      </c>
      <c r="G247" s="180" t="s">
        <v>3682</v>
      </c>
      <c r="H247" s="180">
        <v>1</v>
      </c>
      <c r="I247" s="180">
        <v>1</v>
      </c>
      <c r="M247" s="180">
        <v>1</v>
      </c>
      <c r="N247" s="180" t="s">
        <v>6379</v>
      </c>
      <c r="O247" s="119" t="s">
        <v>7372</v>
      </c>
      <c r="P247" s="119">
        <v>3</v>
      </c>
      <c r="Q247" s="119" t="s">
        <v>242</v>
      </c>
      <c r="S247" s="180">
        <v>1</v>
      </c>
      <c r="T247" s="180">
        <v>1</v>
      </c>
      <c r="V247" s="180">
        <v>1</v>
      </c>
      <c r="W247" s="180">
        <v>1</v>
      </c>
      <c r="X247" s="180">
        <v>1</v>
      </c>
      <c r="Z247" s="180">
        <v>9</v>
      </c>
      <c r="AA247" s="120" t="s">
        <v>7373</v>
      </c>
      <c r="AB247" s="250" t="str">
        <f t="array" ref="AB247">INDEX(B:B,SMALL(IF($Q$3:$Q$517&lt;&gt;"",ROW($3:$517),518),ROW(B246)))&amp;""</f>
        <v>回生术</v>
      </c>
      <c r="AC247" s="394" t="str">
        <f>IFERROR(IF(AND($Q248&lt;&gt;"",IF(法术查询!$J$4="",1,INDEX($R248:$Z248,1,VLOOKUP(法术查询!$J$4,$AF$2:$AG$10,2,0)))&lt;&gt;"",IF(法术查询!$J$5="",1,$P248=VLOOKUP(法术查询!$J$5,$AH$2:$AI$11,2,0)),IF(法术查询!$J$6="",1,IF(法术查询!$J$6=$E248,1,0)),IF(法术查询!$J$7="",1,SEARCH(法术查询!$J$7,$F248)),IF(法术查询!$J$8="",1,SEARCH(法术查询!$J$8,G248)),IF(法术查询!$J$9="",1,SEARCH(法术查询!$J$9,N248)),IF(法术查询!$J$10="",1,IF(法术查询!$J$10=$AF$11,IF($M248=1,1,0),IF($M248="",1,0))),IF(法术查询!$J$11="",1,IF(法术查询!$J$11=$AF$11,IF($D248=1,1,0),IF($D248="",1,0))),IF(法术查询!$J$12="",1,SEARCH(法术查询!$J$12,$B248&amp;$C248&amp;$O248)),IF(法术查询!$J$13="",1,SEARCH(法术查询!$J$13,$B248&amp;$C248&amp;$O248)),IF(法术查询!$J$14="",1,SEARCH(法术查询!$J$14,$B248&amp;$C248&amp;$O248)),IF(法术查询!$J$16="",1,IF(法术查询!$J$16=$AF$11,IF($H248=1,1,0),IF($H248="",1,0))),IF(法术查询!$J$17="",1,IF(法术查询!$J$17=$AF$11,IF($I248=1,1,0),IF($I248="",1,0))),IF(法术查询!$J$18="",1,IF(法术查询!$J$18=$AF$11,IF($J248&lt;&gt;"",1,0),IF($J248="",1,0))),IF(法术查询!$J$19="",1,IF(法术查询!$J$19=$AF$11,IF($L248&lt;&gt;"",1,0),IF($L248="",1,0)))),$B248,""),"")</f>
        <v/>
      </c>
      <c r="AD247" s="180" t="str">
        <f t="array" ref="AD247">INDEX(AC:AC,SMALL(IF($AC$2:$AC$516&lt;&gt;"",ROW($2:$516),517),ROW(AC246)))&amp;""</f>
        <v/>
      </c>
      <c r="AE247" s="198" t="str">
        <f t="shared" si="7"/>
        <v/>
      </c>
      <c r="AJ247" s="250">
        <v>246</v>
      </c>
      <c r="AK247" s="119" t="str">
        <f>IF(法术书!AH53="","",法术书!AH53)</f>
        <v/>
      </c>
      <c r="AL247" s="119" t="str">
        <f t="array" ref="AL247">IFERROR(INDEX(AK$1:AK$301,SMALL(IF(MATCH(AK247,AK$1:AK$301,0)=ROW(AK247),ROW(AK$1:AK$301),999),ROW(AK247))),"")</f>
        <v/>
      </c>
      <c r="AM247" s="120" t="str">
        <f t="array" ref="AM247">INDEX(AL:AL,SMALL(IF($AL$2:$AL$301&lt;&gt;"",ROW($2:$301),302),ROW(AL246)))&amp;""</f>
        <v/>
      </c>
    </row>
    <row r="248" spans="1:39" ht="14.4" customHeight="1" x14ac:dyDescent="0.25">
      <c r="A248" s="250">
        <v>246</v>
      </c>
      <c r="B248" s="119" t="s">
        <v>7374</v>
      </c>
      <c r="C248" s="119" t="s">
        <v>7375</v>
      </c>
      <c r="E248" s="440" t="s">
        <v>6290</v>
      </c>
      <c r="F248" s="180" t="s">
        <v>6282</v>
      </c>
      <c r="G248" s="180" t="s">
        <v>3682</v>
      </c>
      <c r="H248" s="180">
        <v>1</v>
      </c>
      <c r="I248" s="180">
        <v>1</v>
      </c>
      <c r="N248" s="180" t="s">
        <v>6284</v>
      </c>
      <c r="O248" s="119" t="s">
        <v>7376</v>
      </c>
      <c r="P248" s="119">
        <v>3</v>
      </c>
      <c r="Q248" s="119" t="s">
        <v>242</v>
      </c>
      <c r="S248" s="180">
        <v>1</v>
      </c>
      <c r="U248" s="180">
        <v>1</v>
      </c>
      <c r="X248" s="180">
        <v>1</v>
      </c>
      <c r="Y248" s="180">
        <v>1</v>
      </c>
      <c r="AA248" s="198"/>
      <c r="AB248" s="250" t="str">
        <f t="array" ref="AB248">INDEX(B:B,SMALL(IF($Q$3:$Q$517&lt;&gt;"",ROW($3:$517),518),ROW(B247)))&amp;""</f>
        <v>短讯术</v>
      </c>
      <c r="AC248" s="394" t="str">
        <f>IFERROR(IF(AND($Q249&lt;&gt;"",IF(法术查询!$J$4="",1,INDEX($R249:$Z249,1,VLOOKUP(法术查询!$J$4,$AF$2:$AG$10,2,0)))&lt;&gt;"",IF(法术查询!$J$5="",1,$P249=VLOOKUP(法术查询!$J$5,$AH$2:$AI$11,2,0)),IF(法术查询!$J$6="",1,IF(法术查询!$J$6=$E249,1,0)),IF(法术查询!$J$7="",1,SEARCH(法术查询!$J$7,$F249)),IF(法术查询!$J$8="",1,SEARCH(法术查询!$J$8,G249)),IF(法术查询!$J$9="",1,SEARCH(法术查询!$J$9,N249)),IF(法术查询!$J$10="",1,IF(法术查询!$J$10=$AF$11,IF($M249=1,1,0),IF($M249="",1,0))),IF(法术查询!$J$11="",1,IF(法术查询!$J$11=$AF$11,IF($D249=1,1,0),IF($D249="",1,0))),IF(法术查询!$J$12="",1,SEARCH(法术查询!$J$12,$B249&amp;$C249&amp;$O249)),IF(法术查询!$J$13="",1,SEARCH(法术查询!$J$13,$B249&amp;$C249&amp;$O249)),IF(法术查询!$J$14="",1,SEARCH(法术查询!$J$14,$B249&amp;$C249&amp;$O249)),IF(法术查询!$J$16="",1,IF(法术查询!$J$16=$AF$11,IF($H249=1,1,0),IF($H249="",1,0))),IF(法术查询!$J$17="",1,IF(法术查询!$J$17=$AF$11,IF($I249=1,1,0),IF($I249="",1,0))),IF(法术查询!$J$18="",1,IF(法术查询!$J$18=$AF$11,IF($J249&lt;&gt;"",1,0),IF($J249="",1,0))),IF(法术查询!$J$19="",1,IF(法术查询!$J$19=$AF$11,IF($L249&lt;&gt;"",1,0),IF($L249="",1,0)))),$B249,""),"")</f>
        <v/>
      </c>
      <c r="AD248" s="180" t="str">
        <f t="array" ref="AD248">INDEX(AC:AC,SMALL(IF($AC$2:$AC$516&lt;&gt;"",ROW($2:$516),517),ROW(AC247)))&amp;""</f>
        <v/>
      </c>
      <c r="AE248" s="198" t="str">
        <f t="shared" si="7"/>
        <v/>
      </c>
      <c r="AJ248" s="250">
        <v>247</v>
      </c>
      <c r="AK248" s="119" t="str">
        <f>IF(法术书!AH54="","",法术书!AH54)</f>
        <v/>
      </c>
      <c r="AL248" s="119" t="str">
        <f t="array" ref="AL248">IFERROR(INDEX(AK$1:AK$301,SMALL(IF(MATCH(AK248,AK$1:AK$301,0)=ROW(AK248),ROW(AK$1:AK$301),999),ROW(AK248))),"")</f>
        <v/>
      </c>
      <c r="AM248" s="120" t="str">
        <f t="array" ref="AM248">INDEX(AL:AL,SMALL(IF($AL$2:$AL$301&lt;&gt;"",ROW($2:$301),302),ROW(AL247)))&amp;""</f>
        <v/>
      </c>
    </row>
    <row r="249" spans="1:39" ht="14.4" customHeight="1" x14ac:dyDescent="0.25">
      <c r="A249" s="250">
        <v>247</v>
      </c>
      <c r="B249" s="119" t="s">
        <v>7377</v>
      </c>
      <c r="C249" s="119" t="s">
        <v>7378</v>
      </c>
      <c r="E249" s="441" t="s">
        <v>6297</v>
      </c>
      <c r="F249" s="180" t="s">
        <v>6282</v>
      </c>
      <c r="G249" s="180" t="s">
        <v>3682</v>
      </c>
      <c r="H249" s="180">
        <v>1</v>
      </c>
      <c r="I249" s="180">
        <v>1</v>
      </c>
      <c r="J249" s="180">
        <v>1</v>
      </c>
      <c r="L249" s="119" t="s">
        <v>7379</v>
      </c>
      <c r="N249" s="180" t="s">
        <v>6284</v>
      </c>
      <c r="O249" s="119" t="s">
        <v>7380</v>
      </c>
      <c r="P249" s="119">
        <v>3</v>
      </c>
      <c r="Q249" s="119" t="s">
        <v>242</v>
      </c>
      <c r="S249" s="180">
        <v>1</v>
      </c>
      <c r="T249" s="180" t="str">
        <f>IF(综合数据!$B$14=TRUE,"13","")</f>
        <v>13</v>
      </c>
      <c r="U249" s="180">
        <v>1</v>
      </c>
      <c r="V249" s="180" t="str">
        <f>IF(综合数据!$B$14=TRUE,"13","")</f>
        <v>13</v>
      </c>
      <c r="Z249" s="180">
        <v>9</v>
      </c>
      <c r="AA249" s="120" t="s">
        <v>7381</v>
      </c>
      <c r="AB249" s="250" t="str">
        <f t="array" ref="AB249">INDEX(B:B,SMALL(IF($Q$3:$Q$517&lt;&gt;"",ROW($3:$517),518),ROW(B248)))&amp;""</f>
        <v>雪雨暴</v>
      </c>
      <c r="AC249" s="394" t="str">
        <f>IFERROR(IF(AND($Q250&lt;&gt;"",IF(法术查询!$J$4="",1,INDEX($R250:$Z250,1,VLOOKUP(法术查询!$J$4,$AF$2:$AG$10,2,0)))&lt;&gt;"",IF(法术查询!$J$5="",1,$P250=VLOOKUP(法术查询!$J$5,$AH$2:$AI$11,2,0)),IF(法术查询!$J$6="",1,IF(法术查询!$J$6=$E250,1,0)),IF(法术查询!$J$7="",1,SEARCH(法术查询!$J$7,$F250)),IF(法术查询!$J$8="",1,SEARCH(法术查询!$J$8,G250)),IF(法术查询!$J$9="",1,SEARCH(法术查询!$J$9,N250)),IF(法术查询!$J$10="",1,IF(法术查询!$J$10=$AF$11,IF($M250=1,1,0),IF($M250="",1,0))),IF(法术查询!$J$11="",1,IF(法术查询!$J$11=$AF$11,IF($D250=1,1,0),IF($D250="",1,0))),IF(法术查询!$J$12="",1,SEARCH(法术查询!$J$12,$B250&amp;$C250&amp;$O250)),IF(法术查询!$J$13="",1,SEARCH(法术查询!$J$13,$B250&amp;$C250&amp;$O250)),IF(法术查询!$J$14="",1,SEARCH(法术查询!$J$14,$B250&amp;$C250&amp;$O250)),IF(法术查询!$J$16="",1,IF(法术查询!$J$16=$AF$11,IF($H250=1,1,0),IF($H250="",1,0))),IF(法术查询!$J$17="",1,IF(法术查询!$J$17=$AF$11,IF($I250=1,1,0),IF($I250="",1,0))),IF(法术查询!$J$18="",1,IF(法术查询!$J$18=$AF$11,IF($J250&lt;&gt;"",1,0),IF($J250="",1,0))),IF(法术查询!$J$19="",1,IF(法术查询!$J$19=$AF$11,IF($L250&lt;&gt;"",1,0),IF($L250="",1,0)))),$B250,""),"")</f>
        <v/>
      </c>
      <c r="AD249" s="180" t="str">
        <f t="array" ref="AD249">INDEX(AC:AC,SMALL(IF($AC$2:$AC$516&lt;&gt;"",ROW($2:$516),517),ROW(AC248)))&amp;""</f>
        <v/>
      </c>
      <c r="AE249" s="198" t="str">
        <f t="shared" si="7"/>
        <v/>
      </c>
      <c r="AJ249" s="250">
        <v>248</v>
      </c>
      <c r="AK249" s="119" t="str">
        <f>IF(法术书!AH55="","",法术书!AH55)</f>
        <v/>
      </c>
      <c r="AL249" s="119" t="str">
        <f t="array" ref="AL249">IFERROR(INDEX(AK$1:AK$301,SMALL(IF(MATCH(AK249,AK$1:AK$301,0)=ROW(AK249),ROW(AK$1:AK$301),999),ROW(AK249))),"")</f>
        <v/>
      </c>
      <c r="AM249" s="120" t="str">
        <f t="array" ref="AM249">INDEX(AL:AL,SMALL(IF($AL$2:$AL$301&lt;&gt;"",ROW($2:$301),302),ROW(AL248)))&amp;""</f>
        <v/>
      </c>
    </row>
    <row r="250" spans="1:39" ht="14.4" customHeight="1" x14ac:dyDescent="0.25">
      <c r="A250" s="250">
        <v>248</v>
      </c>
      <c r="B250" s="119" t="s">
        <v>7382</v>
      </c>
      <c r="C250" s="119" t="s">
        <v>7383</v>
      </c>
      <c r="E250" s="434" t="s">
        <v>6304</v>
      </c>
      <c r="F250" s="180" t="s">
        <v>6282</v>
      </c>
      <c r="G250" s="180" t="s">
        <v>6466</v>
      </c>
      <c r="H250" s="180">
        <v>1</v>
      </c>
      <c r="I250" s="180">
        <v>1</v>
      </c>
      <c r="J250" s="180">
        <v>1</v>
      </c>
      <c r="K250" s="119" t="s">
        <v>7384</v>
      </c>
      <c r="N250" s="180" t="s">
        <v>6292</v>
      </c>
      <c r="O250" s="119" t="s">
        <v>7385</v>
      </c>
      <c r="P250" s="119">
        <v>3</v>
      </c>
      <c r="Q250" s="119" t="s">
        <v>242</v>
      </c>
      <c r="R250" s="180">
        <v>1</v>
      </c>
      <c r="S250" s="180">
        <v>1</v>
      </c>
      <c r="X250" s="180">
        <v>1</v>
      </c>
      <c r="AA250" s="120" t="s">
        <v>7386</v>
      </c>
      <c r="AB250" s="250" t="str">
        <f t="array" ref="AB250">INDEX(B:B,SMALL(IF($Q$3:$Q$517&lt;&gt;"",ROW($3:$517),518),ROW(B249)))&amp;""</f>
        <v>缓慢术</v>
      </c>
      <c r="AC250" s="394" t="str">
        <f>IFERROR(IF(AND($Q251&lt;&gt;"",IF(法术查询!$J$4="",1,INDEX($R251:$Z251,1,VLOOKUP(法术查询!$J$4,$AF$2:$AG$10,2,0)))&lt;&gt;"",IF(法术查询!$J$5="",1,$P251=VLOOKUP(法术查询!$J$5,$AH$2:$AI$11,2,0)),IF(法术查询!$J$6="",1,IF(法术查询!$J$6=$E251,1,0)),IF(法术查询!$J$7="",1,SEARCH(法术查询!$J$7,$F251)),IF(法术查询!$J$8="",1,SEARCH(法术查询!$J$8,G251)),IF(法术查询!$J$9="",1,SEARCH(法术查询!$J$9,N251)),IF(法术查询!$J$10="",1,IF(法术查询!$J$10=$AF$11,IF($M251=1,1,0),IF($M251="",1,0))),IF(法术查询!$J$11="",1,IF(法术查询!$J$11=$AF$11,IF($D251=1,1,0),IF($D251="",1,0))),IF(法术查询!$J$12="",1,SEARCH(法术查询!$J$12,$B251&amp;$C251&amp;$O251)),IF(法术查询!$J$13="",1,SEARCH(法术查询!$J$13,$B251&amp;$C251&amp;$O251)),IF(法术查询!$J$14="",1,SEARCH(法术查询!$J$14,$B251&amp;$C251&amp;$O251)),IF(法术查询!$J$16="",1,IF(法术查询!$J$16=$AF$11,IF($H251=1,1,0),IF($H251="",1,0))),IF(法术查询!$J$17="",1,IF(法术查询!$J$17=$AF$11,IF($I251=1,1,0),IF($I251="",1,0))),IF(法术查询!$J$18="",1,IF(法术查询!$J$18=$AF$11,IF($J251&lt;&gt;"",1,0),IF($J251="",1,0))),IF(法术查询!$J$19="",1,IF(法术查询!$J$19=$AF$11,IF($L251&lt;&gt;"",1,0),IF($L251="",1,0)))),$B251,""),"")</f>
        <v/>
      </c>
      <c r="AD250" s="180" t="str">
        <f t="array" ref="AD250">INDEX(AC:AC,SMALL(IF($AC$2:$AC$516&lt;&gt;"",ROW($2:$516),517),ROW(AC249)))&amp;""</f>
        <v/>
      </c>
      <c r="AE250" s="198" t="str">
        <f t="shared" si="7"/>
        <v/>
      </c>
      <c r="AJ250" s="250">
        <v>249</v>
      </c>
      <c r="AK250" s="119" t="str">
        <f>IF(法术书!AH56="","",法术书!AH56)</f>
        <v/>
      </c>
      <c r="AL250" s="119" t="str">
        <f t="array" ref="AL250">IFERROR(INDEX(AK$1:AK$301,SMALL(IF(MATCH(AK250,AK$1:AK$301,0)=ROW(AK250),ROW(AK$1:AK$301),999),ROW(AK250))),"")</f>
        <v/>
      </c>
      <c r="AM250" s="120" t="str">
        <f t="array" ref="AM250">INDEX(AL:AL,SMALL(IF($AL$2:$AL$301&lt;&gt;"",ROW($2:$301),302),ROW(AL249)))&amp;""</f>
        <v/>
      </c>
    </row>
    <row r="251" spans="1:39" ht="14.4" customHeight="1" x14ac:dyDescent="0.25">
      <c r="A251" s="250">
        <v>249</v>
      </c>
      <c r="B251" s="119" t="s">
        <v>7387</v>
      </c>
      <c r="C251" s="119" t="s">
        <v>7388</v>
      </c>
      <c r="E251" s="378" t="s">
        <v>6281</v>
      </c>
      <c r="F251" s="180" t="s">
        <v>6282</v>
      </c>
      <c r="G251" s="180" t="s">
        <v>6419</v>
      </c>
      <c r="H251" s="180">
        <v>1</v>
      </c>
      <c r="I251" s="180">
        <v>1</v>
      </c>
      <c r="J251" s="180">
        <v>1</v>
      </c>
      <c r="K251" s="119" t="s">
        <v>7389</v>
      </c>
      <c r="M251" s="180">
        <v>1</v>
      </c>
      <c r="N251" s="180" t="s">
        <v>6306</v>
      </c>
      <c r="O251" s="119" t="s">
        <v>7390</v>
      </c>
      <c r="P251" s="119">
        <v>3</v>
      </c>
      <c r="Q251" s="119" t="s">
        <v>242</v>
      </c>
      <c r="T251" s="180">
        <v>1</v>
      </c>
      <c r="W251" s="180">
        <v>1</v>
      </c>
      <c r="X251" s="180">
        <v>1</v>
      </c>
      <c r="AA251" s="120" t="s">
        <v>7391</v>
      </c>
      <c r="AB251" s="250" t="str">
        <f t="array" ref="AB251">INDEX(B:B,SMALL(IF($Q$3:$Q$517&lt;&gt;"",ROW($3:$517),518),ROW(B250)))&amp;""</f>
        <v>死者交谈</v>
      </c>
      <c r="AC251" s="394" t="str">
        <f>IFERROR(IF(AND($Q252&lt;&gt;"",IF(法术查询!$J$4="",1,INDEX($R252:$Z252,1,VLOOKUP(法术查询!$J$4,$AF$2:$AG$10,2,0)))&lt;&gt;"",IF(法术查询!$J$5="",1,$P252=VLOOKUP(法术查询!$J$5,$AH$2:$AI$11,2,0)),IF(法术查询!$J$6="",1,IF(法术查询!$J$6=$E252,1,0)),IF(法术查询!$J$7="",1,SEARCH(法术查询!$J$7,$F252)),IF(法术查询!$J$8="",1,SEARCH(法术查询!$J$8,G252)),IF(法术查询!$J$9="",1,SEARCH(法术查询!$J$9,N252)),IF(法术查询!$J$10="",1,IF(法术查询!$J$10=$AF$11,IF($M252=1,1,0),IF($M252="",1,0))),IF(法术查询!$J$11="",1,IF(法术查询!$J$11=$AF$11,IF($D252=1,1,0),IF($D252="",1,0))),IF(法术查询!$J$12="",1,SEARCH(法术查询!$J$12,$B252&amp;$C252&amp;$O252)),IF(法术查询!$J$13="",1,SEARCH(法术查询!$J$13,$B252&amp;$C252&amp;$O252)),IF(法术查询!$J$14="",1,SEARCH(法术查询!$J$14,$B252&amp;$C252&amp;$O252)),IF(法术查询!$J$16="",1,IF(法术查询!$J$16=$AF$11,IF($H252=1,1,0),IF($H252="",1,0))),IF(法术查询!$J$17="",1,IF(法术查询!$J$17=$AF$11,IF($I252=1,1,0),IF($I252="",1,0))),IF(法术查询!$J$18="",1,IF(法术查询!$J$18=$AF$11,IF($J252&lt;&gt;"",1,0),IF($J252="",1,0))),IF(法术查询!$J$19="",1,IF(法术查询!$J$19=$AF$11,IF($L252&lt;&gt;"",1,0),IF($L252="",1,0)))),$B252,""),"")</f>
        <v/>
      </c>
      <c r="AD251" s="180" t="str">
        <f t="array" ref="AD251">INDEX(AC:AC,SMALL(IF($AC$2:$AC$516&lt;&gt;"",ROW($2:$516),517),ROW(AC250)))&amp;""</f>
        <v/>
      </c>
      <c r="AE251" s="198" t="str">
        <f t="shared" si="7"/>
        <v/>
      </c>
      <c r="AJ251" s="250">
        <v>250</v>
      </c>
      <c r="AK251" s="119" t="str">
        <f>IF(法术书!AH57="","",法术书!AH57)</f>
        <v/>
      </c>
      <c r="AL251" s="119" t="str">
        <f t="array" ref="AL251">IFERROR(INDEX(AK$1:AK$301,SMALL(IF(MATCH(AK251,AK$1:AK$301,0)=ROW(AK251),ROW(AK$1:AK$301),999),ROW(AK251))),"")</f>
        <v/>
      </c>
      <c r="AM251" s="120" t="str">
        <f t="array" ref="AM251">INDEX(AL:AL,SMALL(IF($AL$2:$AL$301&lt;&gt;"",ROW($2:$301),302),ROW(AL250)))&amp;""</f>
        <v/>
      </c>
    </row>
    <row r="252" spans="1:39" ht="14.4" customHeight="1" x14ac:dyDescent="0.25">
      <c r="A252" s="250">
        <v>250</v>
      </c>
      <c r="B252" s="119" t="s">
        <v>7392</v>
      </c>
      <c r="C252" s="119" t="s">
        <v>7393</v>
      </c>
      <c r="E252" s="435" t="s">
        <v>6312</v>
      </c>
      <c r="F252" s="180" t="s">
        <v>6282</v>
      </c>
      <c r="G252" s="180" t="s">
        <v>6298</v>
      </c>
      <c r="H252" s="180">
        <v>1</v>
      </c>
      <c r="I252" s="180">
        <v>1</v>
      </c>
      <c r="J252" s="180">
        <v>1</v>
      </c>
      <c r="K252" s="119" t="s">
        <v>7394</v>
      </c>
      <c r="M252" s="180">
        <v>1</v>
      </c>
      <c r="N252" s="180" t="s">
        <v>6306</v>
      </c>
      <c r="O252" s="119" t="s">
        <v>7395</v>
      </c>
      <c r="P252" s="119">
        <v>3</v>
      </c>
      <c r="Q252" s="119" t="s">
        <v>242</v>
      </c>
      <c r="R252" s="180" t="str">
        <f>IF(综合数据!$B$14=TRUE,"13","")</f>
        <v>13</v>
      </c>
      <c r="W252" s="180">
        <v>1</v>
      </c>
      <c r="X252" s="180">
        <v>1</v>
      </c>
      <c r="AA252" s="120" t="s">
        <v>7396</v>
      </c>
      <c r="AB252" s="250" t="str">
        <f t="array" ref="AB252">INDEX(B:B,SMALL(IF($Q$3:$Q$517&lt;&gt;"",ROW($3:$517),518),ROW(B251)))&amp;""</f>
        <v>植物交谈</v>
      </c>
      <c r="AC252" s="394" t="str">
        <f>IFERROR(IF(AND($Q253&lt;&gt;"",IF(法术查询!$J$4="",1,INDEX($R253:$Z253,1,VLOOKUP(法术查询!$J$4,$AF$2:$AG$10,2,0)))&lt;&gt;"",IF(法术查询!$J$5="",1,$P253=VLOOKUP(法术查询!$J$5,$AH$2:$AI$11,2,0)),IF(法术查询!$J$6="",1,IF(法术查询!$J$6=$E253,1,0)),IF(法术查询!$J$7="",1,SEARCH(法术查询!$J$7,$F253)),IF(法术查询!$J$8="",1,SEARCH(法术查询!$J$8,G253)),IF(法术查询!$J$9="",1,SEARCH(法术查询!$J$9,N253)),IF(法术查询!$J$10="",1,IF(法术查询!$J$10=$AF$11,IF($M253=1,1,0),IF($M253="",1,0))),IF(法术查询!$J$11="",1,IF(法术查询!$J$11=$AF$11,IF($D253=1,1,0),IF($D253="",1,0))),IF(法术查询!$J$12="",1,SEARCH(法术查询!$J$12,$B253&amp;$C253&amp;$O253)),IF(法术查询!$J$13="",1,SEARCH(法术查询!$J$13,$B253&amp;$C253&amp;$O253)),IF(法术查询!$J$14="",1,SEARCH(法术查询!$J$14,$B253&amp;$C253&amp;$O253)),IF(法术查询!$J$16="",1,IF(法术查询!$J$16=$AF$11,IF($H253=1,1,0),IF($H253="",1,0))),IF(法术查询!$J$17="",1,IF(法术查询!$J$17=$AF$11,IF($I253=1,1,0),IF($I253="",1,0))),IF(法术查询!$J$18="",1,IF(法术查询!$J$18=$AF$11,IF($J253&lt;&gt;"",1,0),IF($J253="",1,0))),IF(法术查询!$J$19="",1,IF(法术查询!$J$19=$AF$11,IF($L253&lt;&gt;"",1,0),IF($L253="",1,0)))),$B253,""),"")</f>
        <v/>
      </c>
      <c r="AD252" s="180" t="str">
        <f t="array" ref="AD252">INDEX(AC:AC,SMALL(IF($AC$2:$AC$516&lt;&gt;"",ROW($2:$516),517),ROW(AC251)))&amp;""</f>
        <v/>
      </c>
      <c r="AE252" s="198" t="str">
        <f t="shared" si="7"/>
        <v/>
      </c>
      <c r="AJ252" s="250">
        <v>251</v>
      </c>
      <c r="AK252" s="180" t="str">
        <f>IF(法术书!AK8="","",法术书!AK8)</f>
        <v/>
      </c>
      <c r="AL252" s="119" t="str">
        <f t="array" ref="AL252">IFERROR(INDEX(AK$1:AK$301,SMALL(IF(MATCH(AK252,AK$1:AK$301,0)=ROW(AK252),ROW(AK$1:AK$301),999),ROW(AK252))),"")</f>
        <v/>
      </c>
      <c r="AM252" s="120" t="str">
        <f t="array" ref="AM252">INDEX(AL:AL,SMALL(IF($AL$2:$AL$301&lt;&gt;"",ROW($2:$301),302),ROW(AL251)))&amp;""</f>
        <v/>
      </c>
    </row>
    <row r="253" spans="1:39" ht="14.4" customHeight="1" x14ac:dyDescent="0.25">
      <c r="A253" s="250">
        <v>251</v>
      </c>
      <c r="B253" s="119" t="s">
        <v>7397</v>
      </c>
      <c r="C253" s="119" t="s">
        <v>7398</v>
      </c>
      <c r="E253" s="441" t="s">
        <v>6297</v>
      </c>
      <c r="F253" s="180" t="s">
        <v>6282</v>
      </c>
      <c r="G253" s="180" t="s">
        <v>6370</v>
      </c>
      <c r="H253" s="180">
        <v>1</v>
      </c>
      <c r="I253" s="180">
        <v>1</v>
      </c>
      <c r="J253" s="180">
        <v>1</v>
      </c>
      <c r="K253" s="119" t="s">
        <v>7399</v>
      </c>
      <c r="N253" s="180" t="s">
        <v>6371</v>
      </c>
      <c r="O253" s="119" t="s">
        <v>7400</v>
      </c>
      <c r="P253" s="119">
        <v>3</v>
      </c>
      <c r="Q253" s="119" t="s">
        <v>242</v>
      </c>
      <c r="R253" s="180">
        <v>1</v>
      </c>
      <c r="S253" s="180">
        <v>1</v>
      </c>
      <c r="X253" s="180" t="str">
        <f>IF(综合数据!$B$14=TRUE,"13","")</f>
        <v>13</v>
      </c>
      <c r="AA253" s="120" t="s">
        <v>7401</v>
      </c>
      <c r="AB253" s="250" t="str">
        <f t="array" ref="AB253">INDEX(B:B,SMALL(IF($Q$3:$Q$517&lt;&gt;"",ROW($3:$517),518),ROW(B252)))&amp;""</f>
        <v>灵体卫士</v>
      </c>
      <c r="AC253" s="394" t="str">
        <f>IFERROR(IF(AND($Q254&lt;&gt;"",IF(法术查询!$J$4="",1,INDEX($R254:$Z254,1,VLOOKUP(法术查询!$J$4,$AF$2:$AG$10,2,0)))&lt;&gt;"",IF(法术查询!$J$5="",1,$P254=VLOOKUP(法术查询!$J$5,$AH$2:$AI$11,2,0)),IF(法术查询!$J$6="",1,IF(法术查询!$J$6=$E254,1,0)),IF(法术查询!$J$7="",1,SEARCH(法术查询!$J$7,$F254)),IF(法术查询!$J$8="",1,SEARCH(法术查询!$J$8,G254)),IF(法术查询!$J$9="",1,SEARCH(法术查询!$J$9,N254)),IF(法术查询!$J$10="",1,IF(法术查询!$J$10=$AF$11,IF($M254=1,1,0),IF($M254="",1,0))),IF(法术查询!$J$11="",1,IF(法术查询!$J$11=$AF$11,IF($D254=1,1,0),IF($D254="",1,0))),IF(法术查询!$J$12="",1,SEARCH(法术查询!$J$12,$B254&amp;$C254&amp;$O254)),IF(法术查询!$J$13="",1,SEARCH(法术查询!$J$13,$B254&amp;$C254&amp;$O254)),IF(法术查询!$J$14="",1,SEARCH(法术查询!$J$14,$B254&amp;$C254&amp;$O254)),IF(法术查询!$J$16="",1,IF(法术查询!$J$16=$AF$11,IF($H254=1,1,0),IF($H254="",1,0))),IF(法术查询!$J$17="",1,IF(法术查询!$J$17=$AF$11,IF($I254=1,1,0),IF($I254="",1,0))),IF(法术查询!$J$18="",1,IF(法术查询!$J$18=$AF$11,IF($J254&lt;&gt;"",1,0),IF($J254="",1,0))),IF(法术查询!$J$19="",1,IF(法术查询!$J$19=$AF$11,IF($L254&lt;&gt;"",1,0),IF($L254="",1,0)))),$B254,""),"")</f>
        <v/>
      </c>
      <c r="AD253" s="180" t="str">
        <f t="array" ref="AD253">INDEX(AC:AC,SMALL(IF($AC$2:$AC$516&lt;&gt;"",ROW($2:$516),517),ROW(AC252)))&amp;""</f>
        <v/>
      </c>
      <c r="AE253" s="198" t="str">
        <f t="shared" si="7"/>
        <v/>
      </c>
      <c r="AJ253" s="250">
        <v>252</v>
      </c>
      <c r="AK253" s="180" t="str">
        <f>IF(法术书!AK9="","",法术书!AK9)</f>
        <v/>
      </c>
      <c r="AL253" s="119" t="str">
        <f t="array" ref="AL253">IFERROR(INDEX(AK$1:AK$301,SMALL(IF(MATCH(AK253,AK$1:AK$301,0)=ROW(AK253),ROW(AK$1:AK$301),999),ROW(AK253))),"")</f>
        <v/>
      </c>
      <c r="AM253" s="120" t="str">
        <f t="array" ref="AM253">INDEX(AL:AL,SMALL(IF($AL$2:$AL$301&lt;&gt;"",ROW($2:$301),302),ROW(AL252)))&amp;""</f>
        <v/>
      </c>
    </row>
    <row r="254" spans="1:39" ht="14.4" customHeight="1" x14ac:dyDescent="0.25">
      <c r="A254" s="250">
        <v>252</v>
      </c>
      <c r="B254" s="119" t="s">
        <v>7402</v>
      </c>
      <c r="C254" s="119" t="s">
        <v>7403</v>
      </c>
      <c r="E254" s="435" t="s">
        <v>6312</v>
      </c>
      <c r="F254" s="180" t="s">
        <v>6282</v>
      </c>
      <c r="G254" s="180" t="s">
        <v>6507</v>
      </c>
      <c r="H254" s="180">
        <v>1</v>
      </c>
      <c r="I254" s="180">
        <v>1</v>
      </c>
      <c r="N254" s="180" t="s">
        <v>6371</v>
      </c>
      <c r="O254" s="119" t="s">
        <v>7404</v>
      </c>
      <c r="P254" s="119">
        <v>3</v>
      </c>
      <c r="Q254" s="119" t="s">
        <v>242</v>
      </c>
      <c r="R254" s="180">
        <v>1</v>
      </c>
      <c r="T254" s="180">
        <v>1</v>
      </c>
      <c r="V254" s="180">
        <v>1</v>
      </c>
      <c r="AA254" s="120" t="s">
        <v>7405</v>
      </c>
      <c r="AB254" s="250" t="str">
        <f t="array" ref="AB254">INDEX(B:B,SMALL(IF($Q$3:$Q$517&lt;&gt;"",ROW($3:$517),518),ROW(B253)))&amp;""</f>
        <v>臭云术</v>
      </c>
      <c r="AC254" s="394" t="str">
        <f>IFERROR(IF(AND($Q255&lt;&gt;"",IF(法术查询!$J$4="",1,INDEX($R255:$Z255,1,VLOOKUP(法术查询!$J$4,$AF$2:$AG$10,2,0)))&lt;&gt;"",IF(法术查询!$J$5="",1,$P255=VLOOKUP(法术查询!$J$5,$AH$2:$AI$11,2,0)),IF(法术查询!$J$6="",1,IF(法术查询!$J$6=$E255,1,0)),IF(法术查询!$J$7="",1,SEARCH(法术查询!$J$7,$F255)),IF(法术查询!$J$8="",1,SEARCH(法术查询!$J$8,G255)),IF(法术查询!$J$9="",1,SEARCH(法术查询!$J$9,N255)),IF(法术查询!$J$10="",1,IF(法术查询!$J$10=$AF$11,IF($M255=1,1,0),IF($M255="",1,0))),IF(法术查询!$J$11="",1,IF(法术查询!$J$11=$AF$11,IF($D255=1,1,0),IF($D255="",1,0))),IF(法术查询!$J$12="",1,SEARCH(法术查询!$J$12,$B255&amp;$C255&amp;$O255)),IF(法术查询!$J$13="",1,SEARCH(法术查询!$J$13,$B255&amp;$C255&amp;$O255)),IF(法术查询!$J$14="",1,SEARCH(法术查询!$J$14,$B255&amp;$C255&amp;$O255)),IF(法术查询!$J$16="",1,IF(法术查询!$J$16=$AF$11,IF($H255=1,1,0),IF($H255="",1,0))),IF(法术查询!$J$17="",1,IF(法术查询!$J$17=$AF$11,IF($I255=1,1,0),IF($I255="",1,0))),IF(法术查询!$J$18="",1,IF(法术查询!$J$18=$AF$11,IF($J255&lt;&gt;"",1,0),IF($J255="",1,0))),IF(法术查询!$J$19="",1,IF(法术查询!$J$19=$AF$11,IF($L255&lt;&gt;"",1,0),IF($L255="",1,0)))),$B255,""),"")</f>
        <v/>
      </c>
      <c r="AD254" s="180" t="str">
        <f t="array" ref="AD254">INDEX(AC:AC,SMALL(IF($AC$2:$AC$516&lt;&gt;"",ROW($2:$516),517),ROW(AC253)))&amp;""</f>
        <v/>
      </c>
      <c r="AE254" s="198" t="str">
        <f t="shared" si="7"/>
        <v/>
      </c>
      <c r="AJ254" s="250">
        <v>253</v>
      </c>
      <c r="AK254" s="180" t="str">
        <f>IF(法术书!AK10="","",法术书!AK10)</f>
        <v/>
      </c>
      <c r="AL254" s="119" t="str">
        <f t="array" ref="AL254">IFERROR(INDEX(AK$1:AK$301,SMALL(IF(MATCH(AK254,AK$1:AK$301,0)=ROW(AK254),ROW(AK$1:AK$301),999),ROW(AK254))),"")</f>
        <v/>
      </c>
      <c r="AM254" s="120" t="str">
        <f t="array" ref="AM254">INDEX(AL:AL,SMALL(IF($AL$2:$AL$301&lt;&gt;"",ROW($2:$301),302),ROW(AL253)))&amp;""</f>
        <v/>
      </c>
    </row>
    <row r="255" spans="1:39" ht="14.4" customHeight="1" x14ac:dyDescent="0.25">
      <c r="A255" s="250">
        <v>253</v>
      </c>
      <c r="B255" s="119" t="s">
        <v>7406</v>
      </c>
      <c r="C255" s="119" t="s">
        <v>7407</v>
      </c>
      <c r="E255" s="378" t="s">
        <v>6281</v>
      </c>
      <c r="F255" s="180" t="s">
        <v>6282</v>
      </c>
      <c r="G255" s="180" t="s">
        <v>6469</v>
      </c>
      <c r="H255" s="180">
        <v>1</v>
      </c>
      <c r="I255" s="180">
        <v>1</v>
      </c>
      <c r="J255" s="180">
        <v>1</v>
      </c>
      <c r="K255" s="119" t="s">
        <v>7408</v>
      </c>
      <c r="M255" s="180">
        <v>1</v>
      </c>
      <c r="N255" s="180" t="s">
        <v>6471</v>
      </c>
      <c r="O255" s="119" t="s">
        <v>7409</v>
      </c>
      <c r="P255" s="119">
        <v>3</v>
      </c>
      <c r="Q255" s="119" t="s">
        <v>242</v>
      </c>
      <c r="S255" s="180">
        <v>1</v>
      </c>
      <c r="AA255" s="120" t="s">
        <v>7410</v>
      </c>
      <c r="AB255" s="250" t="str">
        <f t="array" ref="AB255">INDEX(B:B,SMALL(IF($Q$3:$Q$517&lt;&gt;"",ROW($3:$517),518),ROW(B254)))&amp;""</f>
        <v>巧言术</v>
      </c>
      <c r="AC255" s="394" t="str">
        <f>IFERROR(IF(AND($Q256&lt;&gt;"",IF(法术查询!$J$4="",1,INDEX($R256:$Z256,1,VLOOKUP(法术查询!$J$4,$AF$2:$AG$10,2,0)))&lt;&gt;"",IF(法术查询!$J$5="",1,$P256=VLOOKUP(法术查询!$J$5,$AH$2:$AI$11,2,0)),IF(法术查询!$J$6="",1,IF(法术查询!$J$6=$E256,1,0)),IF(法术查询!$J$7="",1,SEARCH(法术查询!$J$7,$F256)),IF(法术查询!$J$8="",1,SEARCH(法术查询!$J$8,G256)),IF(法术查询!$J$9="",1,SEARCH(法术查询!$J$9,N256)),IF(法术查询!$J$10="",1,IF(法术查询!$J$10=$AF$11,IF($M256=1,1,0),IF($M256="",1,0))),IF(法术查询!$J$11="",1,IF(法术查询!$J$11=$AF$11,IF($D256=1,1,0),IF($D256="",1,0))),IF(法术查询!$J$12="",1,SEARCH(法术查询!$J$12,$B256&amp;$C256&amp;$O256)),IF(法术查询!$J$13="",1,SEARCH(法术查询!$J$13,$B256&amp;$C256&amp;$O256)),IF(法术查询!$J$14="",1,SEARCH(法术查询!$J$14,$B256&amp;$C256&amp;$O256)),IF(法术查询!$J$16="",1,IF(法术查询!$J$16=$AF$11,IF($H256=1,1,0),IF($H256="",1,0))),IF(法术查询!$J$17="",1,IF(法术查询!$J$17=$AF$11,IF($I256=1,1,0),IF($I256="",1,0))),IF(法术查询!$J$18="",1,IF(法术查询!$J$18=$AF$11,IF($J256&lt;&gt;"",1,0),IF($J256="",1,0))),IF(法术查询!$J$19="",1,IF(法术查询!$J$19=$AF$11,IF($L256&lt;&gt;"",1,0),IF($L256="",1,0)))),$B256,""),"")</f>
        <v/>
      </c>
      <c r="AD255" s="180" t="str">
        <f t="array" ref="AD255">INDEX(AC:AC,SMALL(IF($AC$2:$AC$516&lt;&gt;"",ROW($2:$516),517),ROW(AC254)))&amp;""</f>
        <v/>
      </c>
      <c r="AE255" s="198" t="str">
        <f t="shared" si="7"/>
        <v/>
      </c>
      <c r="AJ255" s="250">
        <v>254</v>
      </c>
      <c r="AK255" s="180" t="str">
        <f>IF(法术书!AK11="","",法术书!AK11)</f>
        <v/>
      </c>
      <c r="AL255" s="119" t="str">
        <f t="array" ref="AL255">IFERROR(INDEX(AK$1:AK$301,SMALL(IF(MATCH(AK255,AK$1:AK$301,0)=ROW(AK255),ROW(AK$1:AK$301),999),ROW(AK255))),"")</f>
        <v/>
      </c>
      <c r="AM255" s="120" t="str">
        <f t="array" ref="AM255">INDEX(AL:AL,SMALL(IF($AL$2:$AL$301&lt;&gt;"",ROW($2:$301),302),ROW(AL254)))&amp;""</f>
        <v/>
      </c>
    </row>
    <row r="256" spans="1:39" ht="14.4" customHeight="1" x14ac:dyDescent="0.25">
      <c r="A256" s="250">
        <v>254</v>
      </c>
      <c r="B256" s="119" t="s">
        <v>7411</v>
      </c>
      <c r="C256" s="119" t="s">
        <v>7412</v>
      </c>
      <c r="E256" s="378" t="s">
        <v>6281</v>
      </c>
      <c r="F256" s="180" t="s">
        <v>6282</v>
      </c>
      <c r="G256" s="180" t="s">
        <v>6400</v>
      </c>
      <c r="H256" s="180">
        <v>1</v>
      </c>
      <c r="I256" s="180">
        <v>1</v>
      </c>
      <c r="J256" s="180">
        <v>1</v>
      </c>
      <c r="K256" s="119" t="s">
        <v>7413</v>
      </c>
      <c r="M256" s="180">
        <v>1</v>
      </c>
      <c r="N256" s="180" t="s">
        <v>6306</v>
      </c>
      <c r="O256" s="119" t="s">
        <v>7414</v>
      </c>
      <c r="P256" s="119">
        <v>3</v>
      </c>
      <c r="Q256" s="119" t="s">
        <v>242</v>
      </c>
      <c r="R256" s="180">
        <v>1</v>
      </c>
      <c r="W256" s="180">
        <v>1</v>
      </c>
      <c r="X256" s="180">
        <v>1</v>
      </c>
      <c r="AA256" s="120" t="s">
        <v>7415</v>
      </c>
      <c r="AB256" s="250" t="str">
        <f t="array" ref="AB256">INDEX(B:B,SMALL(IF($Q$3:$Q$517&lt;&gt;"",ROW($3:$517),518),ROW(B255)))&amp;""</f>
        <v>吸血鬼之触</v>
      </c>
      <c r="AC256" s="394" t="str">
        <f>IFERROR(IF(AND($Q257&lt;&gt;"",IF(法术查询!$J$4="",1,INDEX($R257:$Z257,1,VLOOKUP(法术查询!$J$4,$AF$2:$AG$10,2,0)))&lt;&gt;"",IF(法术查询!$J$5="",1,$P257=VLOOKUP(法术查询!$J$5,$AH$2:$AI$11,2,0)),IF(法术查询!$J$6="",1,IF(法术查询!$J$6=$E257,1,0)),IF(法术查询!$J$7="",1,SEARCH(法术查询!$J$7,$F257)),IF(法术查询!$J$8="",1,SEARCH(法术查询!$J$8,G257)),IF(法术查询!$J$9="",1,SEARCH(法术查询!$J$9,N257)),IF(法术查询!$J$10="",1,IF(法术查询!$J$10=$AF$11,IF($M257=1,1,0),IF($M257="",1,0))),IF(法术查询!$J$11="",1,IF(法术查询!$J$11=$AF$11,IF($D257=1,1,0),IF($D257="",1,0))),IF(法术查询!$J$12="",1,SEARCH(法术查询!$J$12,$B257&amp;$C257&amp;$O257)),IF(法术查询!$J$13="",1,SEARCH(法术查询!$J$13,$B257&amp;$C257&amp;$O257)),IF(法术查询!$J$14="",1,SEARCH(法术查询!$J$14,$B257&amp;$C257&amp;$O257)),IF(法术查询!$J$16="",1,IF(法术查询!$J$16=$AF$11,IF($H257=1,1,0),IF($H257="",1,0))),IF(法术查询!$J$17="",1,IF(法术查询!$J$17=$AF$11,IF($I257=1,1,0),IF($I257="",1,0))),IF(法术查询!$J$18="",1,IF(法术查询!$J$18=$AF$11,IF($J257&lt;&gt;"",1,0),IF($J257="",1,0))),IF(法术查询!$J$19="",1,IF(法术查询!$J$19=$AF$11,IF($L257&lt;&gt;"",1,0),IF($L257="",1,0)))),$B257,""),"")</f>
        <v/>
      </c>
      <c r="AD256" s="180" t="str">
        <f t="array" ref="AD256">INDEX(AC:AC,SMALL(IF($AC$2:$AC$516&lt;&gt;"",ROW($2:$516),517),ROW(AC255)))&amp;""</f>
        <v/>
      </c>
      <c r="AE256" s="198" t="str">
        <f t="shared" si="7"/>
        <v/>
      </c>
      <c r="AJ256" s="250">
        <v>255</v>
      </c>
      <c r="AK256" s="180" t="str">
        <f>IF(法术书!AK12="","",法术书!AK12)</f>
        <v/>
      </c>
      <c r="AL256" s="119" t="str">
        <f t="array" ref="AL256">IFERROR(INDEX(AK$1:AK$301,SMALL(IF(MATCH(AK256,AK$1:AK$301,0)=ROW(AK256),ROW(AK$1:AK$301),999),ROW(AK256))),"")</f>
        <v/>
      </c>
      <c r="AM256" s="120" t="str">
        <f t="array" ref="AM256">INDEX(AL:AL,SMALL(IF($AL$2:$AL$301&lt;&gt;"",ROW($2:$301),302),ROW(AL255)))&amp;""</f>
        <v/>
      </c>
    </row>
    <row r="257" spans="1:39" ht="14.4" customHeight="1" x14ac:dyDescent="0.25">
      <c r="A257" s="250">
        <v>255</v>
      </c>
      <c r="B257" s="119" t="s">
        <v>7416</v>
      </c>
      <c r="C257" s="119" t="s">
        <v>7417</v>
      </c>
      <c r="E257" s="438" t="s">
        <v>6335</v>
      </c>
      <c r="F257" s="180" t="s">
        <v>6282</v>
      </c>
      <c r="G257" s="180" t="s">
        <v>3682</v>
      </c>
      <c r="H257" s="180">
        <v>1</v>
      </c>
      <c r="J257" s="180">
        <v>1</v>
      </c>
      <c r="K257" s="119" t="s">
        <v>7418</v>
      </c>
      <c r="N257" s="180" t="s">
        <v>6344</v>
      </c>
      <c r="O257" s="119" t="s">
        <v>7419</v>
      </c>
      <c r="P257" s="119">
        <v>3</v>
      </c>
      <c r="Q257" s="119" t="s">
        <v>242</v>
      </c>
      <c r="R257" s="180">
        <v>1</v>
      </c>
      <c r="S257" s="180">
        <v>1</v>
      </c>
      <c r="W257" s="180">
        <v>1</v>
      </c>
      <c r="X257" s="180">
        <v>1</v>
      </c>
      <c r="AA257" s="198" t="s">
        <v>808</v>
      </c>
      <c r="AB257" s="250" t="str">
        <f t="array" ref="AB257">INDEX(B:B,SMALL(IF($Q$3:$Q$517&lt;&gt;"",ROW($3:$517),518),ROW(B256)))&amp;""</f>
        <v>水下呼吸</v>
      </c>
      <c r="AC257" s="394" t="str">
        <f>IFERROR(IF(AND($Q258&lt;&gt;"",IF(法术查询!$J$4="",1,INDEX($R258:$Z258,1,VLOOKUP(法术查询!$J$4,$AF$2:$AG$10,2,0)))&lt;&gt;"",IF(法术查询!$J$5="",1,$P258=VLOOKUP(法术查询!$J$5,$AH$2:$AI$11,2,0)),IF(法术查询!$J$6="",1,IF(法术查询!$J$6=$E258,1,0)),IF(法术查询!$J$7="",1,SEARCH(法术查询!$J$7,$F258)),IF(法术查询!$J$8="",1,SEARCH(法术查询!$J$8,G258)),IF(法术查询!$J$9="",1,SEARCH(法术查询!$J$9,N258)),IF(法术查询!$J$10="",1,IF(法术查询!$J$10=$AF$11,IF($M258=1,1,0),IF($M258="",1,0))),IF(法术查询!$J$11="",1,IF(法术查询!$J$11=$AF$11,IF($D258=1,1,0),IF($D258="",1,0))),IF(法术查询!$J$12="",1,SEARCH(法术查询!$J$12,$B258&amp;$C258&amp;$O258)),IF(法术查询!$J$13="",1,SEARCH(法术查询!$J$13,$B258&amp;$C258&amp;$O258)),IF(法术查询!$J$14="",1,SEARCH(法术查询!$J$14,$B258&amp;$C258&amp;$O258)),IF(法术查询!$J$16="",1,IF(法术查询!$J$16=$AF$11,IF($H258=1,1,0),IF($H258="",1,0))),IF(法术查询!$J$17="",1,IF(法术查询!$J$17=$AF$11,IF($I258=1,1,0),IF($I258="",1,0))),IF(法术查询!$J$18="",1,IF(法术查询!$J$18=$AF$11,IF($J258&lt;&gt;"",1,0),IF($J258="",1,0))),IF(法术查询!$J$19="",1,IF(法术查询!$J$19=$AF$11,IF($L258&lt;&gt;"",1,0),IF($L258="",1,0)))),$B258,""),"")</f>
        <v/>
      </c>
      <c r="AD257" s="180" t="str">
        <f t="array" ref="AD257">INDEX(AC:AC,SMALL(IF($AC$2:$AC$516&lt;&gt;"",ROW($2:$516),517),ROW(AC256)))&amp;""</f>
        <v/>
      </c>
      <c r="AE257" s="198" t="str">
        <f t="shared" si="7"/>
        <v/>
      </c>
      <c r="AJ257" s="250">
        <v>256</v>
      </c>
      <c r="AK257" s="180" t="str">
        <f>IF(法术书!AK13="","",法术书!AK13)</f>
        <v/>
      </c>
      <c r="AL257" s="119" t="str">
        <f t="array" ref="AL257">IFERROR(INDEX(AK$1:AK$301,SMALL(IF(MATCH(AK257,AK$1:AK$301,0)=ROW(AK257),ROW(AK$1:AK$301),999),ROW(AK257))),"")</f>
        <v/>
      </c>
      <c r="AM257" s="120" t="str">
        <f t="array" ref="AM257">INDEX(AL:AL,SMALL(IF($AL$2:$AL$301&lt;&gt;"",ROW($2:$301),302),ROW(AL256)))&amp;""</f>
        <v/>
      </c>
    </row>
    <row r="258" spans="1:39" ht="14.4" customHeight="1" x14ac:dyDescent="0.25">
      <c r="A258" s="250">
        <v>256</v>
      </c>
      <c r="B258" s="119" t="s">
        <v>7420</v>
      </c>
      <c r="C258" s="119" t="s">
        <v>7421</v>
      </c>
      <c r="E258" s="441" t="s">
        <v>6297</v>
      </c>
      <c r="F258" s="180" t="s">
        <v>6282</v>
      </c>
      <c r="G258" s="180" t="s">
        <v>6291</v>
      </c>
      <c r="H258" s="180">
        <v>1</v>
      </c>
      <c r="I258" s="180">
        <v>1</v>
      </c>
      <c r="M258" s="180">
        <v>1</v>
      </c>
      <c r="N258" s="180" t="s">
        <v>6306</v>
      </c>
      <c r="O258" s="119" t="s">
        <v>7422</v>
      </c>
      <c r="P258" s="119">
        <v>3</v>
      </c>
      <c r="Q258" s="119" t="s">
        <v>242</v>
      </c>
      <c r="W258" s="180" t="str">
        <f>IF(综合数据!$B$14=TRUE,"13","")</f>
        <v>13</v>
      </c>
      <c r="X258" s="180">
        <v>1</v>
      </c>
      <c r="Y258" s="180">
        <v>1</v>
      </c>
      <c r="AA258" s="120" t="s">
        <v>7423</v>
      </c>
      <c r="AB258" s="250" t="str">
        <f t="array" ref="AB258">INDEX(B:B,SMALL(IF($Q$3:$Q$517&lt;&gt;"",ROW($3:$517),518),ROW(B257)))&amp;""</f>
        <v>水上行走</v>
      </c>
      <c r="AC258" s="394" t="str">
        <f>IFERROR(IF(AND($Q259&lt;&gt;"",IF(法术查询!$J$4="",1,INDEX($R259:$Z259,1,VLOOKUP(法术查询!$J$4,$AF$2:$AG$10,2,0)))&lt;&gt;"",IF(法术查询!$J$5="",1,$P259=VLOOKUP(法术查询!$J$5,$AH$2:$AI$11,2,0)),IF(法术查询!$J$6="",1,IF(法术查询!$J$6=$E259,1,0)),IF(法术查询!$J$7="",1,SEARCH(法术查询!$J$7,$F259)),IF(法术查询!$J$8="",1,SEARCH(法术查询!$J$8,G259)),IF(法术查询!$J$9="",1,SEARCH(法术查询!$J$9,N259)),IF(法术查询!$J$10="",1,IF(法术查询!$J$10=$AF$11,IF($M259=1,1,0),IF($M259="",1,0))),IF(法术查询!$J$11="",1,IF(法术查询!$J$11=$AF$11,IF($D259=1,1,0),IF($D259="",1,0))),IF(法术查询!$J$12="",1,SEARCH(法术查询!$J$12,$B259&amp;$C259&amp;$O259)),IF(法术查询!$J$13="",1,SEARCH(法术查询!$J$13,$B259&amp;$C259&amp;$O259)),IF(法术查询!$J$14="",1,SEARCH(法术查询!$J$14,$B259&amp;$C259&amp;$O259)),IF(法术查询!$J$16="",1,IF(法术查询!$J$16=$AF$11,IF($H259=1,1,0),IF($H259="",1,0))),IF(法术查询!$J$17="",1,IF(法术查询!$J$17=$AF$11,IF($I259=1,1,0),IF($I259="",1,0))),IF(法术查询!$J$18="",1,IF(法术查询!$J$18=$AF$11,IF($J259&lt;&gt;"",1,0),IF($J259="",1,0))),IF(法术查询!$J$19="",1,IF(法术查询!$J$19=$AF$11,IF($L259&lt;&gt;"",1,0),IF($L259="",1,0)))),$B259,""),"")</f>
        <v/>
      </c>
      <c r="AD258" s="180" t="str">
        <f t="array" ref="AD258">INDEX(AC:AC,SMALL(IF($AC$2:$AC$516&lt;&gt;"",ROW($2:$516),517),ROW(AC257)))&amp;""</f>
        <v/>
      </c>
      <c r="AE258" s="198" t="str">
        <f t="shared" si="7"/>
        <v/>
      </c>
      <c r="AJ258" s="250">
        <v>257</v>
      </c>
      <c r="AK258" s="180" t="str">
        <f>IF(法术书!AK14="","",法术书!AK14)</f>
        <v/>
      </c>
      <c r="AL258" s="119" t="str">
        <f t="array" ref="AL258">IFERROR(INDEX(AK$1:AK$301,SMALL(IF(MATCH(AK258,AK$1:AK$301,0)=ROW(AK258),ROW(AK$1:AK$301),999),ROW(AK258))),"")</f>
        <v/>
      </c>
      <c r="AM258" s="120" t="str">
        <f t="array" ref="AM258">INDEX(AL:AL,SMALL(IF($AL$2:$AL$301&lt;&gt;"",ROW($2:$301),302),ROW(AL257)))&amp;""</f>
        <v/>
      </c>
    </row>
    <row r="259" spans="1:39" ht="14.4" customHeight="1" x14ac:dyDescent="0.25">
      <c r="A259" s="250">
        <v>257</v>
      </c>
      <c r="B259" s="119" t="s">
        <v>7424</v>
      </c>
      <c r="C259" s="119" t="s">
        <v>7425</v>
      </c>
      <c r="D259" s="180">
        <v>1</v>
      </c>
      <c r="E259" s="435" t="s">
        <v>6312</v>
      </c>
      <c r="F259" s="180" t="s">
        <v>6282</v>
      </c>
      <c r="G259" s="180" t="s">
        <v>6313</v>
      </c>
      <c r="H259" s="180">
        <v>1</v>
      </c>
      <c r="I259" s="180">
        <v>1</v>
      </c>
      <c r="J259" s="180">
        <v>1</v>
      </c>
      <c r="K259" s="119" t="s">
        <v>7426</v>
      </c>
      <c r="N259" s="180" t="s">
        <v>6399</v>
      </c>
      <c r="O259" s="119" t="s">
        <v>7427</v>
      </c>
      <c r="P259" s="119">
        <v>3</v>
      </c>
      <c r="Q259" s="119" t="s">
        <v>242</v>
      </c>
      <c r="T259" s="180">
        <v>1</v>
      </c>
      <c r="V259" s="180">
        <v>1</v>
      </c>
      <c r="W259" s="180">
        <v>1</v>
      </c>
      <c r="X259" s="180">
        <v>1</v>
      </c>
      <c r="Z259" s="180">
        <v>9</v>
      </c>
      <c r="AA259" s="120" t="s">
        <v>7428</v>
      </c>
      <c r="AB259" s="250" t="str">
        <f t="array" ref="AB259">INDEX(B:B,SMALL(IF($Q$3:$Q$517&lt;&gt;"",ROW($3:$517),518),ROW(B258)))&amp;""</f>
        <v>风墙术</v>
      </c>
      <c r="AC259" s="394" t="str">
        <f>IFERROR(IF(AND($Q260&lt;&gt;"",IF(法术查询!$J$4="",1,INDEX($R260:$Z260,1,VLOOKUP(法术查询!$J$4,$AF$2:$AG$10,2,0)))&lt;&gt;"",IF(法术查询!$J$5="",1,$P260=VLOOKUP(法术查询!$J$5,$AH$2:$AI$11,2,0)),IF(法术查询!$J$6="",1,IF(法术查询!$J$6=$E260,1,0)),IF(法术查询!$J$7="",1,SEARCH(法术查询!$J$7,$F260)),IF(法术查询!$J$8="",1,SEARCH(法术查询!$J$8,G260)),IF(法术查询!$J$9="",1,SEARCH(法术查询!$J$9,N260)),IF(法术查询!$J$10="",1,IF(法术查询!$J$10=$AF$11,IF($M260=1,1,0),IF($M260="",1,0))),IF(法术查询!$J$11="",1,IF(法术查询!$J$11=$AF$11,IF($D260=1,1,0),IF($D260="",1,0))),IF(法术查询!$J$12="",1,SEARCH(法术查询!$J$12,$B260&amp;$C260&amp;$O260)),IF(法术查询!$J$13="",1,SEARCH(法术查询!$J$13,$B260&amp;$C260&amp;$O260)),IF(法术查询!$J$14="",1,SEARCH(法术查询!$J$14,$B260&amp;$C260&amp;$O260)),IF(法术查询!$J$16="",1,IF(法术查询!$J$16=$AF$11,IF($H260=1,1,0),IF($H260="",1,0))),IF(法术查询!$J$17="",1,IF(法术查询!$J$17=$AF$11,IF($I260=1,1,0),IF($I260="",1,0))),IF(法术查询!$J$18="",1,IF(法术查询!$J$18=$AF$11,IF($J260&lt;&gt;"",1,0),IF($J260="",1,0))),IF(法术查询!$J$19="",1,IF(法术查询!$J$19=$AF$11,IF($L260&lt;&gt;"",1,0),IF($L260="",1,0)))),$B260,""),"")</f>
        <v/>
      </c>
      <c r="AD259" s="180" t="str">
        <f t="array" ref="AD259">INDEX(AC:AC,SMALL(IF($AC$2:$AC$516&lt;&gt;"",ROW($2:$516),517),ROW(AC258)))&amp;""</f>
        <v/>
      </c>
      <c r="AE259" s="198" t="str">
        <f t="shared" ref="AE259:AE322" si="8">IF(AD259="","",VLOOKUP(AD259,B:C,2,0))</f>
        <v/>
      </c>
      <c r="AJ259" s="250">
        <v>258</v>
      </c>
      <c r="AK259" s="180" t="str">
        <f>IF(法术书!AK15="","",法术书!AK15)</f>
        <v/>
      </c>
      <c r="AL259" s="119" t="str">
        <f t="array" ref="AL259">IFERROR(INDEX(AK$1:AK$301,SMALL(IF(MATCH(AK259,AK$1:AK$301,0)=ROW(AK259),ROW(AK$1:AK$301),999),ROW(AK259))),"")</f>
        <v/>
      </c>
      <c r="AM259" s="120" t="str">
        <f t="array" ref="AM259">INDEX(AL:AL,SMALL(IF($AL$2:$AL$301&lt;&gt;"",ROW($2:$301),302),ROW(AL258)))&amp;""</f>
        <v/>
      </c>
    </row>
    <row r="260" spans="1:39" ht="14.4" customHeight="1" x14ac:dyDescent="0.25">
      <c r="A260" s="250">
        <v>258</v>
      </c>
      <c r="B260" s="119" t="s">
        <v>7429</v>
      </c>
      <c r="C260" s="119" t="s">
        <v>7430</v>
      </c>
      <c r="D260" s="180">
        <v>1</v>
      </c>
      <c r="E260" s="435" t="s">
        <v>6312</v>
      </c>
      <c r="F260" s="180" t="s">
        <v>6282</v>
      </c>
      <c r="G260" s="180" t="s">
        <v>6313</v>
      </c>
      <c r="H260" s="180">
        <v>1</v>
      </c>
      <c r="I260" s="180">
        <v>1</v>
      </c>
      <c r="J260" s="180">
        <v>1</v>
      </c>
      <c r="K260" s="119" t="s">
        <v>7431</v>
      </c>
      <c r="N260" s="180" t="s">
        <v>6344</v>
      </c>
      <c r="O260" s="119" t="s">
        <v>7432</v>
      </c>
      <c r="P260" s="119">
        <v>3</v>
      </c>
      <c r="Q260" s="119" t="s">
        <v>242</v>
      </c>
      <c r="S260" s="180">
        <v>1</v>
      </c>
      <c r="T260" s="180">
        <v>1</v>
      </c>
      <c r="V260" s="180">
        <v>1</v>
      </c>
      <c r="W260" s="180">
        <v>1</v>
      </c>
      <c r="Z260" s="180">
        <v>9</v>
      </c>
      <c r="AA260" s="120" t="s">
        <v>7433</v>
      </c>
      <c r="AB260" s="250" t="str">
        <f t="array" ref="AB260">INDEX(B:B,SMALL(IF($Q$3:$Q$517&lt;&gt;"",ROW($3:$517),518),ROW(B259)))&amp;""</f>
        <v>假寐术</v>
      </c>
      <c r="AC260" s="394" t="str">
        <f>IFERROR(IF(AND($Q261&lt;&gt;"",IF(法术查询!$J$4="",1,INDEX($R261:$Z261,1,VLOOKUP(法术查询!$J$4,$AF$2:$AG$10,2,0)))&lt;&gt;"",IF(法术查询!$J$5="",1,$P261=VLOOKUP(法术查询!$J$5,$AH$2:$AI$11,2,0)),IF(法术查询!$J$6="",1,IF(法术查询!$J$6=$E261,1,0)),IF(法术查询!$J$7="",1,SEARCH(法术查询!$J$7,$F261)),IF(法术查询!$J$8="",1,SEARCH(法术查询!$J$8,G261)),IF(法术查询!$J$9="",1,SEARCH(法术查询!$J$9,N261)),IF(法术查询!$J$10="",1,IF(法术查询!$J$10=$AF$11,IF($M261=1,1,0),IF($M261="",1,0))),IF(法术查询!$J$11="",1,IF(法术查询!$J$11=$AF$11,IF($D261=1,1,0),IF($D261="",1,0))),IF(法术查询!$J$12="",1,SEARCH(法术查询!$J$12,$B261&amp;$C261&amp;$O261)),IF(法术查询!$J$13="",1,SEARCH(法术查询!$J$13,$B261&amp;$C261&amp;$O261)),IF(法术查询!$J$14="",1,SEARCH(法术查询!$J$14,$B261&amp;$C261&amp;$O261)),IF(法术查询!$J$16="",1,IF(法术查询!$J$16=$AF$11,IF($H261=1,1,0),IF($H261="",1,0))),IF(法术查询!$J$17="",1,IF(法术查询!$J$17=$AF$11,IF($I261=1,1,0),IF($I261="",1,0))),IF(法术查询!$J$18="",1,IF(法术查询!$J$18=$AF$11,IF($J261&lt;&gt;"",1,0),IF($J261="",1,0))),IF(法术查询!$J$19="",1,IF(法术查询!$J$19=$AF$11,IF($L261&lt;&gt;"",1,0),IF($L261="",1,0)))),$B261,""),"")</f>
        <v/>
      </c>
      <c r="AD260" s="180" t="str">
        <f t="array" ref="AD260">INDEX(AC:AC,SMALL(IF($AC$2:$AC$516&lt;&gt;"",ROW($2:$516),517),ROW(AC259)))&amp;""</f>
        <v/>
      </c>
      <c r="AE260" s="198" t="str">
        <f t="shared" si="8"/>
        <v/>
      </c>
      <c r="AJ260" s="250">
        <v>259</v>
      </c>
      <c r="AK260" s="180" t="str">
        <f>IF(法术书!AK16="","",法术书!AK16)</f>
        <v/>
      </c>
      <c r="AL260" s="119" t="str">
        <f t="array" ref="AL260">IFERROR(INDEX(AK$1:AK$301,SMALL(IF(MATCH(AK260,AK$1:AK$301,0)=ROW(AK260),ROW(AK$1:AK$301),999),ROW(AK260))),"")</f>
        <v/>
      </c>
      <c r="AM260" s="120" t="str">
        <f t="array" ref="AM260">INDEX(AL:AL,SMALL(IF($AL$2:$AL$301&lt;&gt;"",ROW($2:$301),302),ROW(AL259)))&amp;""</f>
        <v/>
      </c>
    </row>
    <row r="261" spans="1:39" ht="14.4" customHeight="1" x14ac:dyDescent="0.25">
      <c r="A261" s="250">
        <v>259</v>
      </c>
      <c r="B261" s="119" t="s">
        <v>7434</v>
      </c>
      <c r="C261" s="119" t="s">
        <v>7435</v>
      </c>
      <c r="E261" s="434" t="s">
        <v>6304</v>
      </c>
      <c r="F261" s="180" t="s">
        <v>6282</v>
      </c>
      <c r="G261" s="180" t="s">
        <v>6298</v>
      </c>
      <c r="H261" s="180">
        <v>1</v>
      </c>
      <c r="I261" s="180">
        <v>1</v>
      </c>
      <c r="J261" s="180">
        <v>1</v>
      </c>
      <c r="K261" s="119" t="s">
        <v>7436</v>
      </c>
      <c r="M261" s="180">
        <v>1</v>
      </c>
      <c r="N261" s="180" t="s">
        <v>6306</v>
      </c>
      <c r="O261" s="119" t="s">
        <v>7437</v>
      </c>
      <c r="P261" s="119">
        <v>3</v>
      </c>
      <c r="Q261" s="119" t="s">
        <v>242</v>
      </c>
      <c r="T261" s="180">
        <v>1</v>
      </c>
      <c r="V261" s="180">
        <v>1</v>
      </c>
      <c r="AA261" s="120" t="s">
        <v>7438</v>
      </c>
      <c r="AB261" s="250" t="str">
        <f t="array" ref="AB261">INDEX(B:B,SMALL(IF($Q$3:$Q$517&lt;&gt;"",ROW($3:$517),518),ROW(B260)))&amp;""</f>
        <v>敌群环绕</v>
      </c>
      <c r="AC261" s="394" t="str">
        <f>IFERROR(IF(AND($Q262&lt;&gt;"",IF(法术查询!$J$4="",1,INDEX($R262:$Z262,1,VLOOKUP(法术查询!$J$4,$AF$2:$AG$10,2,0)))&lt;&gt;"",IF(法术查询!$J$5="",1,$P262=VLOOKUP(法术查询!$J$5,$AH$2:$AI$11,2,0)),IF(法术查询!$J$6="",1,IF(法术查询!$J$6=$E262,1,0)),IF(法术查询!$J$7="",1,SEARCH(法术查询!$J$7,$F262)),IF(法术查询!$J$8="",1,SEARCH(法术查询!$J$8,G262)),IF(法术查询!$J$9="",1,SEARCH(法术查询!$J$9,N262)),IF(法术查询!$J$10="",1,IF(法术查询!$J$10=$AF$11,IF($M262=1,1,0),IF($M262="",1,0))),IF(法术查询!$J$11="",1,IF(法术查询!$J$11=$AF$11,IF($D262=1,1,0),IF($D262="",1,0))),IF(法术查询!$J$12="",1,SEARCH(法术查询!$J$12,$B262&amp;$C262&amp;$O262)),IF(法术查询!$J$13="",1,SEARCH(法术查询!$J$13,$B262&amp;$C262&amp;$O262)),IF(法术查询!$J$14="",1,SEARCH(法术查询!$J$14,$B262&amp;$C262&amp;$O262)),IF(法术查询!$J$16="",1,IF(法术查询!$J$16=$AF$11,IF($H262=1,1,0),IF($H262="",1,0))),IF(法术查询!$J$17="",1,IF(法术查询!$J$17=$AF$11,IF($I262=1,1,0),IF($I262="",1,0))),IF(法术查询!$J$18="",1,IF(法术查询!$J$18=$AF$11,IF($J262&lt;&gt;"",1,0),IF($J262="",1,0))),IF(法术查询!$J$19="",1,IF(法术查询!$J$19=$AF$11,IF($L262&lt;&gt;"",1,0),IF($L262="",1,0)))),$B262,""),"")</f>
        <v/>
      </c>
      <c r="AD261" s="180" t="str">
        <f t="array" ref="AD261">INDEX(AC:AC,SMALL(IF($AC$2:$AC$516&lt;&gt;"",ROW($2:$516),517),ROW(AC260)))&amp;""</f>
        <v/>
      </c>
      <c r="AE261" s="198" t="str">
        <f t="shared" si="8"/>
        <v/>
      </c>
      <c r="AJ261" s="250">
        <v>260</v>
      </c>
      <c r="AK261" s="180" t="str">
        <f>IF(法术书!AK17="","",法术书!AK17)</f>
        <v/>
      </c>
      <c r="AL261" s="119" t="str">
        <f t="array" ref="AL261">IFERROR(INDEX(AK$1:AK$301,SMALL(IF(MATCH(AK261,AK$1:AK$301,0)=ROW(AK261),ROW(AK$1:AK$301),999),ROW(AK261))),"")</f>
        <v/>
      </c>
      <c r="AM261" s="120" t="str">
        <f t="array" ref="AM261">INDEX(AL:AL,SMALL(IF($AL$2:$AL$301&lt;&gt;"",ROW($2:$301),302),ROW(AL260)))&amp;""</f>
        <v/>
      </c>
    </row>
    <row r="262" spans="1:39" ht="14.4" customHeight="1" x14ac:dyDescent="0.25">
      <c r="A262" s="250">
        <v>260</v>
      </c>
      <c r="B262" s="119" t="s">
        <v>7439</v>
      </c>
      <c r="C262" s="119" t="s">
        <v>7440</v>
      </c>
      <c r="E262" s="379" t="s">
        <v>6328</v>
      </c>
      <c r="F262" s="180" t="s">
        <v>6282</v>
      </c>
      <c r="G262" s="180" t="s">
        <v>6313</v>
      </c>
      <c r="I262" s="180">
        <v>1</v>
      </c>
      <c r="J262" s="180">
        <v>1</v>
      </c>
      <c r="K262" s="119" t="s">
        <v>7441</v>
      </c>
      <c r="N262" s="180" t="s">
        <v>6371</v>
      </c>
      <c r="O262" s="119" t="s">
        <v>7442</v>
      </c>
      <c r="P262" s="119">
        <v>3</v>
      </c>
      <c r="Q262" s="251" t="str">
        <f>IF(综合数据!$B$7=TRUE,"XGE","")</f>
        <v>XGE</v>
      </c>
      <c r="R262" s="180">
        <v>6</v>
      </c>
      <c r="W262" s="180">
        <v>6</v>
      </c>
      <c r="X262" s="180">
        <v>6</v>
      </c>
      <c r="Z262" s="180">
        <v>9</v>
      </c>
      <c r="AA262" s="198"/>
      <c r="AB262" s="250" t="str">
        <f t="array" ref="AB262">INDEX(B:B,SMALL(IF($Q$3:$Q$517&lt;&gt;"",ROW($3:$517),518),ROW(B261)))&amp;""</f>
        <v>土石喷发</v>
      </c>
      <c r="AC262" s="394" t="str">
        <f>IFERROR(IF(AND($Q263&lt;&gt;"",IF(法术查询!$J$4="",1,INDEX($R263:$Z263,1,VLOOKUP(法术查询!$J$4,$AF$2:$AG$10,2,0)))&lt;&gt;"",IF(法术查询!$J$5="",1,$P263=VLOOKUP(法术查询!$J$5,$AH$2:$AI$11,2,0)),IF(法术查询!$J$6="",1,IF(法术查询!$J$6=$E263,1,0)),IF(法术查询!$J$7="",1,SEARCH(法术查询!$J$7,$F263)),IF(法术查询!$J$8="",1,SEARCH(法术查询!$J$8,G263)),IF(法术查询!$J$9="",1,SEARCH(法术查询!$J$9,N263)),IF(法术查询!$J$10="",1,IF(法术查询!$J$10=$AF$11,IF($M263=1,1,0),IF($M263="",1,0))),IF(法术查询!$J$11="",1,IF(法术查询!$J$11=$AF$11,IF($D263=1,1,0),IF($D263="",1,0))),IF(法术查询!$J$12="",1,SEARCH(法术查询!$J$12,$B263&amp;$C263&amp;$O263)),IF(法术查询!$J$13="",1,SEARCH(法术查询!$J$13,$B263&amp;$C263&amp;$O263)),IF(法术查询!$J$14="",1,SEARCH(法术查询!$J$14,$B263&amp;$C263&amp;$O263)),IF(法术查询!$J$16="",1,IF(法术查询!$J$16=$AF$11,IF($H263=1,1,0),IF($H263="",1,0))),IF(法术查询!$J$17="",1,IF(法术查询!$J$17=$AF$11,IF($I263=1,1,0),IF($I263="",1,0))),IF(法术查询!$J$18="",1,IF(法术查询!$J$18=$AF$11,IF($J263&lt;&gt;"",1,0),IF($J263="",1,0))),IF(法术查询!$J$19="",1,IF(法术查询!$J$19=$AF$11,IF($L263&lt;&gt;"",1,0),IF($L263="",1,0)))),$B263,""),"")</f>
        <v/>
      </c>
      <c r="AD262" s="180" t="str">
        <f t="array" ref="AD262">INDEX(AC:AC,SMALL(IF($AC$2:$AC$516&lt;&gt;"",ROW($2:$516),517),ROW(AC261)))&amp;""</f>
        <v/>
      </c>
      <c r="AE262" s="198" t="str">
        <f t="shared" si="8"/>
        <v/>
      </c>
      <c r="AJ262" s="250">
        <v>261</v>
      </c>
      <c r="AK262" s="180" t="str">
        <f>IF(法术书!AK18="","",法术书!AK18)</f>
        <v/>
      </c>
      <c r="AL262" s="119" t="str">
        <f t="array" ref="AL262">IFERROR(INDEX(AK$1:AK$301,SMALL(IF(MATCH(AK262,AK$1:AK$301,0)=ROW(AK262),ROW(AK$1:AK$301),999),ROW(AK262))),"")</f>
        <v/>
      </c>
      <c r="AM262" s="120" t="str">
        <f t="array" ref="AM262">INDEX(AL:AL,SMALL(IF($AL$2:$AL$301&lt;&gt;"",ROW($2:$301),302),ROW(AL261)))&amp;""</f>
        <v/>
      </c>
    </row>
    <row r="263" spans="1:39" ht="14.4" customHeight="1" x14ac:dyDescent="0.25">
      <c r="A263" s="250">
        <v>261</v>
      </c>
      <c r="B263" s="119" t="s">
        <v>7443</v>
      </c>
      <c r="C263" s="119" t="s">
        <v>7444</v>
      </c>
      <c r="E263" s="379" t="s">
        <v>6328</v>
      </c>
      <c r="F263" s="180" t="s">
        <v>6282</v>
      </c>
      <c r="G263" s="180" t="s">
        <v>6298</v>
      </c>
      <c r="H263" s="180">
        <v>1</v>
      </c>
      <c r="I263" s="180">
        <v>1</v>
      </c>
      <c r="K263" s="119"/>
      <c r="M263" s="180">
        <v>1</v>
      </c>
      <c r="N263" s="180" t="s">
        <v>6306</v>
      </c>
      <c r="O263" s="119" t="s">
        <v>7445</v>
      </c>
      <c r="P263" s="119">
        <v>3</v>
      </c>
      <c r="Q263" s="251" t="str">
        <f>IF(综合数据!$B$7=TRUE,"XGE","")</f>
        <v>XGE</v>
      </c>
      <c r="R263" s="180">
        <v>6</v>
      </c>
      <c r="W263" s="180">
        <v>6</v>
      </c>
      <c r="X263" s="180">
        <v>6</v>
      </c>
      <c r="Y263" s="180">
        <v>6</v>
      </c>
      <c r="AA263" s="198"/>
      <c r="AB263" s="250" t="str">
        <f t="array" ref="AB263">INDEX(B:B,SMALL(IF($Q$3:$Q$517&lt;&gt;"",ROW($3:$517),518),ROW(B262)))&amp;""</f>
        <v>火箭</v>
      </c>
      <c r="AC263" s="394" t="str">
        <f>IFERROR(IF(AND($Q264&lt;&gt;"",IF(法术查询!$J$4="",1,INDEX($R264:$Z264,1,VLOOKUP(法术查询!$J$4,$AF$2:$AG$10,2,0)))&lt;&gt;"",IF(法术查询!$J$5="",1,$P264=VLOOKUP(法术查询!$J$5,$AH$2:$AI$11,2,0)),IF(法术查询!$J$6="",1,IF(法术查询!$J$6=$E264,1,0)),IF(法术查询!$J$7="",1,SEARCH(法术查询!$J$7,$F264)),IF(法术查询!$J$8="",1,SEARCH(法术查询!$J$8,G264)),IF(法术查询!$J$9="",1,SEARCH(法术查询!$J$9,N264)),IF(法术查询!$J$10="",1,IF(法术查询!$J$10=$AF$11,IF($M264=1,1,0),IF($M264="",1,0))),IF(法术查询!$J$11="",1,IF(法术查询!$J$11=$AF$11,IF($D264=1,1,0),IF($D264="",1,0))),IF(法术查询!$J$12="",1,SEARCH(法术查询!$J$12,$B264&amp;$C264&amp;$O264)),IF(法术查询!$J$13="",1,SEARCH(法术查询!$J$13,$B264&amp;$C264&amp;$O264)),IF(法术查询!$J$14="",1,SEARCH(法术查询!$J$14,$B264&amp;$C264&amp;$O264)),IF(法术查询!$J$16="",1,IF(法术查询!$J$16=$AF$11,IF($H264=1,1,0),IF($H264="",1,0))),IF(法术查询!$J$17="",1,IF(法术查询!$J$17=$AF$11,IF($I264=1,1,0),IF($I264="",1,0))),IF(法术查询!$J$18="",1,IF(法术查询!$J$18=$AF$11,IF($J264&lt;&gt;"",1,0),IF($J264="",1,0))),IF(法术查询!$J$19="",1,IF(法术查询!$J$19=$AF$11,IF($L264&lt;&gt;"",1,0),IF($L264="",1,0)))),$B264,""),"")</f>
        <v/>
      </c>
      <c r="AD263" s="180" t="str">
        <f t="array" ref="AD263">INDEX(AC:AC,SMALL(IF($AC$2:$AC$516&lt;&gt;"",ROW($2:$516),517),ROW(AC262)))&amp;""</f>
        <v/>
      </c>
      <c r="AE263" s="198" t="str">
        <f t="shared" si="8"/>
        <v/>
      </c>
      <c r="AJ263" s="250">
        <v>262</v>
      </c>
      <c r="AK263" s="180" t="str">
        <f>IF(法术书!AK19="","",法术书!AK19)</f>
        <v/>
      </c>
      <c r="AL263" s="119" t="str">
        <f t="array" ref="AL263">IFERROR(INDEX(AK$1:AK$301,SMALL(IF(MATCH(AK263,AK$1:AK$301,0)=ROW(AK263),ROW(AK$1:AK$301),999),ROW(AK263))),"")</f>
        <v/>
      </c>
      <c r="AM263" s="120" t="str">
        <f t="array" ref="AM263">INDEX(AL:AL,SMALL(IF($AL$2:$AL$301&lt;&gt;"",ROW($2:$301),302),ROW(AL262)))&amp;""</f>
        <v/>
      </c>
    </row>
    <row r="264" spans="1:39" ht="14.4" customHeight="1" x14ac:dyDescent="0.25">
      <c r="A264" s="250">
        <v>262</v>
      </c>
      <c r="B264" s="119" t="s">
        <v>7446</v>
      </c>
      <c r="C264" s="119" t="s">
        <v>7447</v>
      </c>
      <c r="E264" s="435" t="s">
        <v>6312</v>
      </c>
      <c r="F264" s="180" t="s">
        <v>6282</v>
      </c>
      <c r="G264" s="180" t="s">
        <v>6298</v>
      </c>
      <c r="H264" s="180">
        <v>1</v>
      </c>
      <c r="I264" s="180">
        <v>1</v>
      </c>
      <c r="J264" s="180">
        <v>1</v>
      </c>
      <c r="K264" s="119" t="s">
        <v>7448</v>
      </c>
      <c r="N264" s="180" t="s">
        <v>6284</v>
      </c>
      <c r="O264" s="119" t="s">
        <v>7449</v>
      </c>
      <c r="P264" s="119">
        <v>3</v>
      </c>
      <c r="Q264" s="251" t="str">
        <f>IF(综合数据!$B$7=TRUE,"XGE","")</f>
        <v>XGE</v>
      </c>
      <c r="T264" s="180">
        <v>6</v>
      </c>
      <c r="W264" s="180">
        <v>6</v>
      </c>
      <c r="X264" s="180">
        <v>6</v>
      </c>
      <c r="AA264" s="198"/>
      <c r="AB264" s="250" t="str">
        <f t="array" ref="AB264">INDEX(B:B,SMALL(IF($Q$3:$Q$517&lt;&gt;"",ROW($3:$517),518),ROW(B263)))&amp;""</f>
        <v>生命转换</v>
      </c>
      <c r="AC264" s="394" t="str">
        <f>IFERROR(IF(AND($Q265&lt;&gt;"",IF(法术查询!$J$4="",1,INDEX($R265:$Z265,1,VLOOKUP(法术查询!$J$4,$AF$2:$AG$10,2,0)))&lt;&gt;"",IF(法术查询!$J$5="",1,$P265=VLOOKUP(法术查询!$J$5,$AH$2:$AI$11,2,0)),IF(法术查询!$J$6="",1,IF(法术查询!$J$6=$E265,1,0)),IF(法术查询!$J$7="",1,SEARCH(法术查询!$J$7,$F265)),IF(法术查询!$J$8="",1,SEARCH(法术查询!$J$8,G265)),IF(法术查询!$J$9="",1,SEARCH(法术查询!$J$9,N265)),IF(法术查询!$J$10="",1,IF(法术查询!$J$10=$AF$11,IF($M265=1,1,0),IF($M265="",1,0))),IF(法术查询!$J$11="",1,IF(法术查询!$J$11=$AF$11,IF($D265=1,1,0),IF($D265="",1,0))),IF(法术查询!$J$12="",1,SEARCH(法术查询!$J$12,$B265&amp;$C265&amp;$O265)),IF(法术查询!$J$13="",1,SEARCH(法术查询!$J$13,$B265&amp;$C265&amp;$O265)),IF(法术查询!$J$14="",1,SEARCH(法术查询!$J$14,$B265&amp;$C265&amp;$O265)),IF(法术查询!$J$16="",1,IF(法术查询!$J$16=$AF$11,IF($H265=1,1,0),IF($H265="",1,0))),IF(法术查询!$J$17="",1,IF(法术查询!$J$17=$AF$11,IF($I265=1,1,0),IF($I265="",1,0))),IF(法术查询!$J$18="",1,IF(法术查询!$J$18=$AF$11,IF($J265&lt;&gt;"",1,0),IF($J265="",1,0))),IF(法术查询!$J$19="",1,IF(法术查询!$J$19=$AF$11,IF($L265&lt;&gt;"",1,0),IF($L265="",1,0)))),$B265,""),"")</f>
        <v/>
      </c>
      <c r="AD264" s="180" t="str">
        <f t="array" ref="AD264">INDEX(AC:AC,SMALL(IF($AC$2:$AC$516&lt;&gt;"",ROW($2:$516),517),ROW(AC263)))&amp;""</f>
        <v/>
      </c>
      <c r="AE264" s="198" t="str">
        <f t="shared" si="8"/>
        <v/>
      </c>
      <c r="AJ264" s="250">
        <v>263</v>
      </c>
      <c r="AK264" s="180" t="str">
        <f>IF(法术书!AK20="","",法术书!AK20)</f>
        <v/>
      </c>
      <c r="AL264" s="119" t="str">
        <f t="array" ref="AL264">IFERROR(INDEX(AK$1:AK$301,SMALL(IF(MATCH(AK264,AK$1:AK$301,0)=ROW(AK264),ROW(AK$1:AK$301),999),ROW(AK264))),"")</f>
        <v/>
      </c>
      <c r="AM264" s="120" t="str">
        <f t="array" ref="AM264">INDEX(AL:AL,SMALL(IF($AL$2:$AL$301&lt;&gt;"",ROW($2:$301),302),ROW(AL263)))&amp;""</f>
        <v/>
      </c>
    </row>
    <row r="265" spans="1:39" ht="14.4" customHeight="1" x14ac:dyDescent="0.25">
      <c r="A265" s="250">
        <v>263</v>
      </c>
      <c r="B265" s="119" t="s">
        <v>7450</v>
      </c>
      <c r="C265" s="119" t="s">
        <v>7451</v>
      </c>
      <c r="E265" s="435" t="s">
        <v>6312</v>
      </c>
      <c r="F265" s="180" t="s">
        <v>6282</v>
      </c>
      <c r="G265" s="180" t="s">
        <v>3682</v>
      </c>
      <c r="H265" s="180">
        <v>1</v>
      </c>
      <c r="I265" s="180">
        <v>1</v>
      </c>
      <c r="K265" s="119"/>
      <c r="M265" s="180">
        <v>1</v>
      </c>
      <c r="N265" s="180" t="s">
        <v>6379</v>
      </c>
      <c r="O265" s="119" t="s">
        <v>7452</v>
      </c>
      <c r="P265" s="119">
        <v>3</v>
      </c>
      <c r="Q265" s="251" t="str">
        <f>IF(综合数据!$B$7=TRUE,"XGE","")</f>
        <v>XGE</v>
      </c>
      <c r="T265" s="180">
        <v>6</v>
      </c>
      <c r="V265" s="180">
        <v>6</v>
      </c>
      <c r="W265" s="180">
        <v>6</v>
      </c>
      <c r="X265" s="180">
        <v>6</v>
      </c>
      <c r="Z265" s="180">
        <v>9</v>
      </c>
      <c r="AA265" s="198"/>
      <c r="AB265" s="250" t="str">
        <f t="array" ref="AB265">INDEX(B:B,SMALL(IF($Q$3:$Q$517&lt;&gt;"",ROW($3:$517),518),ROW(B264)))&amp;""</f>
        <v>马友夫微流星</v>
      </c>
      <c r="AC265" s="394" t="str">
        <f>IFERROR(IF(AND($Q266&lt;&gt;"",IF(法术查询!$J$4="",1,INDEX($R266:$Z266,1,VLOOKUP(法术查询!$J$4,$AF$2:$AG$10,2,0)))&lt;&gt;"",IF(法术查询!$J$5="",1,$P266=VLOOKUP(法术查询!$J$5,$AH$2:$AI$11,2,0)),IF(法术查询!$J$6="",1,IF(法术查询!$J$6=$E266,1,0)),IF(法术查询!$J$7="",1,SEARCH(法术查询!$J$7,$F266)),IF(法术查询!$J$8="",1,SEARCH(法术查询!$J$8,G266)),IF(法术查询!$J$9="",1,SEARCH(法术查询!$J$9,N266)),IF(法术查询!$J$10="",1,IF(法术查询!$J$10=$AF$11,IF($M266=1,1,0),IF($M266="",1,0))),IF(法术查询!$J$11="",1,IF(法术查询!$J$11=$AF$11,IF($D266=1,1,0),IF($D266="",1,0))),IF(法术查询!$J$12="",1,SEARCH(法术查询!$J$12,$B266&amp;$C266&amp;$O266)),IF(法术查询!$J$13="",1,SEARCH(法术查询!$J$13,$B266&amp;$C266&amp;$O266)),IF(法术查询!$J$14="",1,SEARCH(法术查询!$J$14,$B266&amp;$C266&amp;$O266)),IF(法术查询!$J$16="",1,IF(法术查询!$J$16=$AF$11,IF($H266=1,1,0),IF($H266="",1,0))),IF(法术查询!$J$17="",1,IF(法术查询!$J$17=$AF$11,IF($I266=1,1,0),IF($I266="",1,0))),IF(法术查询!$J$18="",1,IF(法术查询!$J$18=$AF$11,IF($J266&lt;&gt;"",1,0),IF($J266="",1,0))),IF(法术查询!$J$19="",1,IF(法术查询!$J$19=$AF$11,IF($L266&lt;&gt;"",1,0),IF($L266="",1,0)))),$B266,""),"")</f>
        <v/>
      </c>
      <c r="AD265" s="180" t="str">
        <f t="array" ref="AD265">INDEX(AC:AC,SMALL(IF($AC$2:$AC$516&lt;&gt;"",ROW($2:$516),517),ROW(AC264)))&amp;""</f>
        <v/>
      </c>
      <c r="AE265" s="198" t="str">
        <f t="shared" si="8"/>
        <v/>
      </c>
      <c r="AJ265" s="250">
        <v>264</v>
      </c>
      <c r="AK265" s="180" t="str">
        <f>IF(法术书!AK21="","",法术书!AK21)</f>
        <v/>
      </c>
      <c r="AL265" s="119" t="str">
        <f t="array" ref="AL265">IFERROR(INDEX(AK$1:AK$301,SMALL(IF(MATCH(AK265,AK$1:AK$301,0)=ROW(AK265),ROW(AK$1:AK$301),999),ROW(AK265))),"")</f>
        <v/>
      </c>
      <c r="AM265" s="120" t="str">
        <f t="array" ref="AM265">INDEX(AL:AL,SMALL(IF($AL$2:$AL$301&lt;&gt;"",ROW($2:$301),302),ROW(AL264)))&amp;""</f>
        <v/>
      </c>
    </row>
    <row r="266" spans="1:39" ht="14.4" customHeight="1" x14ac:dyDescent="0.25">
      <c r="A266" s="250">
        <v>264</v>
      </c>
      <c r="B266" s="119" t="s">
        <v>7453</v>
      </c>
      <c r="C266" s="119" t="s">
        <v>7454</v>
      </c>
      <c r="E266" s="441" t="s">
        <v>6297</v>
      </c>
      <c r="F266" s="180" t="s">
        <v>6282</v>
      </c>
      <c r="G266" s="180" t="s">
        <v>6313</v>
      </c>
      <c r="H266" s="180">
        <v>1</v>
      </c>
      <c r="I266" s="180">
        <v>1</v>
      </c>
      <c r="K266" s="119"/>
      <c r="N266" s="180" t="s">
        <v>6284</v>
      </c>
      <c r="O266" s="119" t="s">
        <v>7455</v>
      </c>
      <c r="P266" s="119">
        <v>3</v>
      </c>
      <c r="Q266" s="251" t="str">
        <f>IF(综合数据!$B$7=TRUE,"XGE","")</f>
        <v>XGE</v>
      </c>
      <c r="S266" s="180">
        <v>6</v>
      </c>
      <c r="X266" s="180">
        <v>6</v>
      </c>
      <c r="AA266" s="198"/>
      <c r="AB266" s="250" t="str">
        <f t="array" ref="AB266">INDEX(B:B,SMALL(IF($Q$3:$Q$517&lt;&gt;"",ROW($3:$517),518),ROW(B265)))&amp;""</f>
        <v>召唤次级恶魔</v>
      </c>
      <c r="AC266" s="394" t="str">
        <f>IFERROR(IF(AND($Q267&lt;&gt;"",IF(法术查询!$J$4="",1,INDEX($R267:$Z267,1,VLOOKUP(法术查询!$J$4,$AF$2:$AG$10,2,0)))&lt;&gt;"",IF(法术查询!$J$5="",1,$P267=VLOOKUP(法术查询!$J$5,$AH$2:$AI$11,2,0)),IF(法术查询!$J$6="",1,IF(法术查询!$J$6=$E267,1,0)),IF(法术查询!$J$7="",1,SEARCH(法术查询!$J$7,$F267)),IF(法术查询!$J$8="",1,SEARCH(法术查询!$J$8,G267)),IF(法术查询!$J$9="",1,SEARCH(法术查询!$J$9,N267)),IF(法术查询!$J$10="",1,IF(法术查询!$J$10=$AF$11,IF($M267=1,1,0),IF($M267="",1,0))),IF(法术查询!$J$11="",1,IF(法术查询!$J$11=$AF$11,IF($D267=1,1,0),IF($D267="",1,0))),IF(法术查询!$J$12="",1,SEARCH(法术查询!$J$12,$B267&amp;$C267&amp;$O267)),IF(法术查询!$J$13="",1,SEARCH(法术查询!$J$13,$B267&amp;$C267&amp;$O267)),IF(法术查询!$J$14="",1,SEARCH(法术查询!$J$14,$B267&amp;$C267&amp;$O267)),IF(法术查询!$J$16="",1,IF(法术查询!$J$16=$AF$11,IF($H267=1,1,0),IF($H267="",1,0))),IF(法术查询!$J$17="",1,IF(法术查询!$J$17=$AF$11,IF($I267=1,1,0),IF($I267="",1,0))),IF(法术查询!$J$18="",1,IF(法术查询!$J$18=$AF$11,IF($J267&lt;&gt;"",1,0),IF($J267="",1,0))),IF(法术查询!$J$19="",1,IF(法术查询!$J$19=$AF$11,IF($L267&lt;&gt;"",1,0),IF($L267="",1,0)))),$B267,""),"")</f>
        <v/>
      </c>
      <c r="AD266" s="180" t="str">
        <f t="array" ref="AD266">INDEX(AC:AC,SMALL(IF($AC$2:$AC$516&lt;&gt;"",ROW($2:$516),517),ROW(AC265)))&amp;""</f>
        <v/>
      </c>
      <c r="AE266" s="198" t="str">
        <f t="shared" si="8"/>
        <v/>
      </c>
      <c r="AJ266" s="250">
        <v>265</v>
      </c>
      <c r="AK266" s="180" t="str">
        <f>IF(法术书!AK22="","",法术书!AK22)</f>
        <v/>
      </c>
      <c r="AL266" s="119" t="str">
        <f t="array" ref="AL266">IFERROR(INDEX(AK$1:AK$301,SMALL(IF(MATCH(AK266,AK$1:AK$301,0)=ROW(AK266),ROW(AK$1:AK$301),999),ROW(AK266))),"")</f>
        <v/>
      </c>
      <c r="AM266" s="120" t="str">
        <f t="array" ref="AM266">INDEX(AL:AL,SMALL(IF($AL$2:$AL$301&lt;&gt;"",ROW($2:$301),302),ROW(AL265)))&amp;""</f>
        <v/>
      </c>
    </row>
    <row r="267" spans="1:39" ht="14.4" customHeight="1" x14ac:dyDescent="0.25">
      <c r="A267" s="250">
        <v>265</v>
      </c>
      <c r="B267" s="119" t="s">
        <v>7456</v>
      </c>
      <c r="C267" s="119" t="s">
        <v>7457</v>
      </c>
      <c r="E267" s="434" t="s">
        <v>6304</v>
      </c>
      <c r="F267" s="180" t="s">
        <v>6282</v>
      </c>
      <c r="G267" s="180" t="s">
        <v>6291</v>
      </c>
      <c r="H267" s="180">
        <v>1</v>
      </c>
      <c r="I267" s="180">
        <v>1</v>
      </c>
      <c r="J267" s="180">
        <v>1</v>
      </c>
      <c r="K267" s="119"/>
      <c r="M267" s="180">
        <v>1</v>
      </c>
      <c r="N267" s="180" t="s">
        <v>6471</v>
      </c>
      <c r="O267" s="119" t="s">
        <v>7458</v>
      </c>
      <c r="P267" s="119">
        <v>3</v>
      </c>
      <c r="Q267" s="251" t="str">
        <f>IF(综合数据!$B$7=TRUE,"XGE","")</f>
        <v>XGE</v>
      </c>
      <c r="W267" s="180">
        <v>6</v>
      </c>
      <c r="X267" s="180">
        <v>6</v>
      </c>
      <c r="AA267" s="198"/>
      <c r="AB267" s="250" t="str">
        <f t="array" ref="AB267">INDEX(B:B,SMALL(IF($Q$3:$Q$517&lt;&gt;"",ROW($3:$517),518),ROW(B266)))&amp;""</f>
        <v>雷霆步</v>
      </c>
      <c r="AC267" s="394" t="str">
        <f>IFERROR(IF(AND($Q268&lt;&gt;"",IF(法术查询!$J$4="",1,INDEX($R268:$Z268,1,VLOOKUP(法术查询!$J$4,$AF$2:$AG$10,2,0)))&lt;&gt;"",IF(法术查询!$J$5="",1,$P268=VLOOKUP(法术查询!$J$5,$AH$2:$AI$11,2,0)),IF(法术查询!$J$6="",1,IF(法术查询!$J$6=$E268,1,0)),IF(法术查询!$J$7="",1,SEARCH(法术查询!$J$7,$F268)),IF(法术查询!$J$8="",1,SEARCH(法术查询!$J$8,G268)),IF(法术查询!$J$9="",1,SEARCH(法术查询!$J$9,N268)),IF(法术查询!$J$10="",1,IF(法术查询!$J$10=$AF$11,IF($M268=1,1,0),IF($M268="",1,0))),IF(法术查询!$J$11="",1,IF(法术查询!$J$11=$AF$11,IF($D268=1,1,0),IF($D268="",1,0))),IF(法术查询!$J$12="",1,SEARCH(法术查询!$J$12,$B268&amp;$C268&amp;$O268)),IF(法术查询!$J$13="",1,SEARCH(法术查询!$J$13,$B268&amp;$C268&amp;$O268)),IF(法术查询!$J$14="",1,SEARCH(法术查询!$J$14,$B268&amp;$C268&amp;$O268)),IF(法术查询!$J$16="",1,IF(法术查询!$J$16=$AF$11,IF($H268=1,1,0),IF($H268="",1,0))),IF(法术查询!$J$17="",1,IF(法术查询!$J$17=$AF$11,IF($I268=1,1,0),IF($I268="",1,0))),IF(法术查询!$J$18="",1,IF(法术查询!$J$18=$AF$11,IF($J268&lt;&gt;"",1,0),IF($J268="",1,0))),IF(法术查询!$J$19="",1,IF(法术查询!$J$19=$AF$11,IF($L268&lt;&gt;"",1,0),IF($L268="",1,0)))),$B268,""),"")</f>
        <v/>
      </c>
      <c r="AD267" s="180" t="str">
        <f t="array" ref="AD267">INDEX(AC:AC,SMALL(IF($AC$2:$AC$516&lt;&gt;"",ROW($2:$516),517),ROW(AC266)))&amp;""</f>
        <v/>
      </c>
      <c r="AE267" s="198" t="str">
        <f t="shared" si="8"/>
        <v/>
      </c>
      <c r="AJ267" s="250">
        <v>266</v>
      </c>
      <c r="AK267" s="180" t="str">
        <f>IF(法术书!AK23="","",法术书!AK23)</f>
        <v/>
      </c>
      <c r="AL267" s="119" t="str">
        <f t="array" ref="AL267">IFERROR(INDEX(AK$1:AK$301,SMALL(IF(MATCH(AK267,AK$1:AK$301,0)=ROW(AK267),ROW(AK$1:AK$301),999),ROW(AK267))),"")</f>
        <v/>
      </c>
      <c r="AM267" s="120" t="str">
        <f t="array" ref="AM267">INDEX(AL:AL,SMALL(IF($AL$2:$AL$301&lt;&gt;"",ROW($2:$301),302),ROW(AL266)))&amp;""</f>
        <v/>
      </c>
    </row>
    <row r="268" spans="1:39" ht="14.4" customHeight="1" x14ac:dyDescent="0.25">
      <c r="A268" s="250">
        <v>266</v>
      </c>
      <c r="B268" s="119" t="s">
        <v>7459</v>
      </c>
      <c r="C268" s="119" t="s">
        <v>7460</v>
      </c>
      <c r="E268" s="378" t="s">
        <v>6281</v>
      </c>
      <c r="F268" s="180" t="s">
        <v>6282</v>
      </c>
      <c r="G268" s="180" t="s">
        <v>6283</v>
      </c>
      <c r="H268" s="180">
        <v>1</v>
      </c>
      <c r="I268" s="180">
        <v>1</v>
      </c>
      <c r="J268" s="180">
        <v>1</v>
      </c>
      <c r="K268" s="119" t="s">
        <v>7461</v>
      </c>
      <c r="M268" s="180">
        <v>1</v>
      </c>
      <c r="N268" s="180" t="s">
        <v>6379</v>
      </c>
      <c r="O268" s="119" t="s">
        <v>7462</v>
      </c>
      <c r="P268" s="119">
        <v>3</v>
      </c>
      <c r="Q268" s="251" t="str">
        <f>IF(综合数据!$B$7=TRUE,"XGE","")</f>
        <v>XGE</v>
      </c>
      <c r="X268" s="180">
        <v>6</v>
      </c>
      <c r="Y268" s="180">
        <v>6</v>
      </c>
      <c r="AA268" s="198"/>
      <c r="AB268" s="250" t="str">
        <f t="array" ref="AB268">INDEX(B:B,SMALL(IF($Q$3:$Q$517&lt;&gt;"",ROW($3:$517),518),ROW(B267)))&amp;""</f>
        <v>潮涌</v>
      </c>
      <c r="AC268" s="394" t="str">
        <f>IFERROR(IF(AND($Q269&lt;&gt;"",IF(法术查询!$J$4="",1,INDEX($R269:$Z269,1,VLOOKUP(法术查询!$J$4,$AF$2:$AG$10,2,0)))&lt;&gt;"",IF(法术查询!$J$5="",1,$P269=VLOOKUP(法术查询!$J$5,$AH$2:$AI$11,2,0)),IF(法术查询!$J$6="",1,IF(法术查询!$J$6=$E269,1,0)),IF(法术查询!$J$7="",1,SEARCH(法术查询!$J$7,$F269)),IF(法术查询!$J$8="",1,SEARCH(法术查询!$J$8,G269)),IF(法术查询!$J$9="",1,SEARCH(法术查询!$J$9,N269)),IF(法术查询!$J$10="",1,IF(法术查询!$J$10=$AF$11,IF($M269=1,1,0),IF($M269="",1,0))),IF(法术查询!$J$11="",1,IF(法术查询!$J$11=$AF$11,IF($D269=1,1,0),IF($D269="",1,0))),IF(法术查询!$J$12="",1,SEARCH(法术查询!$J$12,$B269&amp;$C269&amp;$O269)),IF(法术查询!$J$13="",1,SEARCH(法术查询!$J$13,$B269&amp;$C269&amp;$O269)),IF(法术查询!$J$14="",1,SEARCH(法术查询!$J$14,$B269&amp;$C269&amp;$O269)),IF(法术查询!$J$16="",1,IF(法术查询!$J$16=$AF$11,IF($H269=1,1,0),IF($H269="",1,0))),IF(法术查询!$J$17="",1,IF(法术查询!$J$17=$AF$11,IF($I269=1,1,0),IF($I269="",1,0))),IF(法术查询!$J$18="",1,IF(法术查询!$J$18=$AF$11,IF($J269&lt;&gt;"",1,0),IF($J269="",1,0))),IF(法术查询!$J$19="",1,IF(法术查询!$J$19=$AF$11,IF($L269&lt;&gt;"",1,0),IF($L269="",1,0)))),$B269,""),"")</f>
        <v/>
      </c>
      <c r="AD268" s="180" t="str">
        <f t="array" ref="AD268">INDEX(AC:AC,SMALL(IF($AC$2:$AC$516&lt;&gt;"",ROW($2:$516),517),ROW(AC267)))&amp;""</f>
        <v/>
      </c>
      <c r="AE268" s="198" t="str">
        <f t="shared" si="8"/>
        <v/>
      </c>
      <c r="AJ268" s="250">
        <v>267</v>
      </c>
      <c r="AK268" s="180" t="str">
        <f>IF(法术书!AK24="","",法术书!AK24)</f>
        <v/>
      </c>
      <c r="AL268" s="119" t="str">
        <f t="array" ref="AL268">IFERROR(INDEX(AK$1:AK$301,SMALL(IF(MATCH(AK268,AK$1:AK$301,0)=ROW(AK268),ROW(AK$1:AK$301),999),ROW(AK268))),"")</f>
        <v/>
      </c>
      <c r="AM268" s="120" t="str">
        <f t="array" ref="AM268">INDEX(AL:AL,SMALL(IF($AL$2:$AL$301&lt;&gt;"",ROW($2:$301),302),ROW(AL267)))&amp;""</f>
        <v/>
      </c>
    </row>
    <row r="269" spans="1:39" ht="14.4" customHeight="1" x14ac:dyDescent="0.25">
      <c r="A269" s="250">
        <v>267</v>
      </c>
      <c r="B269" s="119" t="s">
        <v>7463</v>
      </c>
      <c r="C269" s="119" t="s">
        <v>7464</v>
      </c>
      <c r="E269" s="378" t="s">
        <v>6281</v>
      </c>
      <c r="F269" s="180" t="s">
        <v>6282</v>
      </c>
      <c r="G269" s="180" t="s">
        <v>6400</v>
      </c>
      <c r="H269" s="180">
        <v>1</v>
      </c>
      <c r="K269" s="119"/>
      <c r="N269" s="180" t="s">
        <v>6284</v>
      </c>
      <c r="O269" s="119" t="s">
        <v>7465</v>
      </c>
      <c r="P269" s="119">
        <v>3</v>
      </c>
      <c r="Q269" s="251" t="str">
        <f>IF(综合数据!$B$7=TRUE,"XGE","")</f>
        <v>XGE</v>
      </c>
      <c r="W269" s="180">
        <v>6</v>
      </c>
      <c r="X269" s="180">
        <v>6</v>
      </c>
      <c r="Y269" s="180">
        <v>6</v>
      </c>
      <c r="AA269" s="198"/>
      <c r="AB269" s="250" t="str">
        <f t="array" ref="AB269">INDEX(B:B,SMALL(IF($Q$3:$Q$517&lt;&gt;"",ROW($3:$517),518),ROW(B268)))&amp;""</f>
        <v>迷你仆役</v>
      </c>
      <c r="AC269" s="394" t="str">
        <f>IFERROR(IF(AND($Q270&lt;&gt;"",IF(法术查询!$J$4="",1,INDEX($R270:$Z270,1,VLOOKUP(法术查询!$J$4,$AF$2:$AG$10,2,0)))&lt;&gt;"",IF(法术查询!$J$5="",1,$P270=VLOOKUP(法术查询!$J$5,$AH$2:$AI$11,2,0)),IF(法术查询!$J$6="",1,IF(法术查询!$J$6=$E270,1,0)),IF(法术查询!$J$7="",1,SEARCH(法术查询!$J$7,$F270)),IF(法术查询!$J$8="",1,SEARCH(法术查询!$J$8,G270)),IF(法术查询!$J$9="",1,SEARCH(法术查询!$J$9,N270)),IF(法术查询!$J$10="",1,IF(法术查询!$J$10=$AF$11,IF($M270=1,1,0),IF($M270="",1,0))),IF(法术查询!$J$11="",1,IF(法术查询!$J$11=$AF$11,IF($D270=1,1,0),IF($D270="",1,0))),IF(法术查询!$J$12="",1,SEARCH(法术查询!$J$12,$B270&amp;$C270&amp;$O270)),IF(法术查询!$J$13="",1,SEARCH(法术查询!$J$13,$B270&amp;$C270&amp;$O270)),IF(法术查询!$J$14="",1,SEARCH(法术查询!$J$14,$B270&amp;$C270&amp;$O270)),IF(法术查询!$J$16="",1,IF(法术查询!$J$16=$AF$11,IF($H270=1,1,0),IF($H270="",1,0))),IF(法术查询!$J$17="",1,IF(法术查询!$J$17=$AF$11,IF($I270=1,1,0),IF($I270="",1,0))),IF(法术查询!$J$18="",1,IF(法术查询!$J$18=$AF$11,IF($J270&lt;&gt;"",1,0),IF($J270="",1,0))),IF(法术查询!$J$19="",1,IF(法术查询!$J$19=$AF$11,IF($L270&lt;&gt;"",1,0),IF($L270="",1,0)))),$B270,""),"")</f>
        <v/>
      </c>
      <c r="AD269" s="180" t="str">
        <f t="array" ref="AD269">INDEX(AC:AC,SMALL(IF($AC$2:$AC$516&lt;&gt;"",ROW($2:$516),517),ROW(AC268)))&amp;""</f>
        <v/>
      </c>
      <c r="AE269" s="198" t="str">
        <f t="shared" si="8"/>
        <v/>
      </c>
      <c r="AJ269" s="250">
        <v>268</v>
      </c>
      <c r="AK269" s="180" t="str">
        <f>IF(法术书!AK25="","",法术书!AK25)</f>
        <v/>
      </c>
      <c r="AL269" s="119" t="str">
        <f t="array" ref="AL269">IFERROR(INDEX(AK$1:AK$301,SMALL(IF(MATCH(AK269,AK$1:AK$301,0)=ROW(AK269),ROW(AK$1:AK$301),999),ROW(AK269))),"")</f>
        <v/>
      </c>
      <c r="AM269" s="120" t="str">
        <f t="array" ref="AM269">INDEX(AL:AL,SMALL(IF($AL$2:$AL$301&lt;&gt;"",ROW($2:$301),302),ROW(AL268)))&amp;""</f>
        <v/>
      </c>
    </row>
    <row r="270" spans="1:39" ht="14.4" customHeight="1" x14ac:dyDescent="0.25">
      <c r="A270" s="250">
        <v>268</v>
      </c>
      <c r="B270" s="119" t="s">
        <v>7466</v>
      </c>
      <c r="C270" s="119" t="s">
        <v>7467</v>
      </c>
      <c r="E270" s="378" t="s">
        <v>6281</v>
      </c>
      <c r="F270" s="180" t="s">
        <v>6282</v>
      </c>
      <c r="G270" s="180" t="s">
        <v>6298</v>
      </c>
      <c r="H270" s="180">
        <v>1</v>
      </c>
      <c r="I270" s="180">
        <v>1</v>
      </c>
      <c r="J270" s="180">
        <v>1</v>
      </c>
      <c r="K270" s="119" t="s">
        <v>7468</v>
      </c>
      <c r="N270" s="180" t="s">
        <v>6284</v>
      </c>
      <c r="O270" s="119" t="s">
        <v>7469</v>
      </c>
      <c r="P270" s="119">
        <v>3</v>
      </c>
      <c r="Q270" s="251" t="str">
        <f>IF(综合数据!$B$7=TRUE,"XGE","")</f>
        <v>XGE</v>
      </c>
      <c r="T270" s="180">
        <v>6</v>
      </c>
      <c r="W270" s="180">
        <v>6</v>
      </c>
      <c r="X270" s="180">
        <v>6</v>
      </c>
      <c r="AA270" s="198"/>
      <c r="AB270" s="250" t="str">
        <f t="array" ref="AB270">INDEX(B:B,SMALL(IF($Q$3:$Q$517&lt;&gt;"",ROW($3:$517),518),ROW(B269)))&amp;""</f>
        <v>沙墙术</v>
      </c>
      <c r="AC270" s="394" t="str">
        <f>IFERROR(IF(AND($Q271&lt;&gt;"",IF(法术查询!$J$4="",1,INDEX($R271:$Z271,1,VLOOKUP(法术查询!$J$4,$AF$2:$AG$10,2,0)))&lt;&gt;"",IF(法术查询!$J$5="",1,$P271=VLOOKUP(法术查询!$J$5,$AH$2:$AI$11,2,0)),IF(法术查询!$J$6="",1,IF(法术查询!$J$6=$E271,1,0)),IF(法术查询!$J$7="",1,SEARCH(法术查询!$J$7,$F271)),IF(法术查询!$J$8="",1,SEARCH(法术查询!$J$8,G271)),IF(法术查询!$J$9="",1,SEARCH(法术查询!$J$9,N271)),IF(法术查询!$J$10="",1,IF(法术查询!$J$10=$AF$11,IF($M271=1,1,0),IF($M271="",1,0))),IF(法术查询!$J$11="",1,IF(法术查询!$J$11=$AF$11,IF($D271=1,1,0),IF($D271="",1,0))),IF(法术查询!$J$12="",1,SEARCH(法术查询!$J$12,$B271&amp;$C271&amp;$O271)),IF(法术查询!$J$13="",1,SEARCH(法术查询!$J$13,$B271&amp;$C271&amp;$O271)),IF(法术查询!$J$14="",1,SEARCH(法术查询!$J$14,$B271&amp;$C271&amp;$O271)),IF(法术查询!$J$16="",1,IF(法术查询!$J$16=$AF$11,IF($H271=1,1,0),IF($H271="",1,0))),IF(法术查询!$J$17="",1,IF(法术查询!$J$17=$AF$11,IF($I271=1,1,0),IF($I271="",1,0))),IF(法术查询!$J$18="",1,IF(法术查询!$J$18=$AF$11,IF($J271&lt;&gt;"",1,0),IF($J271="",1,0))),IF(法术查询!$J$19="",1,IF(法术查询!$J$19=$AF$11,IF($L271&lt;&gt;"",1,0),IF($L271="",1,0)))),$B271,""),"")</f>
        <v/>
      </c>
      <c r="AD270" s="180" t="str">
        <f t="array" ref="AD270">INDEX(AC:AC,SMALL(IF($AC$2:$AC$516&lt;&gt;"",ROW($2:$516),517),ROW(AC269)))&amp;""</f>
        <v/>
      </c>
      <c r="AE270" s="198" t="str">
        <f t="shared" si="8"/>
        <v/>
      </c>
      <c r="AJ270" s="250">
        <v>269</v>
      </c>
      <c r="AK270" s="180" t="str">
        <f>IF(法术书!AK26="","",法术书!AK26)</f>
        <v/>
      </c>
      <c r="AL270" s="119" t="str">
        <f t="array" ref="AL270">IFERROR(INDEX(AK$1:AK$301,SMALL(IF(MATCH(AK270,AK$1:AK$301,0)=ROW(AK270),ROW(AK$1:AK$301),999),ROW(AK270))),"")</f>
        <v/>
      </c>
      <c r="AM270" s="120" t="str">
        <f t="array" ref="AM270">INDEX(AL:AL,SMALL(IF($AL$2:$AL$301&lt;&gt;"",ROW($2:$301),302),ROW(AL269)))&amp;""</f>
        <v/>
      </c>
    </row>
    <row r="271" spans="1:39" ht="14.4" customHeight="1" x14ac:dyDescent="0.25">
      <c r="A271" s="250">
        <v>269</v>
      </c>
      <c r="B271" s="119" t="s">
        <v>7470</v>
      </c>
      <c r="C271" s="119" t="s">
        <v>7471</v>
      </c>
      <c r="E271" s="435" t="s">
        <v>6312</v>
      </c>
      <c r="F271" s="180" t="s">
        <v>6344</v>
      </c>
      <c r="G271" s="180" t="s">
        <v>3682</v>
      </c>
      <c r="H271" s="180">
        <v>1</v>
      </c>
      <c r="I271" s="180">
        <v>1</v>
      </c>
      <c r="K271" s="119"/>
      <c r="N271" s="180" t="s">
        <v>6388</v>
      </c>
      <c r="O271" s="119" t="s">
        <v>7472</v>
      </c>
      <c r="P271" s="119">
        <v>3</v>
      </c>
      <c r="Q271" s="251" t="str">
        <f>IF(综合数据!$B$7=TRUE,"XGE","")</f>
        <v>XGE</v>
      </c>
      <c r="X271" s="180">
        <v>6</v>
      </c>
      <c r="Z271" s="180">
        <v>9</v>
      </c>
      <c r="AA271" s="198"/>
      <c r="AB271" s="250" t="str">
        <f t="array" ref="AB271">INDEX(B:B,SMALL(IF($Q$3:$Q$517&lt;&gt;"",ROW($3:$517),518),ROW(B270)))&amp;""</f>
        <v>水墙术</v>
      </c>
      <c r="AC271" s="394" t="str">
        <f>IFERROR(IF(AND($Q272&lt;&gt;"",IF(法术查询!$J$4="",1,INDEX($R272:$Z272,1,VLOOKUP(法术查询!$J$4,$AF$2:$AG$10,2,0)))&lt;&gt;"",IF(法术查询!$J$5="",1,$P272=VLOOKUP(法术查询!$J$5,$AH$2:$AI$11,2,0)),IF(法术查询!$J$6="",1,IF(法术查询!$J$6=$E272,1,0)),IF(法术查询!$J$7="",1,SEARCH(法术查询!$J$7,$F272)),IF(法术查询!$J$8="",1,SEARCH(法术查询!$J$8,G272)),IF(法术查询!$J$9="",1,SEARCH(法术查询!$J$9,N272)),IF(法术查询!$J$10="",1,IF(法术查询!$J$10=$AF$11,IF($M272=1,1,0),IF($M272="",1,0))),IF(法术查询!$J$11="",1,IF(法术查询!$J$11=$AF$11,IF($D272=1,1,0),IF($D272="",1,0))),IF(法术查询!$J$12="",1,SEARCH(法术查询!$J$12,$B272&amp;$C272&amp;$O272)),IF(法术查询!$J$13="",1,SEARCH(法术查询!$J$13,$B272&amp;$C272&amp;$O272)),IF(法术查询!$J$14="",1,SEARCH(法术查询!$J$14,$B272&amp;$C272&amp;$O272)),IF(法术查询!$J$16="",1,IF(法术查询!$J$16=$AF$11,IF($H272=1,1,0),IF($H272="",1,0))),IF(法术查询!$J$17="",1,IF(法术查询!$J$17=$AF$11,IF($I272=1,1,0),IF($I272="",1,0))),IF(法术查询!$J$18="",1,IF(法术查询!$J$18=$AF$11,IF($J272&lt;&gt;"",1,0),IF($J272="",1,0))),IF(法术查询!$J$19="",1,IF(法术查询!$J$19=$AF$11,IF($L272&lt;&gt;"",1,0),IF($L272="",1,0)))),$B272,""),"")</f>
        <v/>
      </c>
      <c r="AD271" s="180" t="str">
        <f t="array" ref="AD271">INDEX(AC:AC,SMALL(IF($AC$2:$AC$516&lt;&gt;"",ROW($2:$516),517),ROW(AC270)))&amp;""</f>
        <v/>
      </c>
      <c r="AE271" s="198" t="str">
        <f t="shared" si="8"/>
        <v/>
      </c>
      <c r="AJ271" s="250">
        <v>270</v>
      </c>
      <c r="AK271" s="180" t="str">
        <f>IF(法术书!AK27="","",法术书!AK27)</f>
        <v/>
      </c>
      <c r="AL271" s="119" t="str">
        <f t="array" ref="AL271">IFERROR(INDEX(AK$1:AK$301,SMALL(IF(MATCH(AK271,AK$1:AK$301,0)=ROW(AK271),ROW(AK$1:AK$301),999),ROW(AK271))),"")</f>
        <v/>
      </c>
      <c r="AM271" s="120" t="str">
        <f t="array" ref="AM271">INDEX(AL:AL,SMALL(IF($AL$2:$AL$301&lt;&gt;"",ROW($2:$301),302),ROW(AL270)))&amp;""</f>
        <v/>
      </c>
    </row>
    <row r="272" spans="1:39" ht="14.4" customHeight="1" x14ac:dyDescent="0.25">
      <c r="A272" s="250">
        <v>270</v>
      </c>
      <c r="B272" s="119" t="s">
        <v>7473</v>
      </c>
      <c r="C272" s="119" t="s">
        <v>7474</v>
      </c>
      <c r="E272" s="434" t="s">
        <v>6304</v>
      </c>
      <c r="F272" s="180" t="s">
        <v>6282</v>
      </c>
      <c r="G272" s="180" t="s">
        <v>6400</v>
      </c>
      <c r="H272" s="180">
        <v>1</v>
      </c>
      <c r="I272" s="180">
        <v>1</v>
      </c>
      <c r="J272" s="180">
        <v>1</v>
      </c>
      <c r="K272" s="119" t="s">
        <v>7475</v>
      </c>
      <c r="M272" s="180">
        <v>1</v>
      </c>
      <c r="N272" s="180" t="s">
        <v>6471</v>
      </c>
      <c r="O272" s="119" t="s">
        <v>7476</v>
      </c>
      <c r="P272" s="119">
        <v>3</v>
      </c>
      <c r="Q272" s="251" t="str">
        <f>IF(综合数据!$B$7=TRUE,"XGE","")</f>
        <v>XGE</v>
      </c>
      <c r="X272" s="180">
        <v>6</v>
      </c>
      <c r="AA272" s="198"/>
      <c r="AB272" s="250" t="str">
        <f t="array" ref="AB272">INDEX(B:B,SMALL(IF($Q$3:$Q$517&lt;&gt;"",ROW($3:$517),518),ROW(B271)))&amp;""</f>
        <v>脉冲波动</v>
      </c>
      <c r="AC272" s="394" t="str">
        <f>IFERROR(IF(AND($Q273&lt;&gt;"",IF(法术查询!$J$4="",1,INDEX($R273:$Z273,1,VLOOKUP(法术查询!$J$4,$AF$2:$AG$10,2,0)))&lt;&gt;"",IF(法术查询!$J$5="",1,$P273=VLOOKUP(法术查询!$J$5,$AH$2:$AI$11,2,0)),IF(法术查询!$J$6="",1,IF(法术查询!$J$6=$E273,1,0)),IF(法术查询!$J$7="",1,SEARCH(法术查询!$J$7,$F273)),IF(法术查询!$J$8="",1,SEARCH(法术查询!$J$8,G273)),IF(法术查询!$J$9="",1,SEARCH(法术查询!$J$9,N273)),IF(法术查询!$J$10="",1,IF(法术查询!$J$10=$AF$11,IF($M273=1,1,0),IF($M273="",1,0))),IF(法术查询!$J$11="",1,IF(法术查询!$J$11=$AF$11,IF($D273=1,1,0),IF($D273="",1,0))),IF(法术查询!$J$12="",1,SEARCH(法术查询!$J$12,$B273&amp;$C273&amp;$O273)),IF(法术查询!$J$13="",1,SEARCH(法术查询!$J$13,$B273&amp;$C273&amp;$O273)),IF(法术查询!$J$14="",1,SEARCH(法术查询!$J$14,$B273&amp;$C273&amp;$O273)),IF(法术查询!$J$16="",1,IF(法术查询!$J$16=$AF$11,IF($H273=1,1,0),IF($H273="",1,0))),IF(法术查询!$J$17="",1,IF(法术查询!$J$17=$AF$11,IF($I273=1,1,0),IF($I273="",1,0))),IF(法术查询!$J$18="",1,IF(法术查询!$J$18=$AF$11,IF($J273&lt;&gt;"",1,0),IF($J273="",1,0))),IF(法术查询!$J$19="",1,IF(法术查询!$J$19=$AF$11,IF($L273&lt;&gt;"",1,0),IF($L273="",1,0)))),$B273,""),"")</f>
        <v/>
      </c>
      <c r="AD272" s="180" t="str">
        <f t="array" ref="AD272">INDEX(AC:AC,SMALL(IF($AC$2:$AC$516&lt;&gt;"",ROW($2:$516),517),ROW(AC271)))&amp;""</f>
        <v/>
      </c>
      <c r="AE272" s="198" t="str">
        <f t="shared" si="8"/>
        <v/>
      </c>
      <c r="AJ272" s="250">
        <v>271</v>
      </c>
      <c r="AK272" s="180" t="str">
        <f>IF(法术书!AK28="","",法术书!AK28)</f>
        <v/>
      </c>
      <c r="AL272" s="119" t="str">
        <f t="array" ref="AL272">IFERROR(INDEX(AK$1:AK$301,SMALL(IF(MATCH(AK272,AK$1:AK$301,0)=ROW(AK272),ROW(AK$1:AK$301),999),ROW(AK272))),"")</f>
        <v/>
      </c>
      <c r="AM272" s="120" t="str">
        <f t="array" ref="AM272">INDEX(AL:AL,SMALL(IF($AL$2:$AL$301&lt;&gt;"",ROW($2:$301),302),ROW(AL271)))&amp;""</f>
        <v/>
      </c>
    </row>
    <row r="273" spans="1:39" ht="14.4" customHeight="1" x14ac:dyDescent="0.25">
      <c r="A273" s="250">
        <v>271</v>
      </c>
      <c r="B273" s="119" t="s">
        <v>7477</v>
      </c>
      <c r="C273" s="119" t="s">
        <v>7478</v>
      </c>
      <c r="E273" s="434" t="s">
        <v>6304</v>
      </c>
      <c r="F273" s="180" t="s">
        <v>6282</v>
      </c>
      <c r="G273" s="180" t="s">
        <v>6283</v>
      </c>
      <c r="H273" s="180">
        <v>1</v>
      </c>
      <c r="I273" s="180">
        <v>1</v>
      </c>
      <c r="J273" s="180">
        <v>1</v>
      </c>
      <c r="K273" s="119" t="s">
        <v>7468</v>
      </c>
      <c r="M273" s="180">
        <v>1</v>
      </c>
      <c r="N273" s="180" t="s">
        <v>6471</v>
      </c>
      <c r="O273" s="119" t="s">
        <v>7479</v>
      </c>
      <c r="P273" s="119">
        <v>3</v>
      </c>
      <c r="Q273" s="251" t="str">
        <f>IF(综合数据!$B$7=TRUE,"XGE","")</f>
        <v>XGE</v>
      </c>
      <c r="T273" s="180">
        <v>6</v>
      </c>
      <c r="W273" s="180">
        <v>6</v>
      </c>
      <c r="X273" s="180">
        <v>6</v>
      </c>
      <c r="AA273" s="120" t="s">
        <v>798</v>
      </c>
      <c r="AB273" s="250" t="str">
        <f t="array" ref="AB273">INDEX(B:B,SMALL(IF($Q$3:$Q$517&lt;&gt;"",ROW($3:$517),518),ROW(B272)))&amp;""</f>
        <v>快速交友</v>
      </c>
      <c r="AC273" s="394" t="str">
        <f>IFERROR(IF(AND($Q274&lt;&gt;"",IF(法术查询!$J$4="",1,INDEX($R274:$Z274,1,VLOOKUP(法术查询!$J$4,$AF$2:$AG$10,2,0)))&lt;&gt;"",IF(法术查询!$J$5="",1,$P274=VLOOKUP(法术查询!$J$5,$AH$2:$AI$11,2,0)),IF(法术查询!$J$6="",1,IF(法术查询!$J$6=$E274,1,0)),IF(法术查询!$J$7="",1,SEARCH(法术查询!$J$7,$F274)),IF(法术查询!$J$8="",1,SEARCH(法术查询!$J$8,G274)),IF(法术查询!$J$9="",1,SEARCH(法术查询!$J$9,N274)),IF(法术查询!$J$10="",1,IF(法术查询!$J$10=$AF$11,IF($M274=1,1,0),IF($M274="",1,0))),IF(法术查询!$J$11="",1,IF(法术查询!$J$11=$AF$11,IF($D274=1,1,0),IF($D274="",1,0))),IF(法术查询!$J$12="",1,SEARCH(法术查询!$J$12,$B274&amp;$C274&amp;$O274)),IF(法术查询!$J$13="",1,SEARCH(法术查询!$J$13,$B274&amp;$C274&amp;$O274)),IF(法术查询!$J$14="",1,SEARCH(法术查询!$J$14,$B274&amp;$C274&amp;$O274)),IF(法术查询!$J$16="",1,IF(法术查询!$J$16=$AF$11,IF($H274=1,1,0),IF($H274="",1,0))),IF(法术查询!$J$17="",1,IF(法术查询!$J$17=$AF$11,IF($I274=1,1,0),IF($I274="",1,0))),IF(法术查询!$J$18="",1,IF(法术查询!$J$18=$AF$11,IF($J274&lt;&gt;"",1,0),IF($J274="",1,0))),IF(法术查询!$J$19="",1,IF(法术查询!$J$19=$AF$11,IF($L274&lt;&gt;"",1,0),IF($L274="",1,0)))),$B274,""),"")</f>
        <v/>
      </c>
      <c r="AD273" s="180" t="str">
        <f t="array" ref="AD273">INDEX(AC:AC,SMALL(IF($AC$2:$AC$516&lt;&gt;"",ROW($2:$516),517),ROW(AC272)))&amp;""</f>
        <v/>
      </c>
      <c r="AE273" s="198" t="str">
        <f t="shared" si="8"/>
        <v/>
      </c>
      <c r="AJ273" s="250">
        <v>272</v>
      </c>
      <c r="AK273" s="180" t="str">
        <f>IF(法术书!AK29="","",法术书!AK29)</f>
        <v/>
      </c>
      <c r="AL273" s="119" t="str">
        <f t="array" ref="AL273">IFERROR(INDEX(AK$1:AK$301,SMALL(IF(MATCH(AK273,AK$1:AK$301,0)=ROW(AK273),ROW(AK$1:AK$301),999),ROW(AK273))),"")</f>
        <v/>
      </c>
      <c r="AM273" s="120" t="str">
        <f t="array" ref="AM273">INDEX(AL:AL,SMALL(IF($AL$2:$AL$301&lt;&gt;"",ROW($2:$301),302),ROW(AL272)))&amp;""</f>
        <v/>
      </c>
    </row>
    <row r="274" spans="1:39" ht="14.4" customHeight="1" x14ac:dyDescent="0.25">
      <c r="A274" s="250">
        <v>272</v>
      </c>
      <c r="B274" s="119" t="s">
        <v>7480</v>
      </c>
      <c r="C274" s="119" t="s">
        <v>7481</v>
      </c>
      <c r="E274" s="434" t="s">
        <v>6304</v>
      </c>
      <c r="F274" s="180" t="s">
        <v>6282</v>
      </c>
      <c r="G274" s="180" t="s">
        <v>6515</v>
      </c>
      <c r="H274" s="180">
        <v>1</v>
      </c>
      <c r="I274" s="180">
        <v>1</v>
      </c>
      <c r="K274" s="119"/>
      <c r="N274" s="180" t="s">
        <v>6284</v>
      </c>
      <c r="O274" s="119" t="s">
        <v>7482</v>
      </c>
      <c r="P274" s="119">
        <v>3</v>
      </c>
      <c r="Q274" s="257" t="str">
        <f>IF(综合数据!$B$11=TRUE,"EGtW","")</f>
        <v>EGtW</v>
      </c>
      <c r="AA274" s="120" t="s">
        <v>6537</v>
      </c>
      <c r="AB274" s="250" t="str">
        <f t="array" ref="AB274">INDEX(B:B,SMALL(IF($Q$3:$Q$517&lt;&gt;"",ROW($3:$517),518),ROW(B273)))&amp;""</f>
        <v>鼓动贪欲</v>
      </c>
      <c r="AC274" s="394" t="str">
        <f>IFERROR(IF(AND($Q275&lt;&gt;"",IF(法术查询!$J$4="",1,INDEX($R275:$Z275,1,VLOOKUP(法术查询!$J$4,$AF$2:$AG$10,2,0)))&lt;&gt;"",IF(法术查询!$J$5="",1,$P275=VLOOKUP(法术查询!$J$5,$AH$2:$AI$11,2,0)),IF(法术查询!$J$6="",1,IF(法术查询!$J$6=$E275,1,0)),IF(法术查询!$J$7="",1,SEARCH(法术查询!$J$7,$F275)),IF(法术查询!$J$8="",1,SEARCH(法术查询!$J$8,G275)),IF(法术查询!$J$9="",1,SEARCH(法术查询!$J$9,N275)),IF(法术查询!$J$10="",1,IF(法术查询!$J$10=$AF$11,IF($M275=1,1,0),IF($M275="",1,0))),IF(法术查询!$J$11="",1,IF(法术查询!$J$11=$AF$11,IF($D275=1,1,0),IF($D275="",1,0))),IF(法术查询!$J$12="",1,SEARCH(法术查询!$J$12,$B275&amp;$C275&amp;$O275)),IF(法术查询!$J$13="",1,SEARCH(法术查询!$J$13,$B275&amp;$C275&amp;$O275)),IF(法术查询!$J$14="",1,SEARCH(法术查询!$J$14,$B275&amp;$C275&amp;$O275)),IF(法术查询!$J$16="",1,IF(法术查询!$J$16=$AF$11,IF($H275=1,1,0),IF($H275="",1,0))),IF(法术查询!$J$17="",1,IF(法术查询!$J$17=$AF$11,IF($I275=1,1,0),IF($I275="",1,0))),IF(法术查询!$J$18="",1,IF(法术查询!$J$18=$AF$11,IF($J275&lt;&gt;"",1,0),IF($J275="",1,0))),IF(法术查询!$J$19="",1,IF(法术查询!$J$19=$AF$11,IF($L275&lt;&gt;"",1,0),IF($L275="",1,0)))),$B275,""),"")</f>
        <v/>
      </c>
      <c r="AD274" s="180" t="str">
        <f t="array" ref="AD274">INDEX(AC:AC,SMALL(IF($AC$2:$AC$516&lt;&gt;"",ROW($2:$516),517),ROW(AC273)))&amp;""</f>
        <v/>
      </c>
      <c r="AE274" s="198" t="str">
        <f t="shared" si="8"/>
        <v/>
      </c>
      <c r="AJ274" s="250">
        <v>273</v>
      </c>
      <c r="AK274" s="180" t="str">
        <f>IF(法术书!AK30="","",法术书!AK30)</f>
        <v/>
      </c>
      <c r="AL274" s="119" t="str">
        <f t="array" ref="AL274">IFERROR(INDEX(AK$1:AK$301,SMALL(IF(MATCH(AK274,AK$1:AK$301,0)=ROW(AK274),ROW(AK$1:AK$301),999),ROW(AK274))),"")</f>
        <v/>
      </c>
      <c r="AM274" s="120" t="str">
        <f t="array" ref="AM274">INDEX(AL:AL,SMALL(IF($AL$2:$AL$301&lt;&gt;"",ROW($2:$301),302),ROW(AL273)))&amp;""</f>
        <v/>
      </c>
    </row>
    <row r="275" spans="1:39" ht="14.4" customHeight="1" x14ac:dyDescent="0.25">
      <c r="A275" s="250">
        <v>273</v>
      </c>
      <c r="B275" s="119" t="s">
        <v>7483</v>
      </c>
      <c r="C275" s="119" t="s">
        <v>7484</v>
      </c>
      <c r="E275" s="379" t="s">
        <v>6328</v>
      </c>
      <c r="F275" s="180" t="s">
        <v>6282</v>
      </c>
      <c r="G275" s="180" t="s">
        <v>6313</v>
      </c>
      <c r="H275" s="180">
        <v>1</v>
      </c>
      <c r="K275" s="119"/>
      <c r="M275" s="180">
        <v>1</v>
      </c>
      <c r="N275" s="180" t="s">
        <v>6379</v>
      </c>
      <c r="O275" s="119" t="s">
        <v>7485</v>
      </c>
      <c r="P275" s="119">
        <v>3</v>
      </c>
      <c r="Q275" s="248" t="str">
        <f>IF(综合数据!$B$12=TRUE,"AcqInc.","")</f>
        <v>AcqInc.</v>
      </c>
      <c r="R275" s="180">
        <v>11</v>
      </c>
      <c r="S275" s="180">
        <v>11</v>
      </c>
      <c r="X275" s="180">
        <v>11</v>
      </c>
      <c r="AA275" s="198"/>
      <c r="AB275" s="250" t="str">
        <f t="array" ref="AB275">INDEX(B:B,SMALL(IF($Q$3:$Q$517&lt;&gt;"",ROW($3:$517),518),ROW(B274)))&amp;""</f>
        <v>励志演讲</v>
      </c>
      <c r="AC275" s="394" t="str">
        <f>IFERROR(IF(AND($Q276&lt;&gt;"",IF(法术查询!$J$4="",1,INDEX($R276:$Z276,1,VLOOKUP(法术查询!$J$4,$AF$2:$AG$10,2,0)))&lt;&gt;"",IF(法术查询!$J$5="",1,$P276=VLOOKUP(法术查询!$J$5,$AH$2:$AI$11,2,0)),IF(法术查询!$J$6="",1,IF(法术查询!$J$6=$E276,1,0)),IF(法术查询!$J$7="",1,SEARCH(法术查询!$J$7,$F276)),IF(法术查询!$J$8="",1,SEARCH(法术查询!$J$8,G276)),IF(法术查询!$J$9="",1,SEARCH(法术查询!$J$9,N276)),IF(法术查询!$J$10="",1,IF(法术查询!$J$10=$AF$11,IF($M276=1,1,0),IF($M276="",1,0))),IF(法术查询!$J$11="",1,IF(法术查询!$J$11=$AF$11,IF($D276=1,1,0),IF($D276="",1,0))),IF(法术查询!$J$12="",1,SEARCH(法术查询!$J$12,$B276&amp;$C276&amp;$O276)),IF(法术查询!$J$13="",1,SEARCH(法术查询!$J$13,$B276&amp;$C276&amp;$O276)),IF(法术查询!$J$14="",1,SEARCH(法术查询!$J$14,$B276&amp;$C276&amp;$O276)),IF(法术查询!$J$16="",1,IF(法术查询!$J$16=$AF$11,IF($H276=1,1,0),IF($H276="",1,0))),IF(法术查询!$J$17="",1,IF(法术查询!$J$17=$AF$11,IF($I276=1,1,0),IF($I276="",1,0))),IF(法术查询!$J$18="",1,IF(法术查询!$J$18=$AF$11,IF($J276&lt;&gt;"",1,0),IF($J276="",1,0))),IF(法术查询!$J$19="",1,IF(法术查询!$J$19=$AF$11,IF($L276&lt;&gt;"",1,0),IF($L276="",1,0)))),$B276,""),"")</f>
        <v/>
      </c>
      <c r="AD275" s="180" t="str">
        <f t="array" ref="AD275">INDEX(AC:AC,SMALL(IF($AC$2:$AC$516&lt;&gt;"",ROW($2:$516),517),ROW(AC274)))&amp;""</f>
        <v/>
      </c>
      <c r="AE275" s="198" t="str">
        <f t="shared" si="8"/>
        <v/>
      </c>
      <c r="AJ275" s="250">
        <v>274</v>
      </c>
      <c r="AK275" s="180" t="str">
        <f>IF(法术书!AK31="","",法术书!AK31)</f>
        <v/>
      </c>
      <c r="AL275" s="119" t="str">
        <f t="array" ref="AL275">IFERROR(INDEX(AK$1:AK$301,SMALL(IF(MATCH(AK275,AK$1:AK$301,0)=ROW(AK275),ROW(AK$1:AK$301),999),ROW(AK275))),"")</f>
        <v/>
      </c>
      <c r="AM275" s="120" t="str">
        <f t="array" ref="AM275">INDEX(AL:AL,SMALL(IF($AL$2:$AL$301&lt;&gt;"",ROW($2:$301),302),ROW(AL274)))&amp;""</f>
        <v/>
      </c>
    </row>
    <row r="276" spans="1:39" ht="14.4" customHeight="1" x14ac:dyDescent="0.25">
      <c r="A276" s="250">
        <v>274</v>
      </c>
      <c r="B276" s="119" t="s">
        <v>7486</v>
      </c>
      <c r="C276" s="119" t="s">
        <v>7487</v>
      </c>
      <c r="E276" s="379" t="s">
        <v>6328</v>
      </c>
      <c r="F276" s="180" t="s">
        <v>6282</v>
      </c>
      <c r="G276" s="180" t="s">
        <v>6313</v>
      </c>
      <c r="H276" s="180">
        <v>1</v>
      </c>
      <c r="I276" s="180">
        <v>1</v>
      </c>
      <c r="J276" s="180">
        <v>1</v>
      </c>
      <c r="K276" s="119" t="s">
        <v>7488</v>
      </c>
      <c r="M276" s="180">
        <v>1</v>
      </c>
      <c r="N276" s="180" t="s">
        <v>6306</v>
      </c>
      <c r="O276" s="119" t="s">
        <v>7489</v>
      </c>
      <c r="P276" s="119">
        <v>3</v>
      </c>
      <c r="Q276" s="248" t="str">
        <f>IF(综合数据!$B$12=TRUE,"AcqInc.","")</f>
        <v>AcqInc.</v>
      </c>
      <c r="S276" s="180">
        <v>11</v>
      </c>
      <c r="W276" s="180">
        <v>11</v>
      </c>
      <c r="X276" s="180">
        <v>11</v>
      </c>
      <c r="Y276" s="180">
        <v>11</v>
      </c>
      <c r="AA276" s="198"/>
      <c r="AB276" s="250" t="str">
        <f t="array" ref="AB276">INDEX(B:B,SMALL(IF($Q$3:$Q$517&lt;&gt;"",ROW($3:$517),518),ROW(B275)))&amp;""</f>
        <v>智能壁垒</v>
      </c>
      <c r="AC276" s="394" t="str">
        <f>IFERROR(IF(AND($Q277&lt;&gt;"",IF(法术查询!$J$4="",1,INDEX($R277:$Z277,1,VLOOKUP(法术查询!$J$4,$AF$2:$AG$10,2,0)))&lt;&gt;"",IF(法术查询!$J$5="",1,$P277=VLOOKUP(法术查询!$J$5,$AH$2:$AI$11,2,0)),IF(法术查询!$J$6="",1,IF(法术查询!$J$6=$E277,1,0)),IF(法术查询!$J$7="",1,SEARCH(法术查询!$J$7,$F277)),IF(法术查询!$J$8="",1,SEARCH(法术查询!$J$8,G277)),IF(法术查询!$J$9="",1,SEARCH(法术查询!$J$9,N277)),IF(法术查询!$J$10="",1,IF(法术查询!$J$10=$AF$11,IF($M277=1,1,0),IF($M277="",1,0))),IF(法术查询!$J$11="",1,IF(法术查询!$J$11=$AF$11,IF($D277=1,1,0),IF($D277="",1,0))),IF(法术查询!$J$12="",1,SEARCH(法术查询!$J$12,$B277&amp;$C277&amp;$O277)),IF(法术查询!$J$13="",1,SEARCH(法术查询!$J$13,$B277&amp;$C277&amp;$O277)),IF(法术查询!$J$14="",1,SEARCH(法术查询!$J$14,$B277&amp;$C277&amp;$O277)),IF(法术查询!$J$16="",1,IF(法术查询!$J$16=$AF$11,IF($H277=1,1,0),IF($H277="",1,0))),IF(法术查询!$J$17="",1,IF(法术查询!$J$17=$AF$11,IF($I277=1,1,0),IF($I277="",1,0))),IF(法术查询!$J$18="",1,IF(法术查询!$J$18=$AF$11,IF($J277&lt;&gt;"",1,0),IF($J277="",1,0))),IF(法术查询!$J$19="",1,IF(法术查询!$J$19=$AF$11,IF($L277&lt;&gt;"",1,0),IF($L277="",1,0)))),$B277,""),"")</f>
        <v/>
      </c>
      <c r="AD276" s="180" t="str">
        <f t="array" ref="AD276">INDEX(AC:AC,SMALL(IF($AC$2:$AC$516&lt;&gt;"",ROW($2:$516),517),ROW(AC275)))&amp;""</f>
        <v/>
      </c>
      <c r="AE276" s="198" t="str">
        <f t="shared" si="8"/>
        <v/>
      </c>
      <c r="AJ276" s="250">
        <v>275</v>
      </c>
      <c r="AK276" s="180" t="str">
        <f>IF(法术书!AK32="","",法术书!AK32)</f>
        <v/>
      </c>
      <c r="AL276" s="119" t="str">
        <f t="array" ref="AL276">IFERROR(INDEX(AK$1:AK$301,SMALL(IF(MATCH(AK276,AK$1:AK$301,0)=ROW(AK276),ROW(AK$1:AK$301),999),ROW(AK276))),"")</f>
        <v/>
      </c>
      <c r="AM276" s="120" t="str">
        <f t="array" ref="AM276">INDEX(AL:AL,SMALL(IF($AL$2:$AL$301&lt;&gt;"",ROW($2:$301),302),ROW(AL275)))&amp;""</f>
        <v/>
      </c>
    </row>
    <row r="277" spans="1:39" ht="14.4" customHeight="1" x14ac:dyDescent="0.25">
      <c r="A277" s="250">
        <v>275</v>
      </c>
      <c r="B277" s="119" t="s">
        <v>7490</v>
      </c>
      <c r="C277" s="119" t="s">
        <v>7491</v>
      </c>
      <c r="E277" s="379" t="s">
        <v>6328</v>
      </c>
      <c r="F277" s="180" t="s">
        <v>6349</v>
      </c>
      <c r="G277" s="180" t="s">
        <v>6283</v>
      </c>
      <c r="H277" s="180">
        <v>1</v>
      </c>
      <c r="K277" s="119"/>
      <c r="N277" s="180" t="s">
        <v>6344</v>
      </c>
      <c r="O277" s="119" t="s">
        <v>7492</v>
      </c>
      <c r="P277" s="119">
        <v>3</v>
      </c>
      <c r="Q277" s="248" t="str">
        <f>IF(综合数据!$B$12=TRUE,"AcqInc.","")</f>
        <v>AcqInc.</v>
      </c>
      <c r="R277" s="180">
        <v>11</v>
      </c>
      <c r="S277" s="180">
        <v>11</v>
      </c>
      <c r="AA277" s="198"/>
      <c r="AB277" s="250" t="str">
        <f t="array" ref="AB277">INDEX(B:B,SMALL(IF($Q$3:$Q$517&lt;&gt;"",ROW($3:$517),518),ROW(B276)))&amp;""</f>
        <v>魂灵环绕</v>
      </c>
      <c r="AC277" s="394" t="str">
        <f>IFERROR(IF(AND($Q278&lt;&gt;"",IF(法术查询!$J$4="",1,INDEX($R278:$Z278,1,VLOOKUP(法术查询!$J$4,$AF$2:$AG$10,2,0)))&lt;&gt;"",IF(法术查询!$J$5="",1,$P278=VLOOKUP(法术查询!$J$5,$AH$2:$AI$11,2,0)),IF(法术查询!$J$6="",1,IF(法术查询!$J$6=$E278,1,0)),IF(法术查询!$J$7="",1,SEARCH(法术查询!$J$7,$F278)),IF(法术查询!$J$8="",1,SEARCH(法术查询!$J$8,G278)),IF(法术查询!$J$9="",1,SEARCH(法术查询!$J$9,N278)),IF(法术查询!$J$10="",1,IF(法术查询!$J$10=$AF$11,IF($M278=1,1,0),IF($M278="",1,0))),IF(法术查询!$J$11="",1,IF(法术查询!$J$11=$AF$11,IF($D278=1,1,0),IF($D278="",1,0))),IF(法术查询!$J$12="",1,SEARCH(法术查询!$J$12,$B278&amp;$C278&amp;$O278)),IF(法术查询!$J$13="",1,SEARCH(法术查询!$J$13,$B278&amp;$C278&amp;$O278)),IF(法术查询!$J$14="",1,SEARCH(法术查询!$J$14,$B278&amp;$C278&amp;$O278)),IF(法术查询!$J$16="",1,IF(法术查询!$J$16=$AF$11,IF($H278=1,1,0),IF($H278="",1,0))),IF(法术查询!$J$17="",1,IF(法术查询!$J$17=$AF$11,IF($I278=1,1,0),IF($I278="",1,0))),IF(法术查询!$J$18="",1,IF(法术查询!$J$18=$AF$11,IF($J278&lt;&gt;"",1,0),IF($J278="",1,0))),IF(法术查询!$J$19="",1,IF(法术查询!$J$19=$AF$11,IF($L278&lt;&gt;"",1,0),IF($L278="",1,0)))),$B278,""),"")</f>
        <v/>
      </c>
      <c r="AD277" s="180" t="str">
        <f t="array" ref="AD277">INDEX(AC:AC,SMALL(IF($AC$2:$AC$516&lt;&gt;"",ROW($2:$516),517),ROW(AC276)))&amp;""</f>
        <v/>
      </c>
      <c r="AE277" s="198" t="str">
        <f t="shared" si="8"/>
        <v/>
      </c>
      <c r="AJ277" s="250">
        <v>276</v>
      </c>
      <c r="AK277" s="180" t="str">
        <f>IF(法术书!AK33="","",法术书!AK33)</f>
        <v/>
      </c>
      <c r="AL277" s="119" t="str">
        <f t="array" ref="AL277">IFERROR(INDEX(AK$1:AK$301,SMALL(IF(MATCH(AK277,AK$1:AK$301,0)=ROW(AK277),ROW(AK$1:AK$301),999),ROW(AK277))),"")</f>
        <v/>
      </c>
      <c r="AM277" s="120" t="str">
        <f t="array" ref="AM277">INDEX(AL:AL,SMALL(IF($AL$2:$AL$301&lt;&gt;"",ROW($2:$301),302),ROW(AL276)))&amp;""</f>
        <v/>
      </c>
    </row>
    <row r="278" spans="1:39" ht="14.4" customHeight="1" x14ac:dyDescent="0.25">
      <c r="A278" s="250">
        <v>276</v>
      </c>
      <c r="B278" s="119" t="s">
        <v>7493</v>
      </c>
      <c r="C278" s="119" t="s">
        <v>7494</v>
      </c>
      <c r="E278" s="440" t="s">
        <v>6290</v>
      </c>
      <c r="F278" s="180" t="s">
        <v>6282</v>
      </c>
      <c r="G278" s="180" t="s">
        <v>6313</v>
      </c>
      <c r="H278" s="180">
        <v>1</v>
      </c>
      <c r="K278" s="119"/>
      <c r="M278" s="180">
        <v>1</v>
      </c>
      <c r="N278" s="180" t="s">
        <v>6379</v>
      </c>
      <c r="O278" s="119" t="s">
        <v>7495</v>
      </c>
      <c r="P278" s="119">
        <v>3</v>
      </c>
      <c r="Q278" s="443" t="str">
        <f>IF(综合数据!$B$14=TRUE,"TCE","")</f>
        <v>TCE</v>
      </c>
      <c r="R278" s="180">
        <v>13</v>
      </c>
      <c r="W278" s="180">
        <v>13</v>
      </c>
      <c r="X278" s="180">
        <v>13</v>
      </c>
      <c r="Y278" s="180">
        <v>13</v>
      </c>
      <c r="Z278" s="180">
        <v>13</v>
      </c>
      <c r="AA278" s="198"/>
      <c r="AB278" s="250" t="str">
        <f t="array" ref="AB278">INDEX(B:B,SMALL(IF($Q$3:$Q$517&lt;&gt;"",ROW($3:$517),518),ROW(B277)))&amp;""</f>
        <v>精类召唤术</v>
      </c>
      <c r="AC278" s="394" t="str">
        <f>IFERROR(IF(AND($Q279&lt;&gt;"",IF(法术查询!$J$4="",1,INDEX($R279:$Z279,1,VLOOKUP(法术查询!$J$4,$AF$2:$AG$10,2,0)))&lt;&gt;"",IF(法术查询!$J$5="",1,$P279=VLOOKUP(法术查询!$J$5,$AH$2:$AI$11,2,0)),IF(法术查询!$J$6="",1,IF(法术查询!$J$6=$E279,1,0)),IF(法术查询!$J$7="",1,SEARCH(法术查询!$J$7,$F279)),IF(法术查询!$J$8="",1,SEARCH(法术查询!$J$8,G279)),IF(法术查询!$J$9="",1,SEARCH(法术查询!$J$9,N279)),IF(法术查询!$J$10="",1,IF(法术查询!$J$10=$AF$11,IF($M279=1,1,0),IF($M279="",1,0))),IF(法术查询!$J$11="",1,IF(法术查询!$J$11=$AF$11,IF($D279=1,1,0),IF($D279="",1,0))),IF(法术查询!$J$12="",1,SEARCH(法术查询!$J$12,$B279&amp;$C279&amp;$O279)),IF(法术查询!$J$13="",1,SEARCH(法术查询!$J$13,$B279&amp;$C279&amp;$O279)),IF(法术查询!$J$14="",1,SEARCH(法术查询!$J$14,$B279&amp;$C279&amp;$O279)),IF(法术查询!$J$16="",1,IF(法术查询!$J$16=$AF$11,IF($H279=1,1,0),IF($H279="",1,0))),IF(法术查询!$J$17="",1,IF(法术查询!$J$17=$AF$11,IF($I279=1,1,0),IF($I279="",1,0))),IF(法术查询!$J$18="",1,IF(法术查询!$J$18=$AF$11,IF($J279&lt;&gt;"",1,0),IF($J279="",1,0))),IF(法术查询!$J$19="",1,IF(法术查询!$J$19=$AF$11,IF($L279&lt;&gt;"",1,0),IF($L279="",1,0)))),$B279,""),"")</f>
        <v/>
      </c>
      <c r="AD278" s="180" t="str">
        <f t="array" ref="AD278">INDEX(AC:AC,SMALL(IF($AC$2:$AC$516&lt;&gt;"",ROW($2:$516),517),ROW(AC277)))&amp;""</f>
        <v/>
      </c>
      <c r="AE278" s="198" t="str">
        <f t="shared" si="8"/>
        <v/>
      </c>
      <c r="AJ278" s="250">
        <v>277</v>
      </c>
      <c r="AK278" s="180" t="str">
        <f>IF(法术书!AK34="","",法术书!AK34)</f>
        <v/>
      </c>
      <c r="AL278" s="119" t="str">
        <f t="array" ref="AL278">IFERROR(INDEX(AK$1:AK$301,SMALL(IF(MATCH(AK278,AK$1:AK$301,0)=ROW(AK278),ROW(AK$1:AK$301),999),ROW(AK278))),"")</f>
        <v/>
      </c>
      <c r="AM278" s="120" t="str">
        <f t="array" ref="AM278">INDEX(AL:AL,SMALL(IF($AL$2:$AL$301&lt;&gt;"",ROW($2:$301),302),ROW(AL277)))&amp;""</f>
        <v/>
      </c>
    </row>
    <row r="279" spans="1:39" ht="14.4" customHeight="1" x14ac:dyDescent="0.25">
      <c r="A279" s="250">
        <v>277</v>
      </c>
      <c r="B279" s="119" t="s">
        <v>7496</v>
      </c>
      <c r="C279" s="119" t="s">
        <v>7497</v>
      </c>
      <c r="E279" s="441" t="s">
        <v>6297</v>
      </c>
      <c r="F279" s="180" t="s">
        <v>6352</v>
      </c>
      <c r="G279" s="180" t="s">
        <v>6291</v>
      </c>
      <c r="H279" s="180">
        <v>1</v>
      </c>
      <c r="I279" s="180">
        <v>1</v>
      </c>
      <c r="K279" s="119"/>
      <c r="M279" s="180">
        <v>1</v>
      </c>
      <c r="N279" s="180" t="s">
        <v>6306</v>
      </c>
      <c r="O279" s="119" t="s">
        <v>7498</v>
      </c>
      <c r="P279" s="119">
        <v>3</v>
      </c>
      <c r="Q279" s="443" t="str">
        <f>IF(综合数据!$B$14=TRUE,"TCE","")</f>
        <v>TCE</v>
      </c>
      <c r="S279" s="180">
        <v>13</v>
      </c>
      <c r="U279" s="180">
        <v>13</v>
      </c>
      <c r="X279" s="180">
        <v>13</v>
      </c>
      <c r="Y279" s="180">
        <v>13</v>
      </c>
      <c r="AA279" s="198"/>
      <c r="AB279" s="250" t="str">
        <f t="array" ref="AB279">INDEX(B:B,SMALL(IF($Q$3:$Q$517&lt;&gt;"",ROW($3:$517),518),ROW(B278)))&amp;""</f>
        <v>暗影衍体召唤术</v>
      </c>
      <c r="AC279" s="394" t="str">
        <f>IFERROR(IF(AND($Q280&lt;&gt;"",IF(法术查询!$J$4="",1,INDEX($R280:$Z280,1,VLOOKUP(法术查询!$J$4,$AF$2:$AG$10,2,0)))&lt;&gt;"",IF(法术查询!$J$5="",1,$P280=VLOOKUP(法术查询!$J$5,$AH$2:$AI$11,2,0)),IF(法术查询!$J$6="",1,IF(法术查询!$J$6=$E280,1,0)),IF(法术查询!$J$7="",1,SEARCH(法术查询!$J$7,$F280)),IF(法术查询!$J$8="",1,SEARCH(法术查询!$J$8,G280)),IF(法术查询!$J$9="",1,SEARCH(法术查询!$J$9,N280)),IF(法术查询!$J$10="",1,IF(法术查询!$J$10=$AF$11,IF($M280=1,1,0),IF($M280="",1,0))),IF(法术查询!$J$11="",1,IF(法术查询!$J$11=$AF$11,IF($D280=1,1,0),IF($D280="",1,0))),IF(法术查询!$J$12="",1,SEARCH(法术查询!$J$12,$B280&amp;$C280&amp;$O280)),IF(法术查询!$J$13="",1,SEARCH(法术查询!$J$13,$B280&amp;$C280&amp;$O280)),IF(法术查询!$J$14="",1,SEARCH(法术查询!$J$14,$B280&amp;$C280&amp;$O280)),IF(法术查询!$J$16="",1,IF(法术查询!$J$16=$AF$11,IF($H280=1,1,0),IF($H280="",1,0))),IF(法术查询!$J$17="",1,IF(法术查询!$J$17=$AF$11,IF($I280=1,1,0),IF($I280="",1,0))),IF(法术查询!$J$18="",1,IF(法术查询!$J$18=$AF$11,IF($J280&lt;&gt;"",1,0),IF($J280="",1,0))),IF(法术查询!$J$19="",1,IF(法术查询!$J$19=$AF$11,IF($L280&lt;&gt;"",1,0),IF($L280="",1,0)))),$B280,""),"")</f>
        <v/>
      </c>
      <c r="AD279" s="180" t="str">
        <f t="array" ref="AD279">INDEX(AC:AC,SMALL(IF($AC$2:$AC$516&lt;&gt;"",ROW($2:$516),517),ROW(AC278)))&amp;""</f>
        <v/>
      </c>
      <c r="AE279" s="198" t="str">
        <f t="shared" si="8"/>
        <v/>
      </c>
      <c r="AJ279" s="250">
        <v>278</v>
      </c>
      <c r="AK279" s="180" t="str">
        <f>IF(法术书!AK35="","",法术书!AK35)</f>
        <v/>
      </c>
      <c r="AL279" s="119" t="str">
        <f t="array" ref="AL279">IFERROR(INDEX(AK$1:AK$301,SMALL(IF(MATCH(AK279,AK$1:AK$301,0)=ROW(AK279),ROW(AK$1:AK$301),999),ROW(AK279))),"")</f>
        <v/>
      </c>
      <c r="AM279" s="120" t="str">
        <f t="array" ref="AM279">INDEX(AL:AL,SMALL(IF($AL$2:$AL$301&lt;&gt;"",ROW($2:$301),302),ROW(AL278)))&amp;""</f>
        <v/>
      </c>
    </row>
    <row r="280" spans="1:39" ht="14.4" customHeight="1" x14ac:dyDescent="0.25">
      <c r="A280" s="250">
        <v>278</v>
      </c>
      <c r="B280" s="119" t="s">
        <v>7499</v>
      </c>
      <c r="C280" s="119" t="s">
        <v>7500</v>
      </c>
      <c r="E280" s="378" t="s">
        <v>6281</v>
      </c>
      <c r="F280" s="180" t="s">
        <v>6282</v>
      </c>
      <c r="G280" s="180" t="s">
        <v>6400</v>
      </c>
      <c r="H280" s="180">
        <v>1</v>
      </c>
      <c r="I280" s="180">
        <v>1</v>
      </c>
      <c r="J280" s="180">
        <v>1</v>
      </c>
      <c r="K280" s="119" t="s">
        <v>7501</v>
      </c>
      <c r="M280" s="180">
        <v>1</v>
      </c>
      <c r="N280" s="180" t="s">
        <v>6379</v>
      </c>
      <c r="O280" s="119" t="s">
        <v>7502</v>
      </c>
      <c r="P280" s="119">
        <v>3</v>
      </c>
      <c r="Q280" s="443" t="str">
        <f>IF(综合数据!$B$14=TRUE,"TCE","")</f>
        <v>TCE</v>
      </c>
      <c r="T280" s="180">
        <v>13</v>
      </c>
      <c r="V280" s="180">
        <v>13</v>
      </c>
      <c r="X280" s="180">
        <v>13</v>
      </c>
      <c r="Y280" s="180">
        <v>13</v>
      </c>
      <c r="AA280" s="198" t="s">
        <v>3188</v>
      </c>
      <c r="AB280" s="250" t="str">
        <f t="array" ref="AB280">INDEX(B:B,SMALL(IF($Q$3:$Q$517&lt;&gt;"",ROW($3:$517),518),ROW(B279)))&amp;""</f>
        <v>亡灵召唤术</v>
      </c>
      <c r="AC280" s="394" t="str">
        <f>IFERROR(IF(AND($Q281&lt;&gt;"",IF(法术查询!$J$4="",1,INDEX($R281:$Z281,1,VLOOKUP(法术查询!$J$4,$AF$2:$AG$10,2,0)))&lt;&gt;"",IF(法术查询!$J$5="",1,$P281=VLOOKUP(法术查询!$J$5,$AH$2:$AI$11,2,0)),IF(法术查询!$J$6="",1,IF(法术查询!$J$6=$E281,1,0)),IF(法术查询!$J$7="",1,SEARCH(法术查询!$J$7,$F281)),IF(法术查询!$J$8="",1,SEARCH(法术查询!$J$8,G281)),IF(法术查询!$J$9="",1,SEARCH(法术查询!$J$9,N281)),IF(法术查询!$J$10="",1,IF(法术查询!$J$10=$AF$11,IF($M281=1,1,0),IF($M281="",1,0))),IF(法术查询!$J$11="",1,IF(法术查询!$J$11=$AF$11,IF($D281=1,1,0),IF($D281="",1,0))),IF(法术查询!$J$12="",1,SEARCH(法术查询!$J$12,$B281&amp;$C281&amp;$O281)),IF(法术查询!$J$13="",1,SEARCH(法术查询!$J$13,$B281&amp;$C281&amp;$O281)),IF(法术查询!$J$14="",1,SEARCH(法术查询!$J$14,$B281&amp;$C281&amp;$O281)),IF(法术查询!$J$16="",1,IF(法术查询!$J$16=$AF$11,IF($H281=1,1,0),IF($H281="",1,0))),IF(法术查询!$J$17="",1,IF(法术查询!$J$17=$AF$11,IF($I281=1,1,0),IF($I281="",1,0))),IF(法术查询!$J$18="",1,IF(法术查询!$J$18=$AF$11,IF($J281&lt;&gt;"",1,0),IF($J281="",1,0))),IF(法术查询!$J$19="",1,IF(法术查询!$J$19=$AF$11,IF($L281&lt;&gt;"",1,0),IF($L281="",1,0)))),$B281,""),"")</f>
        <v/>
      </c>
      <c r="AD280" s="180" t="str">
        <f t="array" ref="AD280">INDEX(AC:AC,SMALL(IF($AC$2:$AC$516&lt;&gt;"",ROW($2:$516),517),ROW(AC279)))&amp;""</f>
        <v/>
      </c>
      <c r="AE280" s="198" t="str">
        <f t="shared" si="8"/>
        <v/>
      </c>
      <c r="AJ280" s="250">
        <v>279</v>
      </c>
      <c r="AK280" s="180" t="str">
        <f>IF(法术书!AK36="","",法术书!AK36)</f>
        <v/>
      </c>
      <c r="AL280" s="119" t="str">
        <f t="array" ref="AL280">IFERROR(INDEX(AK$1:AK$301,SMALL(IF(MATCH(AK280,AK$1:AK$301,0)=ROW(AK280),ROW(AK$1:AK$301),999),ROW(AK280))),"")</f>
        <v/>
      </c>
      <c r="AM280" s="120" t="str">
        <f t="array" ref="AM280">INDEX(AL:AL,SMALL(IF($AL$2:$AL$301&lt;&gt;"",ROW($2:$301),302),ROW(AL279)))&amp;""</f>
        <v/>
      </c>
    </row>
    <row r="281" spans="1:39" ht="14.4" customHeight="1" x14ac:dyDescent="0.25">
      <c r="A281" s="250">
        <v>279</v>
      </c>
      <c r="B281" s="119" t="s">
        <v>7503</v>
      </c>
      <c r="C281" s="119" t="s">
        <v>7504</v>
      </c>
      <c r="E281" s="378" t="s">
        <v>6281</v>
      </c>
      <c r="F281" s="180" t="s">
        <v>6282</v>
      </c>
      <c r="G281" s="180" t="s">
        <v>6400</v>
      </c>
      <c r="H281" s="180">
        <v>1</v>
      </c>
      <c r="I281" s="180">
        <v>1</v>
      </c>
      <c r="J281" s="180">
        <v>1</v>
      </c>
      <c r="K281" s="119" t="s">
        <v>7505</v>
      </c>
      <c r="M281" s="180">
        <v>1</v>
      </c>
      <c r="N281" s="180" t="s">
        <v>6379</v>
      </c>
      <c r="O281" s="119" t="s">
        <v>7506</v>
      </c>
      <c r="P281" s="119">
        <v>3</v>
      </c>
      <c r="Q281" s="443" t="str">
        <f>IF(综合数据!$B$14=TRUE,"TCE","")</f>
        <v>TCE</v>
      </c>
      <c r="X281" s="180">
        <v>13</v>
      </c>
      <c r="Y281" s="180">
        <v>13</v>
      </c>
      <c r="AA281" s="198"/>
      <c r="AB281" s="250" t="str">
        <f t="array" ref="AB281">INDEX(B:B,SMALL(IF($Q$3:$Q$517&lt;&gt;"",ROW($3:$517),518),ROW(B280)))&amp;""</f>
        <v>阿莎德隆奔行</v>
      </c>
      <c r="AC281" s="394" t="str">
        <f>IFERROR(IF(AND($Q282&lt;&gt;"",IF(法术查询!$J$4="",1,INDEX($R282:$Z282,1,VLOOKUP(法术查询!$J$4,$AF$2:$AG$10,2,0)))&lt;&gt;"",IF(法术查询!$J$5="",1,$P282=VLOOKUP(法术查询!$J$5,$AH$2:$AI$11,2,0)),IF(法术查询!$J$6="",1,IF(法术查询!$J$6=$E282,1,0)),IF(法术查询!$J$7="",1,SEARCH(法术查询!$J$7,$F282)),IF(法术查询!$J$8="",1,SEARCH(法术查询!$J$8,G282)),IF(法术查询!$J$9="",1,SEARCH(法术查询!$J$9,N282)),IF(法术查询!$J$10="",1,IF(法术查询!$J$10=$AF$11,IF($M282=1,1,0),IF($M282="",1,0))),IF(法术查询!$J$11="",1,IF(法术查询!$J$11=$AF$11,IF($D282=1,1,0),IF($D282="",1,0))),IF(法术查询!$J$12="",1,SEARCH(法术查询!$J$12,$B282&amp;$C282&amp;$O282)),IF(法术查询!$J$13="",1,SEARCH(法术查询!$J$13,$B282&amp;$C282&amp;$O282)),IF(法术查询!$J$14="",1,SEARCH(法术查询!$J$14,$B282&amp;$C282&amp;$O282)),IF(法术查询!$J$16="",1,IF(法术查询!$J$16=$AF$11,IF($H282=1,1,0),IF($H282="",1,0))),IF(法术查询!$J$17="",1,IF(法术查询!$J$17=$AF$11,IF($I282=1,1,0),IF($I282="",1,0))),IF(法术查询!$J$18="",1,IF(法术查询!$J$18=$AF$11,IF($J282&lt;&gt;"",1,0),IF($J282="",1,0))),IF(法术查询!$J$19="",1,IF(法术查询!$J$19=$AF$11,IF($L282&lt;&gt;"",1,0),IF($L282="",1,0)))),$B282,""),"")</f>
        <v/>
      </c>
      <c r="AD281" s="180" t="str">
        <f t="array" ref="AD281">INDEX(AC:AC,SMALL(IF($AC$2:$AC$516&lt;&gt;"",ROW($2:$516),517),ROW(AC280)))&amp;""</f>
        <v/>
      </c>
      <c r="AE281" s="198" t="str">
        <f t="shared" si="8"/>
        <v/>
      </c>
      <c r="AJ281" s="250">
        <v>280</v>
      </c>
      <c r="AK281" s="180" t="str">
        <f>IF(法术书!AK37="","",法术书!AK37)</f>
        <v/>
      </c>
      <c r="AL281" s="119" t="str">
        <f t="array" ref="AL281">IFERROR(INDEX(AK$1:AK$301,SMALL(IF(MATCH(AK281,AK$1:AK$301,0)=ROW(AK281),ROW(AK$1:AK$301),999),ROW(AK281))),"")</f>
        <v/>
      </c>
      <c r="AM281" s="120" t="str">
        <f t="array" ref="AM281">INDEX(AL:AL,SMALL(IF($AL$2:$AL$301&lt;&gt;"",ROW($2:$301),302),ROW(AL280)))&amp;""</f>
        <v/>
      </c>
    </row>
    <row r="282" spans="1:39" ht="14.4" customHeight="1" x14ac:dyDescent="0.25">
      <c r="A282" s="250">
        <v>280</v>
      </c>
      <c r="B282" s="119" t="s">
        <v>7507</v>
      </c>
      <c r="C282" s="119" t="s">
        <v>7508</v>
      </c>
      <c r="E282" s="441" t="s">
        <v>6297</v>
      </c>
      <c r="F282" s="180" t="s">
        <v>6282</v>
      </c>
      <c r="G282" s="180" t="s">
        <v>6400</v>
      </c>
      <c r="H282" s="180">
        <v>1</v>
      </c>
      <c r="I282" s="180">
        <v>1</v>
      </c>
      <c r="J282" s="180">
        <v>1</v>
      </c>
      <c r="K282" s="119" t="s">
        <v>7509</v>
      </c>
      <c r="M282" s="180">
        <v>1</v>
      </c>
      <c r="N282" s="180" t="s">
        <v>6379</v>
      </c>
      <c r="O282" s="119" t="s">
        <v>7510</v>
      </c>
      <c r="P282" s="119">
        <v>3</v>
      </c>
      <c r="Q282" s="443" t="str">
        <f>IF(综合数据!$B$14=TRUE,"TCE","")</f>
        <v>TCE</v>
      </c>
      <c r="X282" s="180">
        <v>13</v>
      </c>
      <c r="Y282" s="180">
        <v>13</v>
      </c>
      <c r="AA282" s="198"/>
      <c r="AB282" s="250" t="str">
        <f t="array" ref="AB282">INDEX(B:B,SMALL(IF($Q$3:$Q$517&lt;&gt;"",ROW($3:$517),518),ROW(B281)))&amp;""</f>
        <v>秘法眼</v>
      </c>
      <c r="AC282" s="394" t="str">
        <f>IFERROR(IF(AND($Q283&lt;&gt;"",IF(法术查询!$J$4="",1,INDEX($R283:$Z283,1,VLOOKUP(法术查询!$J$4,$AF$2:$AG$10,2,0)))&lt;&gt;"",IF(法术查询!$J$5="",1,$P283=VLOOKUP(法术查询!$J$5,$AH$2:$AI$11,2,0)),IF(法术查询!$J$6="",1,IF(法术查询!$J$6=$E283,1,0)),IF(法术查询!$J$7="",1,SEARCH(法术查询!$J$7,$F283)),IF(法术查询!$J$8="",1,SEARCH(法术查询!$J$8,G283)),IF(法术查询!$J$9="",1,SEARCH(法术查询!$J$9,N283)),IF(法术查询!$J$10="",1,IF(法术查询!$J$10=$AF$11,IF($M283=1,1,0),IF($M283="",1,0))),IF(法术查询!$J$11="",1,IF(法术查询!$J$11=$AF$11,IF($D283=1,1,0),IF($D283="",1,0))),IF(法术查询!$J$12="",1,SEARCH(法术查询!$J$12,$B283&amp;$C283&amp;$O283)),IF(法术查询!$J$13="",1,SEARCH(法术查询!$J$13,$B283&amp;$C283&amp;$O283)),IF(法术查询!$J$14="",1,SEARCH(法术查询!$J$14,$B283&amp;$C283&amp;$O283)),IF(法术查询!$J$16="",1,IF(法术查询!$J$16=$AF$11,IF($H283=1,1,0),IF($H283="",1,0))),IF(法术查询!$J$17="",1,IF(法术查询!$J$17=$AF$11,IF($I283=1,1,0),IF($I283="",1,0))),IF(法术查询!$J$18="",1,IF(法术查询!$J$18=$AF$11,IF($J283&lt;&gt;"",1,0),IF($J283="",1,0))),IF(法术查询!$J$19="",1,IF(法术查询!$J$19=$AF$11,IF($L283&lt;&gt;"",1,0),IF($L283="",1,0)))),$B283,""),"")</f>
        <v/>
      </c>
      <c r="AD282" s="180" t="str">
        <f t="array" ref="AD282">INDEX(AC:AC,SMALL(IF($AC$2:$AC$516&lt;&gt;"",ROW($2:$516),517),ROW(AC281)))&amp;""</f>
        <v/>
      </c>
      <c r="AE282" s="198" t="str">
        <f t="shared" si="8"/>
        <v/>
      </c>
      <c r="AJ282" s="250">
        <v>281</v>
      </c>
      <c r="AK282" s="180" t="str">
        <f>IF(法术书!AK38="","",法术书!AK38)</f>
        <v/>
      </c>
      <c r="AL282" s="119" t="str">
        <f t="array" ref="AL282">IFERROR(INDEX(AK$1:AK$301,SMALL(IF(MATCH(AK282,AK$1:AK$301,0)=ROW(AK282),ROW(AK$1:AK$301),999),ROW(AK282))),"")</f>
        <v/>
      </c>
      <c r="AM282" s="120" t="str">
        <f t="array" ref="AM282">INDEX(AL:AL,SMALL(IF($AL$2:$AL$301&lt;&gt;"",ROW($2:$301),302),ROW(AL281)))&amp;""</f>
        <v/>
      </c>
    </row>
    <row r="283" spans="1:39" ht="14.4" customHeight="1" x14ac:dyDescent="0.25">
      <c r="A283" s="250">
        <v>281</v>
      </c>
      <c r="B283" s="119" t="s">
        <v>7511</v>
      </c>
      <c r="C283" s="119" t="s">
        <v>7512</v>
      </c>
      <c r="E283" s="435" t="s">
        <v>6312</v>
      </c>
      <c r="F283" s="180" t="s">
        <v>6352</v>
      </c>
      <c r="G283" s="180" t="s">
        <v>6291</v>
      </c>
      <c r="H283" s="180">
        <v>1</v>
      </c>
      <c r="I283" s="180">
        <v>1</v>
      </c>
      <c r="M283" s="180">
        <v>1</v>
      </c>
      <c r="N283" s="180" t="s">
        <v>6306</v>
      </c>
      <c r="O283" s="119" t="s">
        <v>7513</v>
      </c>
      <c r="P283" s="180">
        <v>3</v>
      </c>
      <c r="Q283" s="446" t="str">
        <f>IF(综合数据!$B$16=TRUE,"FTD","")</f>
        <v>FTD</v>
      </c>
      <c r="V283" s="180">
        <v>15</v>
      </c>
      <c r="W283" s="180">
        <v>15</v>
      </c>
      <c r="X283" s="180">
        <v>15</v>
      </c>
      <c r="Z283" s="180">
        <v>15</v>
      </c>
      <c r="AA283" s="198"/>
      <c r="AB283" s="250" t="str">
        <f t="array" ref="AB283">INDEX(B:B,SMALL(IF($Q$3:$Q$517&lt;&gt;"",ROW($3:$517),518),ROW(B282)))&amp;""</f>
        <v>生命灵光</v>
      </c>
      <c r="AC283" s="394" t="str">
        <f>IFERROR(IF(AND($Q284&lt;&gt;"",IF(法术查询!$J$4="",1,INDEX($R284:$Z284,1,VLOOKUP(法术查询!$J$4,$AF$2:$AG$10,2,0)))&lt;&gt;"",IF(法术查询!$J$5="",1,$P284=VLOOKUP(法术查询!$J$5,$AH$2:$AI$11,2,0)),IF(法术查询!$J$6="",1,IF(法术查询!$J$6=$E284,1,0)),IF(法术查询!$J$7="",1,SEARCH(法术查询!$J$7,$F284)),IF(法术查询!$J$8="",1,SEARCH(法术查询!$J$8,G284)),IF(法术查询!$J$9="",1,SEARCH(法术查询!$J$9,N284)),IF(法术查询!$J$10="",1,IF(法术查询!$J$10=$AF$11,IF($M284=1,1,0),IF($M284="",1,0))),IF(法术查询!$J$11="",1,IF(法术查询!$J$11=$AF$11,IF($D284=1,1,0),IF($D284="",1,0))),IF(法术查询!$J$12="",1,SEARCH(法术查询!$J$12,$B284&amp;$C284&amp;$O284)),IF(法术查询!$J$13="",1,SEARCH(法术查询!$J$13,$B284&amp;$C284&amp;$O284)),IF(法术查询!$J$14="",1,SEARCH(法术查询!$J$14,$B284&amp;$C284&amp;$O284)),IF(法术查询!$J$16="",1,IF(法术查询!$J$16=$AF$11,IF($H284=1,1,0),IF($H284="",1,0))),IF(法术查询!$J$17="",1,IF(法术查询!$J$17=$AF$11,IF($I284=1,1,0),IF($I284="",1,0))),IF(法术查询!$J$18="",1,IF(法术查询!$J$18=$AF$11,IF($J284&lt;&gt;"",1,0),IF($J284="",1,0))),IF(法术查询!$J$19="",1,IF(法术查询!$J$19=$AF$11,IF($L284&lt;&gt;"",1,0),IF($L284="",1,0)))),$B284,""),"")</f>
        <v/>
      </c>
      <c r="AD283" s="180" t="str">
        <f t="array" ref="AD283">INDEX(AC:AC,SMALL(IF($AC$2:$AC$516&lt;&gt;"",ROW($2:$516),517),ROW(AC282)))&amp;""</f>
        <v/>
      </c>
      <c r="AE283" s="198" t="str">
        <f t="shared" si="8"/>
        <v/>
      </c>
      <c r="AJ283" s="250">
        <v>282</v>
      </c>
      <c r="AK283" s="180" t="str">
        <f>IF(法术书!AK39="","",法术书!AK39)</f>
        <v/>
      </c>
      <c r="AL283" s="119" t="str">
        <f t="array" ref="AL283">IFERROR(INDEX(AK$1:AK$301,SMALL(IF(MATCH(AK283,AK$1:AK$301,0)=ROW(AK283),ROW(AK$1:AK$301),999),ROW(AK283))),"")</f>
        <v/>
      </c>
      <c r="AM283" s="120" t="str">
        <f t="array" ref="AM283">INDEX(AL:AL,SMALL(IF($AL$2:$AL$301&lt;&gt;"",ROW($2:$301),302),ROW(AL282)))&amp;""</f>
        <v/>
      </c>
    </row>
    <row r="284" spans="1:39" ht="14.4" customHeight="1" x14ac:dyDescent="0.25">
      <c r="A284" s="250">
        <v>282</v>
      </c>
      <c r="B284" s="119" t="s">
        <v>7514</v>
      </c>
      <c r="C284" s="119" t="s">
        <v>7515</v>
      </c>
      <c r="E284" s="378" t="s">
        <v>6281</v>
      </c>
      <c r="F284" s="180" t="s">
        <v>6371</v>
      </c>
      <c r="G284" s="180" t="s">
        <v>6313</v>
      </c>
      <c r="H284" s="180">
        <v>1</v>
      </c>
      <c r="I284" s="180">
        <v>1</v>
      </c>
      <c r="J284" s="180">
        <v>1</v>
      </c>
      <c r="K284" s="119" t="s">
        <v>7516</v>
      </c>
      <c r="N284" s="180" t="s">
        <v>6399</v>
      </c>
      <c r="O284" s="119" t="s">
        <v>7517</v>
      </c>
      <c r="P284" s="119">
        <v>3</v>
      </c>
      <c r="Q284" s="168" t="str">
        <f>IF(综合数据!$B$19=TRUE,"MOD","")</f>
        <v/>
      </c>
      <c r="X284" s="180">
        <v>0</v>
      </c>
      <c r="AA284" s="198"/>
      <c r="AB284" s="250" t="str">
        <f t="array" ref="AB284">INDEX(B:B,SMALL(IF($Q$3:$Q$517&lt;&gt;"",ROW($3:$517),518),ROW(B283)))&amp;""</f>
        <v>净化灵光</v>
      </c>
      <c r="AC284" s="394" t="str">
        <f>IFERROR(IF(AND($Q285&lt;&gt;"",IF(法术查询!$J$4="",1,INDEX($R285:$Z285,1,VLOOKUP(法术查询!$J$4,$AF$2:$AG$10,2,0)))&lt;&gt;"",IF(法术查询!$J$5="",1,$P285=VLOOKUP(法术查询!$J$5,$AH$2:$AI$11,2,0)),IF(法术查询!$J$6="",1,IF(法术查询!$J$6=$E285,1,0)),IF(法术查询!$J$7="",1,SEARCH(法术查询!$J$7,$F285)),IF(法术查询!$J$8="",1,SEARCH(法术查询!$J$8,G285)),IF(法术查询!$J$9="",1,SEARCH(法术查询!$J$9,N285)),IF(法术查询!$J$10="",1,IF(法术查询!$J$10=$AF$11,IF($M285=1,1,0),IF($M285="",1,0))),IF(法术查询!$J$11="",1,IF(法术查询!$J$11=$AF$11,IF($D285=1,1,0),IF($D285="",1,0))),IF(法术查询!$J$12="",1,SEARCH(法术查询!$J$12,$B285&amp;$C285&amp;$O285)),IF(法术查询!$J$13="",1,SEARCH(法术查询!$J$13,$B285&amp;$C285&amp;$O285)),IF(法术查询!$J$14="",1,SEARCH(法术查询!$J$14,$B285&amp;$C285&amp;$O285)),IF(法术查询!$J$16="",1,IF(法术查询!$J$16=$AF$11,IF($H285=1,1,0),IF($H285="",1,0))),IF(法术查询!$J$17="",1,IF(法术查询!$J$17=$AF$11,IF($I285=1,1,0),IF($I285="",1,0))),IF(法术查询!$J$18="",1,IF(法术查询!$J$18=$AF$11,IF($J285&lt;&gt;"",1,0),IF($J285="",1,0))),IF(法术查询!$J$19="",1,IF(法术查询!$J$19=$AF$11,IF($L285&lt;&gt;"",1,0),IF($L285="",1,0)))),$B285,""),"")</f>
        <v/>
      </c>
      <c r="AD284" s="180" t="str">
        <f t="array" ref="AD284">INDEX(AC:AC,SMALL(IF($AC$2:$AC$516&lt;&gt;"",ROW($2:$516),517),ROW(AC283)))&amp;""</f>
        <v/>
      </c>
      <c r="AE284" s="198" t="str">
        <f t="shared" si="8"/>
        <v/>
      </c>
      <c r="AJ284" s="250">
        <v>283</v>
      </c>
      <c r="AK284" s="180" t="str">
        <f>IF(法术书!AK40="","",法术书!AK40)</f>
        <v/>
      </c>
      <c r="AL284" s="119" t="str">
        <f t="array" ref="AL284">IFERROR(INDEX(AK$1:AK$301,SMALL(IF(MATCH(AK284,AK$1:AK$301,0)=ROW(AK284),ROW(AK$1:AK$301),999),ROW(AK284))),"")</f>
        <v/>
      </c>
      <c r="AM284" s="120" t="str">
        <f t="array" ref="AM284">INDEX(AL:AL,SMALL(IF($AL$2:$AL$301&lt;&gt;"",ROW($2:$301),302),ROW(AL283)))&amp;""</f>
        <v/>
      </c>
    </row>
    <row r="285" spans="1:39" ht="14.4" customHeight="1" x14ac:dyDescent="0.25">
      <c r="A285" s="250">
        <v>283</v>
      </c>
      <c r="B285" s="119" t="s">
        <v>7518</v>
      </c>
      <c r="C285" s="119" t="s">
        <v>7519</v>
      </c>
      <c r="E285" s="438" t="s">
        <v>6335</v>
      </c>
      <c r="F285" s="180" t="s">
        <v>6282</v>
      </c>
      <c r="G285" s="180" t="s">
        <v>6313</v>
      </c>
      <c r="H285" s="180">
        <v>1</v>
      </c>
      <c r="I285" s="180">
        <v>1</v>
      </c>
      <c r="J285" s="180">
        <v>1</v>
      </c>
      <c r="K285" s="119" t="s">
        <v>7520</v>
      </c>
      <c r="M285" s="180">
        <v>1</v>
      </c>
      <c r="N285" s="180" t="s">
        <v>6379</v>
      </c>
      <c r="O285" s="119" t="s">
        <v>7521</v>
      </c>
      <c r="P285" s="119">
        <v>4</v>
      </c>
      <c r="Q285" s="119" t="s">
        <v>242</v>
      </c>
      <c r="X285" s="180">
        <v>1</v>
      </c>
      <c r="Z285" s="180">
        <v>9</v>
      </c>
      <c r="AA285" s="120" t="s">
        <v>7522</v>
      </c>
      <c r="AB285" s="250" t="str">
        <f t="array" ref="AB285">INDEX(B:B,SMALL(IF($Q$3:$Q$517&lt;&gt;"",ROW($3:$517),518),ROW(B284)))&amp;""</f>
        <v>放逐术</v>
      </c>
      <c r="AC285" s="394" t="str">
        <f>IFERROR(IF(AND($Q286&lt;&gt;"",IF(法术查询!$J$4="",1,INDEX($R286:$Z286,1,VLOOKUP(法术查询!$J$4,$AF$2:$AG$10,2,0)))&lt;&gt;"",IF(法术查询!$J$5="",1,$P286=VLOOKUP(法术查询!$J$5,$AH$2:$AI$11,2,0)),IF(法术查询!$J$6="",1,IF(法术查询!$J$6=$E286,1,0)),IF(法术查询!$J$7="",1,SEARCH(法术查询!$J$7,$F286)),IF(法术查询!$J$8="",1,SEARCH(法术查询!$J$8,G286)),IF(法术查询!$J$9="",1,SEARCH(法术查询!$J$9,N286)),IF(法术查询!$J$10="",1,IF(法术查询!$J$10=$AF$11,IF($M286=1,1,0),IF($M286="",1,0))),IF(法术查询!$J$11="",1,IF(法术查询!$J$11=$AF$11,IF($D286=1,1,0),IF($D286="",1,0))),IF(法术查询!$J$12="",1,SEARCH(法术查询!$J$12,$B286&amp;$C286&amp;$O286)),IF(法术查询!$J$13="",1,SEARCH(法术查询!$J$13,$B286&amp;$C286&amp;$O286)),IF(法术查询!$J$14="",1,SEARCH(法术查询!$J$14,$B286&amp;$C286&amp;$O286)),IF(法术查询!$J$16="",1,IF(法术查询!$J$16=$AF$11,IF($H286=1,1,0),IF($H286="",1,0))),IF(法术查询!$J$17="",1,IF(法术查询!$J$17=$AF$11,IF($I286=1,1,0),IF($I286="",1,0))),IF(法术查询!$J$18="",1,IF(法术查询!$J$18=$AF$11,IF($J286&lt;&gt;"",1,0),IF($J286="",1,0))),IF(法术查询!$J$19="",1,IF(法术查询!$J$19=$AF$11,IF($L286&lt;&gt;"",1,0),IF($L286="",1,0)))),$B286,""),"")</f>
        <v/>
      </c>
      <c r="AD285" s="180" t="str">
        <f t="array" ref="AD285">INDEX(AC:AC,SMALL(IF($AC$2:$AC$516&lt;&gt;"",ROW($2:$516),517),ROW(AC284)))&amp;""</f>
        <v/>
      </c>
      <c r="AE285" s="198" t="str">
        <f t="shared" si="8"/>
        <v/>
      </c>
      <c r="AJ285" s="250">
        <v>284</v>
      </c>
      <c r="AK285" s="180" t="str">
        <f>IF(法术书!AK41="","",法术书!AK41)</f>
        <v/>
      </c>
      <c r="AL285" s="119" t="str">
        <f t="array" ref="AL285">IFERROR(INDEX(AK$1:AK$301,SMALL(IF(MATCH(AK285,AK$1:AK$301,0)=ROW(AK285),ROW(AK$1:AK$301),999),ROW(AK285))),"")</f>
        <v/>
      </c>
      <c r="AM285" s="120" t="str">
        <f t="array" ref="AM285">INDEX(AL:AL,SMALL(IF($AL$2:$AL$301&lt;&gt;"",ROW($2:$301),302),ROW(AL284)))&amp;""</f>
        <v/>
      </c>
    </row>
    <row r="286" spans="1:39" ht="14.4" customHeight="1" x14ac:dyDescent="0.25">
      <c r="A286" s="250">
        <v>284</v>
      </c>
      <c r="B286" s="119" t="s">
        <v>7523</v>
      </c>
      <c r="C286" s="119" t="s">
        <v>7524</v>
      </c>
      <c r="E286" s="440" t="s">
        <v>6290</v>
      </c>
      <c r="F286" s="180" t="s">
        <v>6282</v>
      </c>
      <c r="G286" s="180" t="s">
        <v>6507</v>
      </c>
      <c r="H286" s="180">
        <v>1</v>
      </c>
      <c r="K286" s="119"/>
      <c r="M286" s="180">
        <v>1</v>
      </c>
      <c r="N286" s="180" t="s">
        <v>6471</v>
      </c>
      <c r="O286" s="119" t="s">
        <v>7525</v>
      </c>
      <c r="P286" s="119">
        <v>4</v>
      </c>
      <c r="Q286" s="119" t="s">
        <v>242</v>
      </c>
      <c r="S286" s="180" t="str">
        <f>IF(综合数据!$B$14=TRUE,"13","")</f>
        <v>13</v>
      </c>
      <c r="U286" s="180">
        <v>1</v>
      </c>
      <c r="AA286" s="120" t="s">
        <v>7526</v>
      </c>
      <c r="AB286" s="250" t="str">
        <f t="array" ref="AB286">INDEX(B:B,SMALL(IF($Q$3:$Q$517&lt;&gt;"",ROW($3:$517),518),ROW(B285)))&amp;""</f>
        <v>枯萎术</v>
      </c>
      <c r="AC286" s="394" t="str">
        <f>IFERROR(IF(AND($Q287&lt;&gt;"",IF(法术查询!$J$4="",1,INDEX($R287:$Z287,1,VLOOKUP(法术查询!$J$4,$AF$2:$AG$10,2,0)))&lt;&gt;"",IF(法术查询!$J$5="",1,$P287=VLOOKUP(法术查询!$J$5,$AH$2:$AI$11,2,0)),IF(法术查询!$J$6="",1,IF(法术查询!$J$6=$E287,1,0)),IF(法术查询!$J$7="",1,SEARCH(法术查询!$J$7,$F287)),IF(法术查询!$J$8="",1,SEARCH(法术查询!$J$8,G287)),IF(法术查询!$J$9="",1,SEARCH(法术查询!$J$9,N287)),IF(法术查询!$J$10="",1,IF(法术查询!$J$10=$AF$11,IF($M287=1,1,0),IF($M287="",1,0))),IF(法术查询!$J$11="",1,IF(法术查询!$J$11=$AF$11,IF($D287=1,1,0),IF($D287="",1,0))),IF(法术查询!$J$12="",1,SEARCH(法术查询!$J$12,$B287&amp;$C287&amp;$O287)),IF(法术查询!$J$13="",1,SEARCH(法术查询!$J$13,$B287&amp;$C287&amp;$O287)),IF(法术查询!$J$14="",1,SEARCH(法术查询!$J$14,$B287&amp;$C287&amp;$O287)),IF(法术查询!$J$16="",1,IF(法术查询!$J$16=$AF$11,IF($H287=1,1,0),IF($H287="",1,0))),IF(法术查询!$J$17="",1,IF(法术查询!$J$17=$AF$11,IF($I287=1,1,0),IF($I287="",1,0))),IF(法术查询!$J$18="",1,IF(法术查询!$J$18=$AF$11,IF($J287&lt;&gt;"",1,0),IF($J287="",1,0))),IF(法术查询!$J$19="",1,IF(法术查询!$J$19=$AF$11,IF($L287&lt;&gt;"",1,0),IF($L287="",1,0)))),$B287,""),"")</f>
        <v/>
      </c>
      <c r="AD286" s="180" t="str">
        <f t="array" ref="AD286">INDEX(AC:AC,SMALL(IF($AC$2:$AC$516&lt;&gt;"",ROW($2:$516),517),ROW(AC285)))&amp;""</f>
        <v/>
      </c>
      <c r="AE286" s="198" t="str">
        <f t="shared" si="8"/>
        <v/>
      </c>
      <c r="AJ286" s="250">
        <v>285</v>
      </c>
      <c r="AK286" s="180" t="str">
        <f>IF(法术书!AK42="","",法术书!AK42)</f>
        <v/>
      </c>
      <c r="AL286" s="119" t="str">
        <f t="array" ref="AL286">IFERROR(INDEX(AK$1:AK$301,SMALL(IF(MATCH(AK286,AK$1:AK$301,0)=ROW(AK286),ROW(AK$1:AK$301),999),ROW(AK286))),"")</f>
        <v/>
      </c>
      <c r="AM286" s="120" t="str">
        <f t="array" ref="AM286">INDEX(AL:AL,SMALL(IF($AL$2:$AL$301&lt;&gt;"",ROW($2:$301),302),ROW(AL285)))&amp;""</f>
        <v/>
      </c>
    </row>
    <row r="287" spans="1:39" ht="14.4" customHeight="1" x14ac:dyDescent="0.25">
      <c r="A287" s="250">
        <v>285</v>
      </c>
      <c r="B287" s="119" t="s">
        <v>7527</v>
      </c>
      <c r="C287" s="119" t="s">
        <v>7528</v>
      </c>
      <c r="E287" s="440" t="s">
        <v>6290</v>
      </c>
      <c r="F287" s="180" t="s">
        <v>6282</v>
      </c>
      <c r="G287" s="180" t="s">
        <v>6507</v>
      </c>
      <c r="H287" s="180">
        <v>1</v>
      </c>
      <c r="M287" s="180">
        <v>1</v>
      </c>
      <c r="N287" s="180" t="s">
        <v>6471</v>
      </c>
      <c r="O287" s="119" t="s">
        <v>7529</v>
      </c>
      <c r="P287" s="119">
        <v>4</v>
      </c>
      <c r="Q287" s="119" t="s">
        <v>242</v>
      </c>
      <c r="S287" s="180" t="str">
        <f>IF(综合数据!$B$14=TRUE,"13","")</f>
        <v>13</v>
      </c>
      <c r="U287" s="180">
        <v>1</v>
      </c>
      <c r="AA287" s="120" t="s">
        <v>7530</v>
      </c>
      <c r="AB287" s="250" t="str">
        <f t="array" ref="AB287">INDEX(B:B,SMALL(IF($Q$3:$Q$517&lt;&gt;"",ROW($3:$517),518),ROW(B286)))&amp;""</f>
        <v>强迫术</v>
      </c>
      <c r="AC287" s="394" t="str">
        <f>IFERROR(IF(AND($Q288&lt;&gt;"",IF(法术查询!$J$4="",1,INDEX($R288:$Z288,1,VLOOKUP(法术查询!$J$4,$AF$2:$AG$10,2,0)))&lt;&gt;"",IF(法术查询!$J$5="",1,$P288=VLOOKUP(法术查询!$J$5,$AH$2:$AI$11,2,0)),IF(法术查询!$J$6="",1,IF(法术查询!$J$6=$E288,1,0)),IF(法术查询!$J$7="",1,SEARCH(法术查询!$J$7,$F288)),IF(法术查询!$J$8="",1,SEARCH(法术查询!$J$8,G288)),IF(法术查询!$J$9="",1,SEARCH(法术查询!$J$9,N288)),IF(法术查询!$J$10="",1,IF(法术查询!$J$10=$AF$11,IF($M288=1,1,0),IF($M288="",1,0))),IF(法术查询!$J$11="",1,IF(法术查询!$J$11=$AF$11,IF($D288=1,1,0),IF($D288="",1,0))),IF(法术查询!$J$12="",1,SEARCH(法术查询!$J$12,$B288&amp;$C288&amp;$O288)),IF(法术查询!$J$13="",1,SEARCH(法术查询!$J$13,$B288&amp;$C288&amp;$O288)),IF(法术查询!$J$14="",1,SEARCH(法术查询!$J$14,$B288&amp;$C288&amp;$O288)),IF(法术查询!$J$16="",1,IF(法术查询!$J$16=$AF$11,IF($H288=1,1,0),IF($H288="",1,0))),IF(法术查询!$J$17="",1,IF(法术查询!$J$17=$AF$11,IF($I288=1,1,0),IF($I288="",1,0))),IF(法术查询!$J$18="",1,IF(法术查询!$J$18=$AF$11,IF($J288&lt;&gt;"",1,0),IF($J288="",1,0))),IF(法术查询!$J$19="",1,IF(法术查询!$J$19=$AF$11,IF($L288&lt;&gt;"",1,0),IF($L288="",1,0)))),$B288,""),"")</f>
        <v/>
      </c>
      <c r="AD287" s="180" t="str">
        <f t="array" ref="AD287">INDEX(AC:AC,SMALL(IF($AC$2:$AC$516&lt;&gt;"",ROW($2:$516),517),ROW(AC286)))&amp;""</f>
        <v/>
      </c>
      <c r="AE287" s="198" t="str">
        <f t="shared" si="8"/>
        <v/>
      </c>
      <c r="AJ287" s="250">
        <v>286</v>
      </c>
      <c r="AK287" s="180" t="str">
        <f>IF(法术书!AK43="","",法术书!AK43)</f>
        <v/>
      </c>
      <c r="AL287" s="119" t="str">
        <f t="array" ref="AL287">IFERROR(INDEX(AK$1:AK$301,SMALL(IF(MATCH(AK287,AK$1:AK$301,0)=ROW(AK287),ROW(AK$1:AK$301),999),ROW(AK287))),"")</f>
        <v/>
      </c>
      <c r="AM287" s="120" t="str">
        <f t="array" ref="AM287">INDEX(AL:AL,SMALL(IF($AL$2:$AL$301&lt;&gt;"",ROW($2:$301),302),ROW(AL286)))&amp;""</f>
        <v/>
      </c>
    </row>
    <row r="288" spans="1:39" ht="14.4" customHeight="1" x14ac:dyDescent="0.25">
      <c r="A288" s="250">
        <v>286</v>
      </c>
      <c r="B288" s="119" t="s">
        <v>7531</v>
      </c>
      <c r="C288" s="119" t="s">
        <v>7532</v>
      </c>
      <c r="E288" s="440" t="s">
        <v>6290</v>
      </c>
      <c r="F288" s="180" t="s">
        <v>6282</v>
      </c>
      <c r="G288" s="180" t="s">
        <v>6283</v>
      </c>
      <c r="H288" s="180">
        <v>1</v>
      </c>
      <c r="I288" s="180">
        <v>1</v>
      </c>
      <c r="J288" s="180">
        <v>1</v>
      </c>
      <c r="K288" s="119" t="s">
        <v>7533</v>
      </c>
      <c r="M288" s="180">
        <v>1</v>
      </c>
      <c r="N288" s="180" t="s">
        <v>6306</v>
      </c>
      <c r="O288" s="119" t="s">
        <v>7534</v>
      </c>
      <c r="P288" s="119">
        <v>4</v>
      </c>
      <c r="Q288" s="119" t="s">
        <v>242</v>
      </c>
      <c r="S288" s="180">
        <v>1</v>
      </c>
      <c r="U288" s="180">
        <v>1</v>
      </c>
      <c r="W288" s="180">
        <v>1</v>
      </c>
      <c r="X288" s="180">
        <v>1</v>
      </c>
      <c r="Y288" s="180">
        <v>1</v>
      </c>
      <c r="AA288" s="120" t="s">
        <v>7535</v>
      </c>
      <c r="AB288" s="250" t="str">
        <f t="array" ref="AB288">INDEX(B:B,SMALL(IF($Q$3:$Q$517&lt;&gt;"",ROW($3:$517),518),ROW(B287)))&amp;""</f>
        <v>困惑术</v>
      </c>
      <c r="AC288" s="394" t="str">
        <f>IFERROR(IF(AND($Q289&lt;&gt;"",IF(法术查询!$J$4="",1,INDEX($R289:$Z289,1,VLOOKUP(法术查询!$J$4,$AF$2:$AG$10,2,0)))&lt;&gt;"",IF(法术查询!$J$5="",1,$P289=VLOOKUP(法术查询!$J$5,$AH$2:$AI$11,2,0)),IF(法术查询!$J$6="",1,IF(法术查询!$J$6=$E289,1,0)),IF(法术查询!$J$7="",1,SEARCH(法术查询!$J$7,$F289)),IF(法术查询!$J$8="",1,SEARCH(法术查询!$J$8,G289)),IF(法术查询!$J$9="",1,SEARCH(法术查询!$J$9,N289)),IF(法术查询!$J$10="",1,IF(法术查询!$J$10=$AF$11,IF($M289=1,1,0),IF($M289="",1,0))),IF(法术查询!$J$11="",1,IF(法术查询!$J$11=$AF$11,IF($D289=1,1,0),IF($D289="",1,0))),IF(法术查询!$J$12="",1,SEARCH(法术查询!$J$12,$B289&amp;$C289&amp;$O289)),IF(法术查询!$J$13="",1,SEARCH(法术查询!$J$13,$B289&amp;$C289&amp;$O289)),IF(法术查询!$J$14="",1,SEARCH(法术查询!$J$14,$B289&amp;$C289&amp;$O289)),IF(法术查询!$J$16="",1,IF(法术查询!$J$16=$AF$11,IF($H289=1,1,0),IF($H289="",1,0))),IF(法术查询!$J$17="",1,IF(法术查询!$J$17=$AF$11,IF($I289=1,1,0),IF($I289="",1,0))),IF(法术查询!$J$18="",1,IF(法术查询!$J$18=$AF$11,IF($J289&lt;&gt;"",1,0),IF($J289="",1,0))),IF(法术查询!$J$19="",1,IF(法术查询!$J$19=$AF$11,IF($L289&lt;&gt;"",1,0),IF($L289="",1,0)))),$B289,""),"")</f>
        <v/>
      </c>
      <c r="AD288" s="180" t="str">
        <f t="array" ref="AD288">INDEX(AC:AC,SMALL(IF($AC$2:$AC$516&lt;&gt;"",ROW($2:$516),517),ROW(AC287)))&amp;""</f>
        <v/>
      </c>
      <c r="AE288" s="198" t="str">
        <f t="shared" si="8"/>
        <v/>
      </c>
      <c r="AJ288" s="250">
        <v>287</v>
      </c>
      <c r="AK288" s="180" t="str">
        <f>IF(法术书!AK44="","",法术书!AK44)</f>
        <v/>
      </c>
      <c r="AL288" s="119" t="str">
        <f t="array" ref="AL288">IFERROR(INDEX(AK$1:AK$301,SMALL(IF(MATCH(AK288,AK$1:AK$301,0)=ROW(AK288),ROW(AK$1:AK$301),999),ROW(AK288))),"")</f>
        <v/>
      </c>
      <c r="AM288" s="120" t="str">
        <f t="array" ref="AM288">INDEX(AL:AL,SMALL(IF($AL$2:$AL$301&lt;&gt;"",ROW($2:$301),302),ROW(AL287)))&amp;""</f>
        <v/>
      </c>
    </row>
    <row r="289" spans="1:39" ht="14.4" customHeight="1" x14ac:dyDescent="0.25">
      <c r="A289" s="250">
        <v>287</v>
      </c>
      <c r="B289" s="119" t="s">
        <v>7536</v>
      </c>
      <c r="C289" s="119" t="s">
        <v>7537</v>
      </c>
      <c r="E289" s="441" t="s">
        <v>6297</v>
      </c>
      <c r="F289" s="180" t="s">
        <v>6282</v>
      </c>
      <c r="G289" s="180" t="s">
        <v>6313</v>
      </c>
      <c r="H289" s="180">
        <v>1</v>
      </c>
      <c r="I289" s="180">
        <v>1</v>
      </c>
      <c r="N289" s="180" t="s">
        <v>6284</v>
      </c>
      <c r="O289" s="119" t="s">
        <v>7538</v>
      </c>
      <c r="P289" s="119">
        <v>4</v>
      </c>
      <c r="Q289" s="119" t="s">
        <v>242</v>
      </c>
      <c r="T289" s="180">
        <v>1</v>
      </c>
      <c r="W289" s="180">
        <v>1</v>
      </c>
      <c r="X289" s="180">
        <v>1</v>
      </c>
      <c r="Y289" s="180">
        <v>1</v>
      </c>
      <c r="AA289" s="120" t="s">
        <v>7539</v>
      </c>
      <c r="AB289" s="250" t="str">
        <f t="array" ref="AB289">INDEX(B:B,SMALL(IF($Q$3:$Q$517&lt;&gt;"",ROW($3:$517),518),ROW(B288)))&amp;""</f>
        <v>召唤次级元素生物</v>
      </c>
      <c r="AC289" s="394" t="str">
        <f>IFERROR(IF(AND($Q290&lt;&gt;"",IF(法术查询!$J$4="",1,INDEX($R290:$Z290,1,VLOOKUP(法术查询!$J$4,$AF$2:$AG$10,2,0)))&lt;&gt;"",IF(法术查询!$J$5="",1,$P290=VLOOKUP(法术查询!$J$5,$AH$2:$AI$11,2,0)),IF(法术查询!$J$6="",1,IF(法术查询!$J$6=$E290,1,0)),IF(法术查询!$J$7="",1,SEARCH(法术查询!$J$7,$F290)),IF(法术查询!$J$8="",1,SEARCH(法术查询!$J$8,G290)),IF(法术查询!$J$9="",1,SEARCH(法术查询!$J$9,N290)),IF(法术查询!$J$10="",1,IF(法术查询!$J$10=$AF$11,IF($M290=1,1,0),IF($M290="",1,0))),IF(法术查询!$J$11="",1,IF(法术查询!$J$11=$AF$11,IF($D290=1,1,0),IF($D290="",1,0))),IF(法术查询!$J$12="",1,SEARCH(法术查询!$J$12,$B290&amp;$C290&amp;$O290)),IF(法术查询!$J$13="",1,SEARCH(法术查询!$J$13,$B290&amp;$C290&amp;$O290)),IF(法术查询!$J$14="",1,SEARCH(法术查询!$J$14,$B290&amp;$C290&amp;$O290)),IF(法术查询!$J$16="",1,IF(法术查询!$J$16=$AF$11,IF($H290=1,1,0),IF($H290="",1,0))),IF(法术查询!$J$17="",1,IF(法术查询!$J$17=$AF$11,IF($I290=1,1,0),IF($I290="",1,0))),IF(法术查询!$J$18="",1,IF(法术查询!$J$18=$AF$11,IF($J290&lt;&gt;"",1,0),IF($J290="",1,0))),IF(法术查询!$J$19="",1,IF(法术查询!$J$19=$AF$11,IF($L290&lt;&gt;"",1,0),IF($L290="",1,0)))),$B290,""),"")</f>
        <v/>
      </c>
      <c r="AD289" s="180" t="str">
        <f t="array" ref="AD289">INDEX(AC:AC,SMALL(IF($AC$2:$AC$516&lt;&gt;"",ROW($2:$516),517),ROW(AC288)))&amp;""</f>
        <v/>
      </c>
      <c r="AE289" s="198" t="str">
        <f t="shared" si="8"/>
        <v/>
      </c>
      <c r="AJ289" s="250">
        <v>288</v>
      </c>
      <c r="AK289" s="180" t="str">
        <f>IF(法术书!AK45="","",法术书!AK45)</f>
        <v/>
      </c>
      <c r="AL289" s="119" t="str">
        <f t="array" ref="AL289">IFERROR(INDEX(AK$1:AK$301,SMALL(IF(MATCH(AK289,AK$1:AK$301,0)=ROW(AK289),ROW(AK$1:AK$301),999),ROW(AK289))),"")</f>
        <v/>
      </c>
      <c r="AM289" s="120" t="str">
        <f t="array" ref="AM289">INDEX(AL:AL,SMALL(IF($AL$2:$AL$301&lt;&gt;"",ROW($2:$301),302),ROW(AL288)))&amp;""</f>
        <v/>
      </c>
    </row>
    <row r="290" spans="1:39" ht="14.4" customHeight="1" x14ac:dyDescent="0.25">
      <c r="A290" s="250">
        <v>288</v>
      </c>
      <c r="B290" s="119" t="s">
        <v>7540</v>
      </c>
      <c r="C290" s="119" t="s">
        <v>7541</v>
      </c>
      <c r="E290" s="379" t="s">
        <v>6328</v>
      </c>
      <c r="F290" s="180" t="s">
        <v>6282</v>
      </c>
      <c r="G290" s="180" t="s">
        <v>6313</v>
      </c>
      <c r="H290" s="180">
        <v>1</v>
      </c>
      <c r="I290" s="180">
        <v>1</v>
      </c>
      <c r="M290" s="180">
        <v>1</v>
      </c>
      <c r="N290" s="180" t="s">
        <v>6306</v>
      </c>
      <c r="O290" s="119" t="s">
        <v>7542</v>
      </c>
      <c r="P290" s="119">
        <v>4</v>
      </c>
      <c r="Q290" s="119" t="s">
        <v>242</v>
      </c>
      <c r="R290" s="180">
        <v>1</v>
      </c>
      <c r="AA290" s="120" t="s">
        <v>7543</v>
      </c>
      <c r="AB290" s="250" t="str">
        <f t="array" ref="AB290">INDEX(B:B,SMALL(IF($Q$3:$Q$517&lt;&gt;"",ROW($3:$517),518),ROW(B289)))&amp;""</f>
        <v>召唤林地之精</v>
      </c>
      <c r="AC290" s="394" t="str">
        <f>IFERROR(IF(AND($Q291&lt;&gt;"",IF(法术查询!$J$4="",1,INDEX($R291:$Z291,1,VLOOKUP(法术查询!$J$4,$AF$2:$AG$10,2,0)))&lt;&gt;"",IF(法术查询!$J$5="",1,$P291=VLOOKUP(法术查询!$J$5,$AH$2:$AI$11,2,0)),IF(法术查询!$J$6="",1,IF(法术查询!$J$6=$E291,1,0)),IF(法术查询!$J$7="",1,SEARCH(法术查询!$J$7,$F291)),IF(法术查询!$J$8="",1,SEARCH(法术查询!$J$8,G291)),IF(法术查询!$J$9="",1,SEARCH(法术查询!$J$9,N291)),IF(法术查询!$J$10="",1,IF(法术查询!$J$10=$AF$11,IF($M291=1,1,0),IF($M291="",1,0))),IF(法术查询!$J$11="",1,IF(法术查询!$J$11=$AF$11,IF($D291=1,1,0),IF($D291="",1,0))),IF(法术查询!$J$12="",1,SEARCH(法术查询!$J$12,$B291&amp;$C291&amp;$O291)),IF(法术查询!$J$13="",1,SEARCH(法术查询!$J$13,$B291&amp;$C291&amp;$O291)),IF(法术查询!$J$14="",1,SEARCH(法术查询!$J$14,$B291&amp;$C291&amp;$O291)),IF(法术查询!$J$16="",1,IF(法术查询!$J$16=$AF$11,IF($H291=1,1,0),IF($H291="",1,0))),IF(法术查询!$J$17="",1,IF(法术查询!$J$17=$AF$11,IF($I291=1,1,0),IF($I291="",1,0))),IF(法术查询!$J$18="",1,IF(法术查询!$J$18=$AF$11,IF($J291&lt;&gt;"",1,0),IF($J291="",1,0))),IF(法术查询!$J$19="",1,IF(法术查询!$J$19=$AF$11,IF($L291&lt;&gt;"",1,0),IF($L291="",1,0)))),$B291,""),"")</f>
        <v/>
      </c>
      <c r="AD290" s="180" t="str">
        <f t="array" ref="AD290">INDEX(AC:AC,SMALL(IF($AC$2:$AC$516&lt;&gt;"",ROW($2:$516),517),ROW(AC289)))&amp;""</f>
        <v/>
      </c>
      <c r="AE290" s="198" t="str">
        <f t="shared" si="8"/>
        <v/>
      </c>
      <c r="AJ290" s="250">
        <v>289</v>
      </c>
      <c r="AK290" s="180" t="str">
        <f>IF(法术书!AK46="","",法术书!AK46)</f>
        <v/>
      </c>
      <c r="AL290" s="119" t="str">
        <f t="array" ref="AL290">IFERROR(INDEX(AK$1:AK$301,SMALL(IF(MATCH(AK290,AK$1:AK$301,0)=ROW(AK290),ROW(AK$1:AK$301),999),ROW(AK290))),"")</f>
        <v/>
      </c>
      <c r="AM290" s="120" t="str">
        <f t="array" ref="AM290">INDEX(AL:AL,SMALL(IF($AL$2:$AL$301&lt;&gt;"",ROW($2:$301),302),ROW(AL289)))&amp;""</f>
        <v/>
      </c>
    </row>
    <row r="291" spans="1:39" ht="14.4" customHeight="1" x14ac:dyDescent="0.25">
      <c r="A291" s="250">
        <v>289</v>
      </c>
      <c r="B291" s="119" t="s">
        <v>7544</v>
      </c>
      <c r="C291" s="119" t="s">
        <v>7545</v>
      </c>
      <c r="E291" s="379" t="s">
        <v>6328</v>
      </c>
      <c r="F291" s="180" t="s">
        <v>6282</v>
      </c>
      <c r="G291" s="180" t="s">
        <v>6400</v>
      </c>
      <c r="H291" s="180">
        <v>1</v>
      </c>
      <c r="I291" s="180">
        <v>1</v>
      </c>
      <c r="J291" s="180">
        <v>1</v>
      </c>
      <c r="K291" s="119" t="s">
        <v>7546</v>
      </c>
      <c r="M291" s="180">
        <v>1</v>
      </c>
      <c r="N291" s="180" t="s">
        <v>6306</v>
      </c>
      <c r="O291" s="119" t="s">
        <v>7547</v>
      </c>
      <c r="P291" s="119">
        <v>4</v>
      </c>
      <c r="Q291" s="119" t="s">
        <v>242</v>
      </c>
      <c r="R291" s="180">
        <v>1</v>
      </c>
      <c r="T291" s="180">
        <v>1</v>
      </c>
      <c r="W291" s="180">
        <v>1</v>
      </c>
      <c r="X291" s="180">
        <v>1</v>
      </c>
      <c r="AA291" s="120" t="s">
        <v>7548</v>
      </c>
      <c r="AB291" s="250" t="str">
        <f t="array" ref="AB291">INDEX(B:B,SMALL(IF($Q$3:$Q$517&lt;&gt;"",ROW($3:$517),518),ROW(B290)))&amp;""</f>
        <v>操控水体</v>
      </c>
      <c r="AC291" s="394" t="str">
        <f>IFERROR(IF(AND($Q292&lt;&gt;"",IF(法术查询!$J$4="",1,INDEX($R292:$Z292,1,VLOOKUP(法术查询!$J$4,$AF$2:$AG$10,2,0)))&lt;&gt;"",IF(法术查询!$J$5="",1,$P292=VLOOKUP(法术查询!$J$5,$AH$2:$AI$11,2,0)),IF(法术查询!$J$6="",1,IF(法术查询!$J$6=$E292,1,0)),IF(法术查询!$J$7="",1,SEARCH(法术查询!$J$7,$F292)),IF(法术查询!$J$8="",1,SEARCH(法术查询!$J$8,G292)),IF(法术查询!$J$9="",1,SEARCH(法术查询!$J$9,N292)),IF(法术查询!$J$10="",1,IF(法术查询!$J$10=$AF$11,IF($M292=1,1,0),IF($M292="",1,0))),IF(法术查询!$J$11="",1,IF(法术查询!$J$11=$AF$11,IF($D292=1,1,0),IF($D292="",1,0))),IF(法术查询!$J$12="",1,SEARCH(法术查询!$J$12,$B292&amp;$C292&amp;$O292)),IF(法术查询!$J$13="",1,SEARCH(法术查询!$J$13,$B292&amp;$C292&amp;$O292)),IF(法术查询!$J$14="",1,SEARCH(法术查询!$J$14,$B292&amp;$C292&amp;$O292)),IF(法术查询!$J$16="",1,IF(法术查询!$J$16=$AF$11,IF($H292=1,1,0),IF($H292="",1,0))),IF(法术查询!$J$17="",1,IF(法术查询!$J$17=$AF$11,IF($I292=1,1,0),IF($I292="",1,0))),IF(法术查询!$J$18="",1,IF(法术查询!$J$18=$AF$11,IF($J292&lt;&gt;"",1,0),IF($J292="",1,0))),IF(法术查询!$J$19="",1,IF(法术查询!$J$19=$AF$11,IF($L292&lt;&gt;"",1,0),IF($L292="",1,0)))),$B292,""),"")</f>
        <v/>
      </c>
      <c r="AD291" s="180" t="str">
        <f t="array" ref="AD291">INDEX(AC:AC,SMALL(IF($AC$2:$AC$516&lt;&gt;"",ROW($2:$516),517),ROW(AC290)))&amp;""</f>
        <v/>
      </c>
      <c r="AE291" s="198" t="str">
        <f t="shared" si="8"/>
        <v/>
      </c>
      <c r="AJ291" s="250">
        <v>290</v>
      </c>
      <c r="AK291" s="180" t="str">
        <f>IF(法术书!AK47="","",法术书!AK47)</f>
        <v/>
      </c>
      <c r="AL291" s="119" t="str">
        <f t="array" ref="AL291">IFERROR(INDEX(AK$1:AK$301,SMALL(IF(MATCH(AK291,AK$1:AK$301,0)=ROW(AK291),ROW(AK$1:AK$301),999),ROW(AK291))),"")</f>
        <v/>
      </c>
      <c r="AM291" s="120" t="str">
        <f t="array" ref="AM291">INDEX(AL:AL,SMALL(IF($AL$2:$AL$301&lt;&gt;"",ROW($2:$301),302),ROW(AL290)))&amp;""</f>
        <v/>
      </c>
    </row>
    <row r="292" spans="1:39" ht="14.4" customHeight="1" x14ac:dyDescent="0.25">
      <c r="A292" s="250">
        <v>290</v>
      </c>
      <c r="B292" s="119" t="s">
        <v>7549</v>
      </c>
      <c r="C292" s="119" t="s">
        <v>7550</v>
      </c>
      <c r="E292" s="378" t="s">
        <v>6281</v>
      </c>
      <c r="F292" s="180" t="s">
        <v>6349</v>
      </c>
      <c r="G292" s="180" t="s">
        <v>6400</v>
      </c>
      <c r="H292" s="180">
        <v>1</v>
      </c>
      <c r="I292" s="180">
        <v>1</v>
      </c>
      <c r="M292" s="180">
        <v>1</v>
      </c>
      <c r="N292" s="180" t="s">
        <v>6379</v>
      </c>
      <c r="O292" s="119" t="s">
        <v>7551</v>
      </c>
      <c r="P292" s="119">
        <v>4</v>
      </c>
      <c r="Q292" s="119" t="s">
        <v>242</v>
      </c>
      <c r="T292" s="180">
        <v>1</v>
      </c>
      <c r="X292" s="180">
        <v>1</v>
      </c>
      <c r="AA292" s="120" t="s">
        <v>7552</v>
      </c>
      <c r="AB292" s="250" t="str">
        <f t="array" ref="AB292">INDEX(B:B,SMALL(IF($Q$3:$Q$517&lt;&gt;"",ROW($3:$517),518),ROW(B291)))&amp;""</f>
        <v>防死结界</v>
      </c>
      <c r="AC292" s="394" t="str">
        <f>IFERROR(IF(AND($Q293&lt;&gt;"",IF(法术查询!$J$4="",1,INDEX($R293:$Z293,1,VLOOKUP(法术查询!$J$4,$AF$2:$AG$10,2,0)))&lt;&gt;"",IF(法术查询!$J$5="",1,$P293=VLOOKUP(法术查询!$J$5,$AH$2:$AI$11,2,0)),IF(法术查询!$J$6="",1,IF(法术查询!$J$6=$E293,1,0)),IF(法术查询!$J$7="",1,SEARCH(法术查询!$J$7,$F293)),IF(法术查询!$J$8="",1,SEARCH(法术查询!$J$8,G293)),IF(法术查询!$J$9="",1,SEARCH(法术查询!$J$9,N293)),IF(法术查询!$J$10="",1,IF(法术查询!$J$10=$AF$11,IF($M293=1,1,0),IF($M293="",1,0))),IF(法术查询!$J$11="",1,IF(法术查询!$J$11=$AF$11,IF($D293=1,1,0),IF($D293="",1,0))),IF(法术查询!$J$12="",1,SEARCH(法术查询!$J$12,$B293&amp;$C293&amp;$O293)),IF(法术查询!$J$13="",1,SEARCH(法术查询!$J$13,$B293&amp;$C293&amp;$O293)),IF(法术查询!$J$14="",1,SEARCH(法术查询!$J$14,$B293&amp;$C293&amp;$O293)),IF(法术查询!$J$16="",1,IF(法术查询!$J$16=$AF$11,IF($H293=1,1,0),IF($H293="",1,0))),IF(法术查询!$J$17="",1,IF(法术查询!$J$17=$AF$11,IF($I293=1,1,0),IF($I293="",1,0))),IF(法术查询!$J$18="",1,IF(法术查询!$J$18=$AF$11,IF($J293&lt;&gt;"",1,0),IF($J293="",1,0))),IF(法术查询!$J$19="",1,IF(法术查询!$J$19=$AF$11,IF($L293&lt;&gt;"",1,0),IF($L293="",1,0)))),$B293,""),"")</f>
        <v/>
      </c>
      <c r="AD292" s="180" t="str">
        <f t="array" ref="AD292">INDEX(AC:AC,SMALL(IF($AC$2:$AC$516&lt;&gt;"",ROW($2:$516),517),ROW(AC291)))&amp;""</f>
        <v/>
      </c>
      <c r="AE292" s="198" t="str">
        <f t="shared" si="8"/>
        <v/>
      </c>
      <c r="AJ292" s="250">
        <v>291</v>
      </c>
      <c r="AK292" s="180" t="str">
        <f>IF(法术书!AK48="","",法术书!AK48)</f>
        <v/>
      </c>
      <c r="AL292" s="119" t="str">
        <f t="array" ref="AL292">IFERROR(INDEX(AK$1:AK$301,SMALL(IF(MATCH(AK292,AK$1:AK$301,0)=ROW(AK292),ROW(AK$1:AK$301),999),ROW(AK292))),"")</f>
        <v/>
      </c>
      <c r="AM292" s="120" t="str">
        <f t="array" ref="AM292">INDEX(AL:AL,SMALL(IF($AL$2:$AL$301&lt;&gt;"",ROW($2:$301),302),ROW(AL291)))&amp;""</f>
        <v/>
      </c>
    </row>
    <row r="293" spans="1:39" ht="14.4" customHeight="1" x14ac:dyDescent="0.25">
      <c r="A293" s="250">
        <v>291</v>
      </c>
      <c r="B293" s="119" t="s">
        <v>7553</v>
      </c>
      <c r="C293" s="119" t="s">
        <v>7554</v>
      </c>
      <c r="E293" s="378" t="s">
        <v>6281</v>
      </c>
      <c r="F293" s="180" t="s">
        <v>6282</v>
      </c>
      <c r="G293" s="180" t="s">
        <v>6283</v>
      </c>
      <c r="H293" s="180">
        <v>1</v>
      </c>
      <c r="I293" s="180">
        <v>1</v>
      </c>
      <c r="J293" s="180">
        <v>1</v>
      </c>
      <c r="K293" s="119" t="s">
        <v>7555</v>
      </c>
      <c r="M293" s="180">
        <v>1</v>
      </c>
      <c r="N293" s="180" t="s">
        <v>6379</v>
      </c>
      <c r="O293" s="119" t="s">
        <v>7556</v>
      </c>
      <c r="P293" s="119">
        <v>4</v>
      </c>
      <c r="Q293" s="119" t="s">
        <v>242</v>
      </c>
      <c r="T293" s="180">
        <v>1</v>
      </c>
      <c r="V293" s="180">
        <v>1</v>
      </c>
      <c r="AA293" s="198"/>
      <c r="AB293" s="250" t="str">
        <f t="array" ref="AB293">INDEX(B:B,SMALL(IF($Q$3:$Q$517&lt;&gt;"",ROW($3:$517),518),ROW(B292)))&amp;""</f>
        <v>任意门</v>
      </c>
      <c r="AC293" s="394" t="str">
        <f>IFERROR(IF(AND($Q294&lt;&gt;"",IF(法术查询!$J$4="",1,INDEX($R294:$Z294,1,VLOOKUP(法术查询!$J$4,$AF$2:$AG$10,2,0)))&lt;&gt;"",IF(法术查询!$J$5="",1,$P294=VLOOKUP(法术查询!$J$5,$AH$2:$AI$11,2,0)),IF(法术查询!$J$6="",1,IF(法术查询!$J$6=$E294,1,0)),IF(法术查询!$J$7="",1,SEARCH(法术查询!$J$7,$F294)),IF(法术查询!$J$8="",1,SEARCH(法术查询!$J$8,G294)),IF(法术查询!$J$9="",1,SEARCH(法术查询!$J$9,N294)),IF(法术查询!$J$10="",1,IF(法术查询!$J$10=$AF$11,IF($M294=1,1,0),IF($M294="",1,0))),IF(法术查询!$J$11="",1,IF(法术查询!$J$11=$AF$11,IF($D294=1,1,0),IF($D294="",1,0))),IF(法术查询!$J$12="",1,SEARCH(法术查询!$J$12,$B294&amp;$C294&amp;$O294)),IF(法术查询!$J$13="",1,SEARCH(法术查询!$J$13,$B294&amp;$C294&amp;$O294)),IF(法术查询!$J$14="",1,SEARCH(法术查询!$J$14,$B294&amp;$C294&amp;$O294)),IF(法术查询!$J$16="",1,IF(法术查询!$J$16=$AF$11,IF($H294=1,1,0),IF($H294="",1,0))),IF(法术查询!$J$17="",1,IF(法术查询!$J$17=$AF$11,IF($I294=1,1,0),IF($I294="",1,0))),IF(法术查询!$J$18="",1,IF(法术查询!$J$18=$AF$11,IF($J294&lt;&gt;"",1,0),IF($J294="",1,0))),IF(法术查询!$J$19="",1,IF(法术查询!$J$19=$AF$11,IF($L294&lt;&gt;"",1,0),IF($L294="",1,0)))),$B294,""),"")</f>
        <v/>
      </c>
      <c r="AD293" s="180" t="str">
        <f t="array" ref="AD293">INDEX(AC:AC,SMALL(IF($AC$2:$AC$516&lt;&gt;"",ROW($2:$516),517),ROW(AC292)))&amp;""</f>
        <v/>
      </c>
      <c r="AE293" s="198" t="str">
        <f t="shared" si="8"/>
        <v/>
      </c>
      <c r="AJ293" s="250">
        <v>292</v>
      </c>
      <c r="AK293" s="180" t="str">
        <f>IF(法术书!AK49="","",法术书!AK49)</f>
        <v/>
      </c>
      <c r="AL293" s="119" t="str">
        <f t="array" ref="AL293">IFERROR(INDEX(AK$1:AK$301,SMALL(IF(MATCH(AK293,AK$1:AK$301,0)=ROW(AK293),ROW(AK$1:AK$301),999),ROW(AK293))),"")</f>
        <v/>
      </c>
      <c r="AM293" s="120" t="str">
        <f t="array" ref="AM293">INDEX(AL:AL,SMALL(IF($AL$2:$AL$301&lt;&gt;"",ROW($2:$301),302),ROW(AL292)))&amp;""</f>
        <v/>
      </c>
    </row>
    <row r="294" spans="1:39" ht="14.4" customHeight="1" x14ac:dyDescent="0.25">
      <c r="A294" s="250">
        <v>292</v>
      </c>
      <c r="B294" s="119" t="s">
        <v>7557</v>
      </c>
      <c r="C294" s="119" t="s">
        <v>7558</v>
      </c>
      <c r="E294" s="435" t="s">
        <v>6312</v>
      </c>
      <c r="F294" s="180" t="s">
        <v>6282</v>
      </c>
      <c r="G294" s="180" t="s">
        <v>6426</v>
      </c>
      <c r="H294" s="180">
        <v>1</v>
      </c>
      <c r="I294" s="180">
        <v>1</v>
      </c>
      <c r="J294" s="180">
        <v>1</v>
      </c>
      <c r="K294" s="119" t="s">
        <v>7559</v>
      </c>
      <c r="M294" s="180">
        <v>1</v>
      </c>
      <c r="N294" s="180" t="s">
        <v>6471</v>
      </c>
      <c r="O294" s="119" t="s">
        <v>7560</v>
      </c>
      <c r="P294" s="119">
        <v>4</v>
      </c>
      <c r="Q294" s="119" t="s">
        <v>242</v>
      </c>
      <c r="S294" s="180">
        <v>1</v>
      </c>
      <c r="T294" s="180">
        <v>1</v>
      </c>
      <c r="X294" s="180">
        <v>1</v>
      </c>
      <c r="AA294" s="120" t="s">
        <v>7561</v>
      </c>
      <c r="AB294" s="250" t="str">
        <f t="array" ref="AB294">INDEX(B:B,SMALL(IF($Q$3:$Q$517&lt;&gt;"",ROW($3:$517),518),ROW(B293)))&amp;""</f>
        <v>预言术</v>
      </c>
      <c r="AC294" s="394" t="str">
        <f>IFERROR(IF(AND($Q295&lt;&gt;"",IF(法术查询!$J$4="",1,INDEX($R295:$Z295,1,VLOOKUP(法术查询!$J$4,$AF$2:$AG$10,2,0)))&lt;&gt;"",IF(法术查询!$J$5="",1,$P295=VLOOKUP(法术查询!$J$5,$AH$2:$AI$11,2,0)),IF(法术查询!$J$6="",1,IF(法术查询!$J$6=$E295,1,0)),IF(法术查询!$J$7="",1,SEARCH(法术查询!$J$7,$F295)),IF(法术查询!$J$8="",1,SEARCH(法术查询!$J$8,G295)),IF(法术查询!$J$9="",1,SEARCH(法术查询!$J$9,N295)),IF(法术查询!$J$10="",1,IF(法术查询!$J$10=$AF$11,IF($M295=1,1,0),IF($M295="",1,0))),IF(法术查询!$J$11="",1,IF(法术查询!$J$11=$AF$11,IF($D295=1,1,0),IF($D295="",1,0))),IF(法术查询!$J$12="",1,SEARCH(法术查询!$J$12,$B295&amp;$C295&amp;$O295)),IF(法术查询!$J$13="",1,SEARCH(法术查询!$J$13,$B295&amp;$C295&amp;$O295)),IF(法术查询!$J$14="",1,SEARCH(法术查询!$J$14,$B295&amp;$C295&amp;$O295)),IF(法术查询!$J$16="",1,IF(法术查询!$J$16=$AF$11,IF($H295=1,1,0),IF($H295="",1,0))),IF(法术查询!$J$17="",1,IF(法术查询!$J$17=$AF$11,IF($I295=1,1,0),IF($I295="",1,0))),IF(法术查询!$J$18="",1,IF(法术查询!$J$18=$AF$11,IF($J295&lt;&gt;"",1,0),IF($J295="",1,0))),IF(法术查询!$J$19="",1,IF(法术查询!$J$19=$AF$11,IF($L295&lt;&gt;"",1,0),IF($L295="",1,0)))),$B295,""),"")</f>
        <v/>
      </c>
      <c r="AD294" s="180" t="str">
        <f t="array" ref="AD294">INDEX(AC:AC,SMALL(IF($AC$2:$AC$516&lt;&gt;"",ROW($2:$516),517),ROW(AC293)))&amp;""</f>
        <v/>
      </c>
      <c r="AE294" s="198" t="str">
        <f t="shared" si="8"/>
        <v/>
      </c>
      <c r="AJ294" s="250">
        <v>293</v>
      </c>
      <c r="AK294" s="180" t="str">
        <f>IF(法术书!AK50="","",法术书!AK50)</f>
        <v/>
      </c>
      <c r="AL294" s="119" t="str">
        <f t="array" ref="AL294">IFERROR(INDEX(AK$1:AK$301,SMALL(IF(MATCH(AK294,AK$1:AK$301,0)=ROW(AK294),ROW(AK$1:AK$301),999),ROW(AK294))),"")</f>
        <v/>
      </c>
      <c r="AM294" s="120" t="str">
        <f t="array" ref="AM294">INDEX(AL:AL,SMALL(IF($AL$2:$AL$301&lt;&gt;"",ROW($2:$301),302),ROW(AL293)))&amp;""</f>
        <v/>
      </c>
    </row>
    <row r="295" spans="1:39" ht="14.4" customHeight="1" x14ac:dyDescent="0.25">
      <c r="A295" s="250">
        <v>293</v>
      </c>
      <c r="B295" s="119" t="s">
        <v>7562</v>
      </c>
      <c r="C295" s="119" t="s">
        <v>7563</v>
      </c>
      <c r="E295" s="440" t="s">
        <v>6290</v>
      </c>
      <c r="F295" s="180" t="s">
        <v>6282</v>
      </c>
      <c r="G295" s="180" t="s">
        <v>3682</v>
      </c>
      <c r="H295" s="180">
        <v>1</v>
      </c>
      <c r="I295" s="180">
        <v>1</v>
      </c>
      <c r="N295" s="180" t="s">
        <v>6388</v>
      </c>
      <c r="O295" s="119" t="s">
        <v>7564</v>
      </c>
      <c r="P295" s="119">
        <v>4</v>
      </c>
      <c r="Q295" s="119" t="s">
        <v>242</v>
      </c>
      <c r="S295" s="180">
        <v>1</v>
      </c>
      <c r="U295" s="180">
        <v>1</v>
      </c>
      <c r="AA295" s="120" t="s">
        <v>7565</v>
      </c>
      <c r="AB295" s="250" t="str">
        <f t="array" ref="AB295">INDEX(B:B,SMALL(IF($Q$3:$Q$517&lt;&gt;"",ROW($3:$517),518),ROW(B294)))&amp;""</f>
        <v>支配野兽</v>
      </c>
      <c r="AC295" s="394" t="str">
        <f>IFERROR(IF(AND($Q296&lt;&gt;"",IF(法术查询!$J$4="",1,INDEX($R296:$Z296,1,VLOOKUP(法术查询!$J$4,$AF$2:$AG$10,2,0)))&lt;&gt;"",IF(法术查询!$J$5="",1,$P296=VLOOKUP(法术查询!$J$5,$AH$2:$AI$11,2,0)),IF(法术查询!$J$6="",1,IF(法术查询!$J$6=$E296,1,0)),IF(法术查询!$J$7="",1,SEARCH(法术查询!$J$7,$F296)),IF(法术查询!$J$8="",1,SEARCH(法术查询!$J$8,G296)),IF(法术查询!$J$9="",1,SEARCH(法术查询!$J$9,N296)),IF(法术查询!$J$10="",1,IF(法术查询!$J$10=$AF$11,IF($M296=1,1,0),IF($M296="",1,0))),IF(法术查询!$J$11="",1,IF(法术查询!$J$11=$AF$11,IF($D296=1,1,0),IF($D296="",1,0))),IF(法术查询!$J$12="",1,SEARCH(法术查询!$J$12,$B296&amp;$C296&amp;$O296)),IF(法术查询!$J$13="",1,SEARCH(法术查询!$J$13,$B296&amp;$C296&amp;$O296)),IF(法术查询!$J$14="",1,SEARCH(法术查询!$J$14,$B296&amp;$C296&amp;$O296)),IF(法术查询!$J$16="",1,IF(法术查询!$J$16=$AF$11,IF($H296=1,1,0),IF($H296="",1,0))),IF(法术查询!$J$17="",1,IF(法术查询!$J$17=$AF$11,IF($I296=1,1,0),IF($I296="",1,0))),IF(法术查询!$J$18="",1,IF(法术查询!$J$18=$AF$11,IF($J296&lt;&gt;"",1,0),IF($J296="",1,0))),IF(法术查询!$J$19="",1,IF(法术查询!$J$19=$AF$11,IF($L296&lt;&gt;"",1,0),IF($L296="",1,0)))),$B296,""),"")</f>
        <v/>
      </c>
      <c r="AD295" s="180" t="str">
        <f t="array" ref="AD295">INDEX(AC:AC,SMALL(IF($AC$2:$AC$516&lt;&gt;"",ROW($2:$516),517),ROW(AC294)))&amp;""</f>
        <v/>
      </c>
      <c r="AE295" s="198" t="str">
        <f t="shared" si="8"/>
        <v/>
      </c>
      <c r="AJ295" s="250">
        <v>294</v>
      </c>
      <c r="AK295" s="180" t="str">
        <f>IF(法术书!AK51="","",法术书!AK51)</f>
        <v/>
      </c>
      <c r="AL295" s="119" t="str">
        <f t="array" ref="AL295">IFERROR(INDEX(AK$1:AK$301,SMALL(IF(MATCH(AK295,AK$1:AK$301,0)=ROW(AK295),ROW(AK$1:AK$301),999),ROW(AK295))),"")</f>
        <v/>
      </c>
      <c r="AM295" s="120" t="str">
        <f t="array" ref="AM295">INDEX(AL:AL,SMALL(IF($AL$2:$AL$301&lt;&gt;"",ROW($2:$301),302),ROW(AL294)))&amp;""</f>
        <v/>
      </c>
    </row>
    <row r="296" spans="1:39" ht="14.4" customHeight="1" x14ac:dyDescent="0.25">
      <c r="A296" s="250">
        <v>294</v>
      </c>
      <c r="B296" s="119" t="s">
        <v>7566</v>
      </c>
      <c r="C296" s="119" t="s">
        <v>7567</v>
      </c>
      <c r="E296" s="378" t="s">
        <v>6281</v>
      </c>
      <c r="F296" s="180" t="s">
        <v>6282</v>
      </c>
      <c r="G296" s="180" t="s">
        <v>6433</v>
      </c>
      <c r="H296" s="180">
        <v>1</v>
      </c>
      <c r="N296" s="180" t="s">
        <v>6284</v>
      </c>
      <c r="O296" s="119" t="s">
        <v>7568</v>
      </c>
      <c r="P296" s="119">
        <v>4</v>
      </c>
      <c r="Q296" s="119" t="s">
        <v>242</v>
      </c>
      <c r="R296" s="180">
        <v>1</v>
      </c>
      <c r="W296" s="180">
        <v>1</v>
      </c>
      <c r="X296" s="180">
        <v>1</v>
      </c>
      <c r="Y296" s="180">
        <v>1</v>
      </c>
      <c r="AA296" s="120" t="s">
        <v>7569</v>
      </c>
      <c r="AB296" s="250" t="str">
        <f t="array" ref="AB296">INDEX(B:B,SMALL(IF($Q$3:$Q$517&lt;&gt;"",ROW($3:$517),518),ROW(B295)))&amp;""</f>
        <v>艾伐黑触手</v>
      </c>
      <c r="AC296" s="394" t="str">
        <f>IFERROR(IF(AND($Q297&lt;&gt;"",IF(法术查询!$J$4="",1,INDEX($R297:$Z297,1,VLOOKUP(法术查询!$J$4,$AF$2:$AG$10,2,0)))&lt;&gt;"",IF(法术查询!$J$5="",1,$P297=VLOOKUP(法术查询!$J$5,$AH$2:$AI$11,2,0)),IF(法术查询!$J$6="",1,IF(法术查询!$J$6=$E297,1,0)),IF(法术查询!$J$7="",1,SEARCH(法术查询!$J$7,$F297)),IF(法术查询!$J$8="",1,SEARCH(法术查询!$J$8,G297)),IF(法术查询!$J$9="",1,SEARCH(法术查询!$J$9,N297)),IF(法术查询!$J$10="",1,IF(法术查询!$J$10=$AF$11,IF($M297=1,1,0),IF($M297="",1,0))),IF(法术查询!$J$11="",1,IF(法术查询!$J$11=$AF$11,IF($D297=1,1,0),IF($D297="",1,0))),IF(法术查询!$J$12="",1,SEARCH(法术查询!$J$12,$B297&amp;$C297&amp;$O297)),IF(法术查询!$J$13="",1,SEARCH(法术查询!$J$13,$B297&amp;$C297&amp;$O297)),IF(法术查询!$J$14="",1,SEARCH(法术查询!$J$14,$B297&amp;$C297&amp;$O297)),IF(法术查询!$J$16="",1,IF(法术查询!$J$16=$AF$11,IF($H297=1,1,0),IF($H297="",1,0))),IF(法术查询!$J$17="",1,IF(法术查询!$J$17=$AF$11,IF($I297=1,1,0),IF($I297="",1,0))),IF(法术查询!$J$18="",1,IF(法术查询!$J$18=$AF$11,IF($J297&lt;&gt;"",1,0),IF($J297="",1,0))),IF(法术查询!$J$19="",1,IF(法术查询!$J$19=$AF$11,IF($L297&lt;&gt;"",1,0),IF($L297="",1,0)))),$B297,""),"")</f>
        <v/>
      </c>
      <c r="AD296" s="180" t="str">
        <f t="array" ref="AD296">INDEX(AC:AC,SMALL(IF($AC$2:$AC$516&lt;&gt;"",ROW($2:$516),517),ROW(AC295)))&amp;""</f>
        <v/>
      </c>
      <c r="AE296" s="198" t="str">
        <f t="shared" si="8"/>
        <v/>
      </c>
      <c r="AJ296" s="250">
        <v>295</v>
      </c>
      <c r="AK296" s="180" t="str">
        <f>IF(法术书!AK52="","",法术书!AK52)</f>
        <v/>
      </c>
      <c r="AL296" s="119" t="str">
        <f t="array" ref="AL296">IFERROR(INDEX(AK$1:AK$301,SMALL(IF(MATCH(AK296,AK$1:AK$301,0)=ROW(AK296),ROW(AK$1:AK$301),999),ROW(AK296))),"")</f>
        <v/>
      </c>
      <c r="AM296" s="120" t="str">
        <f t="array" ref="AM296">INDEX(AL:AL,SMALL(IF($AL$2:$AL$301&lt;&gt;"",ROW($2:$301),302),ROW(AL295)))&amp;""</f>
        <v/>
      </c>
    </row>
    <row r="297" spans="1:39" ht="14.4" customHeight="1" x14ac:dyDescent="0.25">
      <c r="A297" s="250">
        <v>295</v>
      </c>
      <c r="B297" s="119" t="s">
        <v>7570</v>
      </c>
      <c r="C297" s="119" t="s">
        <v>7571</v>
      </c>
      <c r="D297" s="180">
        <v>1</v>
      </c>
      <c r="E297" s="438" t="s">
        <v>6335</v>
      </c>
      <c r="F297" s="180" t="s">
        <v>6282</v>
      </c>
      <c r="G297" s="180" t="s">
        <v>6291</v>
      </c>
      <c r="H297" s="180">
        <v>1</v>
      </c>
      <c r="I297" s="180">
        <v>1</v>
      </c>
      <c r="J297" s="180">
        <v>1</v>
      </c>
      <c r="L297" s="119" t="s">
        <v>7572</v>
      </c>
      <c r="N297" s="180" t="s">
        <v>6284</v>
      </c>
      <c r="O297" s="119" t="s">
        <v>7573</v>
      </c>
      <c r="P297" s="119">
        <v>4</v>
      </c>
      <c r="Q297" s="119" t="s">
        <v>242</v>
      </c>
      <c r="S297" s="180">
        <v>1</v>
      </c>
      <c r="T297" s="180" t="str">
        <f>IF(综合数据!$B$14=TRUE,"13","")</f>
        <v>13</v>
      </c>
      <c r="X297" s="180" t="str">
        <f>IF(综合数据!$B$14=TRUE,"13","")</f>
        <v>13</v>
      </c>
      <c r="AA297" s="120" t="s">
        <v>7574</v>
      </c>
      <c r="AB297" s="250" t="str">
        <f t="array" ref="AB297">INDEX(B:B,SMALL(IF($Q$3:$Q$517&lt;&gt;"",ROW($3:$517),518),ROW(B296)))&amp;""</f>
        <v>鬼斧神工</v>
      </c>
      <c r="AC297" s="394" t="str">
        <f>IFERROR(IF(AND($Q298&lt;&gt;"",IF(法术查询!$J$4="",1,INDEX($R298:$Z298,1,VLOOKUP(法术查询!$J$4,$AF$2:$AG$10,2,0)))&lt;&gt;"",IF(法术查询!$J$5="",1,$P298=VLOOKUP(法术查询!$J$5,$AH$2:$AI$11,2,0)),IF(法术查询!$J$6="",1,IF(法术查询!$J$6=$E298,1,0)),IF(法术查询!$J$7="",1,SEARCH(法术查询!$J$7,$F298)),IF(法术查询!$J$8="",1,SEARCH(法术查询!$J$8,G298)),IF(法术查询!$J$9="",1,SEARCH(法术查询!$J$9,N298)),IF(法术查询!$J$10="",1,IF(法术查询!$J$10=$AF$11,IF($M298=1,1,0),IF($M298="",1,0))),IF(法术查询!$J$11="",1,IF(法术查询!$J$11=$AF$11,IF($D298=1,1,0),IF($D298="",1,0))),IF(法术查询!$J$12="",1,SEARCH(法术查询!$J$12,$B298&amp;$C298&amp;$O298)),IF(法术查询!$J$13="",1,SEARCH(法术查询!$J$13,$B298&amp;$C298&amp;$O298)),IF(法术查询!$J$14="",1,SEARCH(法术查询!$J$14,$B298&amp;$C298&amp;$O298)),IF(法术查询!$J$16="",1,IF(法术查询!$J$16=$AF$11,IF($H298=1,1,0),IF($H298="",1,0))),IF(法术查询!$J$17="",1,IF(法术查询!$J$17=$AF$11,IF($I298=1,1,0),IF($I298="",1,0))),IF(法术查询!$J$18="",1,IF(法术查询!$J$18=$AF$11,IF($J298&lt;&gt;"",1,0),IF($J298="",1,0))),IF(法术查询!$J$19="",1,IF(法术查询!$J$19=$AF$11,IF($L298&lt;&gt;"",1,0),IF($L298="",1,0)))),$B298,""),"")</f>
        <v/>
      </c>
      <c r="AD297" s="180" t="str">
        <f t="array" ref="AD297">INDEX(AC:AC,SMALL(IF($AC$2:$AC$516&lt;&gt;"",ROW($2:$516),517),ROW(AC296)))&amp;""</f>
        <v/>
      </c>
      <c r="AE297" s="198" t="str">
        <f t="shared" si="8"/>
        <v/>
      </c>
      <c r="AJ297" s="250">
        <v>296</v>
      </c>
      <c r="AK297" s="180" t="str">
        <f>IF(法术书!AK53="","",法术书!AK53)</f>
        <v/>
      </c>
      <c r="AL297" s="119" t="str">
        <f t="array" ref="AL297">IFERROR(INDEX(AK$1:AK$301,SMALL(IF(MATCH(AK297,AK$1:AK$301,0)=ROW(AK297),ROW(AK$1:AK$301),999),ROW(AK297))),"")</f>
        <v/>
      </c>
      <c r="AM297" s="120" t="str">
        <f t="array" ref="AM297">INDEX(AL:AL,SMALL(IF($AL$2:$AL$301&lt;&gt;"",ROW($2:$301),302),ROW(AL296)))&amp;""</f>
        <v/>
      </c>
    </row>
    <row r="298" spans="1:39" ht="14.4" customHeight="1" x14ac:dyDescent="0.25">
      <c r="A298" s="250">
        <v>296</v>
      </c>
      <c r="B298" s="119" t="s">
        <v>7575</v>
      </c>
      <c r="C298" s="119" t="s">
        <v>7576</v>
      </c>
      <c r="E298" s="379" t="s">
        <v>6328</v>
      </c>
      <c r="F298" s="180" t="s">
        <v>6282</v>
      </c>
      <c r="G298" s="180" t="s">
        <v>6283</v>
      </c>
      <c r="H298" s="180">
        <v>1</v>
      </c>
      <c r="I298" s="180">
        <v>1</v>
      </c>
      <c r="M298" s="180">
        <v>1</v>
      </c>
      <c r="N298" s="180" t="s">
        <v>6306</v>
      </c>
      <c r="O298" s="119" t="s">
        <v>7577</v>
      </c>
      <c r="P298" s="119">
        <v>4</v>
      </c>
      <c r="Q298" s="119" t="s">
        <v>242</v>
      </c>
      <c r="T298" s="180">
        <v>1</v>
      </c>
      <c r="V298" s="180" t="str">
        <f>IF(综合数据!$B$14=TRUE,"13","")</f>
        <v>13</v>
      </c>
      <c r="W298" s="180">
        <v>1</v>
      </c>
      <c r="AA298" s="120" t="s">
        <v>7578</v>
      </c>
      <c r="AB298" s="250" t="str">
        <f t="array" ref="AB298">INDEX(B:B,SMALL(IF($Q$3:$Q$517&lt;&gt;"",ROW($3:$517),518),ROW(B297)))&amp;""</f>
        <v>火焰护盾</v>
      </c>
      <c r="AC298" s="394" t="str">
        <f>IFERROR(IF(AND($Q299&lt;&gt;"",IF(法术查询!$J$4="",1,INDEX($R299:$Z299,1,VLOOKUP(法术查询!$J$4,$AF$2:$AG$10,2,0)))&lt;&gt;"",IF(法术查询!$J$5="",1,$P299=VLOOKUP(法术查询!$J$5,$AH$2:$AI$11,2,0)),IF(法术查询!$J$6="",1,IF(法术查询!$J$6=$E299,1,0)),IF(法术查询!$J$7="",1,SEARCH(法术查询!$J$7,$F299)),IF(法术查询!$J$8="",1,SEARCH(法术查询!$J$8,G299)),IF(法术查询!$J$9="",1,SEARCH(法术查询!$J$9,N299)),IF(法术查询!$J$10="",1,IF(法术查询!$J$10=$AF$11,IF($M299=1,1,0),IF($M299="",1,0))),IF(法术查询!$J$11="",1,IF(法术查询!$J$11=$AF$11,IF($D299=1,1,0),IF($D299="",1,0))),IF(法术查询!$J$12="",1,SEARCH(法术查询!$J$12,$B299&amp;$C299&amp;$O299)),IF(法术查询!$J$13="",1,SEARCH(法术查询!$J$13,$B299&amp;$C299&amp;$O299)),IF(法术查询!$J$14="",1,SEARCH(法术查询!$J$14,$B299&amp;$C299&amp;$O299)),IF(法术查询!$J$16="",1,IF(法术查询!$J$16=$AF$11,IF($H299=1,1,0),IF($H299="",1,0))),IF(法术查询!$J$17="",1,IF(法术查询!$J$17=$AF$11,IF($I299=1,1,0),IF($I299="",1,0))),IF(法术查询!$J$18="",1,IF(法术查询!$J$18=$AF$11,IF($J299&lt;&gt;"",1,0),IF($J299="",1,0))),IF(法术查询!$J$19="",1,IF(法术查询!$J$19=$AF$11,IF($L299&lt;&gt;"",1,0),IF($L299="",1,0)))),$B299,""),"")</f>
        <v/>
      </c>
      <c r="AD298" s="180" t="str">
        <f t="array" ref="AD298">INDEX(AC:AC,SMALL(IF($AC$2:$AC$516&lt;&gt;"",ROW($2:$516),517),ROW(AC297)))&amp;""</f>
        <v/>
      </c>
      <c r="AE298" s="198" t="str">
        <f t="shared" si="8"/>
        <v/>
      </c>
      <c r="AJ298" s="250">
        <v>297</v>
      </c>
      <c r="AK298" s="180" t="str">
        <f>IF(法术书!AK54="","",法术书!AK54)</f>
        <v/>
      </c>
      <c r="AL298" s="119" t="str">
        <f t="array" ref="AL298">IFERROR(INDEX(AK$1:AK$301,SMALL(IF(MATCH(AK298,AK$1:AK$301,0)=ROW(AK298),ROW(AK$1:AK$301),999),ROW(AK298))),"")</f>
        <v/>
      </c>
      <c r="AM298" s="120" t="str">
        <f t="array" ref="AM298">INDEX(AL:AL,SMALL(IF($AL$2:$AL$301&lt;&gt;"",ROW($2:$301),302),ROW(AL297)))&amp;""</f>
        <v/>
      </c>
    </row>
    <row r="299" spans="1:39" ht="14.4" customHeight="1" x14ac:dyDescent="0.25">
      <c r="A299" s="250">
        <v>297</v>
      </c>
      <c r="B299" s="119" t="s">
        <v>7579</v>
      </c>
      <c r="C299" s="119" t="s">
        <v>7580</v>
      </c>
      <c r="E299" s="378" t="s">
        <v>6281</v>
      </c>
      <c r="F299" s="180" t="s">
        <v>6282</v>
      </c>
      <c r="G299" s="180" t="s">
        <v>6400</v>
      </c>
      <c r="H299" s="180">
        <v>1</v>
      </c>
      <c r="I299" s="180">
        <v>1</v>
      </c>
      <c r="J299" s="180">
        <v>1</v>
      </c>
      <c r="K299" s="119" t="s">
        <v>7581</v>
      </c>
      <c r="M299" s="180">
        <v>1</v>
      </c>
      <c r="N299" s="180" t="s">
        <v>6306</v>
      </c>
      <c r="O299" s="119" t="s">
        <v>7582</v>
      </c>
      <c r="P299" s="119">
        <v>4</v>
      </c>
      <c r="Q299" s="119" t="s">
        <v>242</v>
      </c>
      <c r="X299" s="180">
        <v>1</v>
      </c>
      <c r="AA299" s="120" t="s">
        <v>7583</v>
      </c>
      <c r="AB299" s="250" t="str">
        <f t="array" ref="AB299">INDEX(B:B,SMALL(IF($Q$3:$Q$517&lt;&gt;"",ROW($3:$517),518),ROW(B298)))&amp;""</f>
        <v>行动自如</v>
      </c>
      <c r="AC299" s="394" t="str">
        <f>IFERROR(IF(AND($Q300&lt;&gt;"",IF(法术查询!$J$4="",1,INDEX($R300:$Z300,1,VLOOKUP(法术查询!$J$4,$AF$2:$AG$10,2,0)))&lt;&gt;"",IF(法术查询!$J$5="",1,$P300=VLOOKUP(法术查询!$J$5,$AH$2:$AI$11,2,0)),IF(法术查询!$J$6="",1,IF(法术查询!$J$6=$E300,1,0)),IF(法术查询!$J$7="",1,SEARCH(法术查询!$J$7,$F300)),IF(法术查询!$J$8="",1,SEARCH(法术查询!$J$8,G300)),IF(法术查询!$J$9="",1,SEARCH(法术查询!$J$9,N300)),IF(法术查询!$J$10="",1,IF(法术查询!$J$10=$AF$11,IF($M300=1,1,0),IF($M300="",1,0))),IF(法术查询!$J$11="",1,IF(法术查询!$J$11=$AF$11,IF($D300=1,1,0),IF($D300="",1,0))),IF(法术查询!$J$12="",1,SEARCH(法术查询!$J$12,$B300&amp;$C300&amp;$O300)),IF(法术查询!$J$13="",1,SEARCH(法术查询!$J$13,$B300&amp;$C300&amp;$O300)),IF(法术查询!$J$14="",1,SEARCH(法术查询!$J$14,$B300&amp;$C300&amp;$O300)),IF(法术查询!$J$16="",1,IF(法术查询!$J$16=$AF$11,IF($H300=1,1,0),IF($H300="",1,0))),IF(法术查询!$J$17="",1,IF(法术查询!$J$17=$AF$11,IF($I300=1,1,0),IF($I300="",1,0))),IF(法术查询!$J$18="",1,IF(法术查询!$J$18=$AF$11,IF($J300&lt;&gt;"",1,0),IF($J300="",1,0))),IF(法术查询!$J$19="",1,IF(法术查询!$J$19=$AF$11,IF($L300&lt;&gt;"",1,0),IF($L300="",1,0)))),$B300,""),"")</f>
        <v/>
      </c>
      <c r="AD299" s="180" t="str">
        <f t="array" ref="AD299">INDEX(AC:AC,SMALL(IF($AC$2:$AC$516&lt;&gt;"",ROW($2:$516),517),ROW(AC298)))&amp;""</f>
        <v/>
      </c>
      <c r="AE299" s="198" t="str">
        <f t="shared" si="8"/>
        <v/>
      </c>
      <c r="AJ299" s="250">
        <v>298</v>
      </c>
      <c r="AK299" s="180" t="str">
        <f>IF(法术书!AK55="","",法术书!AK55)</f>
        <v/>
      </c>
      <c r="AL299" s="119" t="str">
        <f t="array" ref="AL299">IFERROR(INDEX(AK$1:AK$301,SMALL(IF(MATCH(AK299,AK$1:AK$301,0)=ROW(AK299),ROW(AK$1:AK$301),999),ROW(AK299))),"")</f>
        <v/>
      </c>
      <c r="AM299" s="120" t="str">
        <f t="array" ref="AM299">INDEX(AL:AL,SMALL(IF($AL$2:$AL$301&lt;&gt;"",ROW($2:$301),302),ROW(AL298)))&amp;""</f>
        <v/>
      </c>
    </row>
    <row r="300" spans="1:39" ht="14.4" customHeight="1" x14ac:dyDescent="0.25">
      <c r="A300" s="250">
        <v>298</v>
      </c>
      <c r="B300" s="119" t="s">
        <v>7584</v>
      </c>
      <c r="C300" s="119" t="s">
        <v>7585</v>
      </c>
      <c r="E300" s="435" t="s">
        <v>6312</v>
      </c>
      <c r="F300" s="180" t="s">
        <v>6371</v>
      </c>
      <c r="G300" s="180" t="s">
        <v>6298</v>
      </c>
      <c r="H300" s="180">
        <v>1</v>
      </c>
      <c r="I300" s="180">
        <v>1</v>
      </c>
      <c r="N300" s="180" t="s">
        <v>6284</v>
      </c>
      <c r="O300" s="119" t="s">
        <v>7586</v>
      </c>
      <c r="P300" s="119">
        <v>4</v>
      </c>
      <c r="Q300" s="119" t="s">
        <v>242</v>
      </c>
      <c r="X300" s="180">
        <v>1</v>
      </c>
      <c r="Z300" s="180">
        <v>9</v>
      </c>
      <c r="AA300" s="120" t="s">
        <v>7587</v>
      </c>
      <c r="AB300" s="250" t="str">
        <f t="array" ref="AB300">INDEX(B:B,SMALL(IF($Q$3:$Q$517&lt;&gt;"",ROW($3:$517),518),ROW(B299)))&amp;""</f>
        <v>巨虫术</v>
      </c>
      <c r="AC300" s="394" t="str">
        <f>IFERROR(IF(AND($Q301&lt;&gt;"",IF(法术查询!$J$4="",1,INDEX($R301:$Z301,1,VLOOKUP(法术查询!$J$4,$AF$2:$AG$10,2,0)))&lt;&gt;"",IF(法术查询!$J$5="",1,$P301=VLOOKUP(法术查询!$J$5,$AH$2:$AI$11,2,0)),IF(法术查询!$J$6="",1,IF(法术查询!$J$6=$E301,1,0)),IF(法术查询!$J$7="",1,SEARCH(法术查询!$J$7,$F301)),IF(法术查询!$J$8="",1,SEARCH(法术查询!$J$8,G301)),IF(法术查询!$J$9="",1,SEARCH(法术查询!$J$9,N301)),IF(法术查询!$J$10="",1,IF(法术查询!$J$10=$AF$11,IF($M301=1,1,0),IF($M301="",1,0))),IF(法术查询!$J$11="",1,IF(法术查询!$J$11=$AF$11,IF($D301=1,1,0),IF($D301="",1,0))),IF(法术查询!$J$12="",1,SEARCH(法术查询!$J$12,$B301&amp;$C301&amp;$O301)),IF(法术查询!$J$13="",1,SEARCH(法术查询!$J$13,$B301&amp;$C301&amp;$O301)),IF(法术查询!$J$14="",1,SEARCH(法术查询!$J$14,$B301&amp;$C301&amp;$O301)),IF(法术查询!$J$16="",1,IF(法术查询!$J$16=$AF$11,IF($H301=1,1,0),IF($H301="",1,0))),IF(法术查询!$J$17="",1,IF(法术查询!$J$17=$AF$11,IF($I301=1,1,0),IF($I301="",1,0))),IF(法术查询!$J$18="",1,IF(法术查询!$J$18=$AF$11,IF($J301&lt;&gt;"",1,0),IF($J301="",1,0))),IF(法术查询!$J$19="",1,IF(法术查询!$J$19=$AF$11,IF($L301&lt;&gt;"",1,0),IF($L301="",1,0)))),$B301,""),"")</f>
        <v/>
      </c>
      <c r="AD300" s="180" t="str">
        <f t="array" ref="AD300">INDEX(AC:AC,SMALL(IF($AC$2:$AC$516&lt;&gt;"",ROW($2:$516),517),ROW(AC299)))&amp;""</f>
        <v/>
      </c>
      <c r="AE300" s="198" t="str">
        <f t="shared" si="8"/>
        <v/>
      </c>
      <c r="AJ300" s="250">
        <v>299</v>
      </c>
      <c r="AK300" s="180" t="str">
        <f>IF(法术书!AK56="","",法术书!AK56)</f>
        <v/>
      </c>
      <c r="AL300" s="119" t="str">
        <f t="array" ref="AL300">IFERROR(INDEX(AK$1:AK$301,SMALL(IF(MATCH(AK300,AK$1:AK$301,0)=ROW(AK300),ROW(AK$1:AK$301),999),ROW(AK300))),"")</f>
        <v/>
      </c>
      <c r="AM300" s="120" t="str">
        <f t="array" ref="AM300">INDEX(AL:AL,SMALL(IF($AL$2:$AL$301&lt;&gt;"",ROW($2:$301),302),ROW(AL299)))&amp;""</f>
        <v/>
      </c>
    </row>
    <row r="301" spans="1:39" ht="14.4" customHeight="1" x14ac:dyDescent="0.25">
      <c r="A301" s="250">
        <v>299</v>
      </c>
      <c r="B301" s="119" t="s">
        <v>7588</v>
      </c>
      <c r="C301" s="119" t="s">
        <v>7589</v>
      </c>
      <c r="E301" s="434" t="s">
        <v>6304</v>
      </c>
      <c r="F301" s="180" t="s">
        <v>6282</v>
      </c>
      <c r="G301" s="180" t="s">
        <v>6291</v>
      </c>
      <c r="H301" s="180">
        <v>1</v>
      </c>
      <c r="I301" s="180">
        <v>1</v>
      </c>
      <c r="J301" s="180">
        <v>1</v>
      </c>
      <c r="K301" s="119" t="s">
        <v>7590</v>
      </c>
      <c r="N301" s="180" t="s">
        <v>6371</v>
      </c>
      <c r="O301" s="119" t="s">
        <v>7591</v>
      </c>
      <c r="P301" s="119">
        <v>4</v>
      </c>
      <c r="Q301" s="119" t="s">
        <v>242</v>
      </c>
      <c r="T301" s="180" t="str">
        <f>IF(综合数据!$B$14=TRUE,"13","")</f>
        <v>13</v>
      </c>
      <c r="W301" s="180" t="str">
        <f>IF(综合数据!$B$14=TRUE,"13","")</f>
        <v>13</v>
      </c>
      <c r="X301" s="180">
        <v>1</v>
      </c>
      <c r="AA301" s="120" t="s">
        <v>7592</v>
      </c>
      <c r="AB301" s="250" t="str">
        <f t="array" ref="AB301">INDEX(B:B,SMALL(IF($Q$3:$Q$517&lt;&gt;"",ROW($3:$517),518),ROW(B300)))&amp;""</f>
        <v>擒抱藤</v>
      </c>
      <c r="AC301" s="394" t="str">
        <f>IFERROR(IF(AND($Q302&lt;&gt;"",IF(法术查询!$J$4="",1,INDEX($R302:$Z302,1,VLOOKUP(法术查询!$J$4,$AF$2:$AG$10,2,0)))&lt;&gt;"",IF(法术查询!$J$5="",1,$P302=VLOOKUP(法术查询!$J$5,$AH$2:$AI$11,2,0)),IF(法术查询!$J$6="",1,IF(法术查询!$J$6=$E302,1,0)),IF(法术查询!$J$7="",1,SEARCH(法术查询!$J$7,$F302)),IF(法术查询!$J$8="",1,SEARCH(法术查询!$J$8,G302)),IF(法术查询!$J$9="",1,SEARCH(法术查询!$J$9,N302)),IF(法术查询!$J$10="",1,IF(法术查询!$J$10=$AF$11,IF($M302=1,1,0),IF($M302="",1,0))),IF(法术查询!$J$11="",1,IF(法术查询!$J$11=$AF$11,IF($D302=1,1,0),IF($D302="",1,0))),IF(法术查询!$J$12="",1,SEARCH(法术查询!$J$12,$B302&amp;$C302&amp;$O302)),IF(法术查询!$J$13="",1,SEARCH(法术查询!$J$13,$B302&amp;$C302&amp;$O302)),IF(法术查询!$J$14="",1,SEARCH(法术查询!$J$14,$B302&amp;$C302&amp;$O302)),IF(法术查询!$J$16="",1,IF(法术查询!$J$16=$AF$11,IF($H302=1,1,0),IF($H302="",1,0))),IF(法术查询!$J$17="",1,IF(法术查询!$J$17=$AF$11,IF($I302=1,1,0),IF($I302="",1,0))),IF(法术查询!$J$18="",1,IF(法术查询!$J$18=$AF$11,IF($J302&lt;&gt;"",1,0),IF($J302="",1,0))),IF(法术查询!$J$19="",1,IF(法术查询!$J$19=$AF$11,IF($L302&lt;&gt;"",1,0),IF($L302="",1,0)))),$B302,""),"")</f>
        <v/>
      </c>
      <c r="AD301" s="180" t="str">
        <f t="array" ref="AD301">INDEX(AC:AC,SMALL(IF($AC$2:$AC$516&lt;&gt;"",ROW($2:$516),517),ROW(AC300)))&amp;""</f>
        <v/>
      </c>
      <c r="AE301" s="198" t="str">
        <f t="shared" si="8"/>
        <v/>
      </c>
      <c r="AJ301" s="339">
        <v>300</v>
      </c>
      <c r="AK301" s="129" t="str">
        <f>IF(法术书!AK57="","",法术书!AK57)</f>
        <v/>
      </c>
      <c r="AL301" s="129" t="str">
        <f t="array" ref="AL301">IFERROR(INDEX(AK$1:AK$301,SMALL(IF(MATCH(AK301,AK$1:AK$301,0)=ROW(AK301),ROW(AK$1:AK$301),999),ROW(AK301))),"")</f>
        <v/>
      </c>
      <c r="AM301" s="294" t="str">
        <f t="array" ref="AM301">INDEX(AL:AL,SMALL(IF($AL$2:$AL$301&lt;&gt;"",ROW($2:$301),302),ROW(AL300)))&amp;""</f>
        <v/>
      </c>
    </row>
    <row r="302" spans="1:39" ht="14.4" customHeight="1" x14ac:dyDescent="0.25">
      <c r="A302" s="250">
        <v>300</v>
      </c>
      <c r="B302" s="119" t="s">
        <v>7593</v>
      </c>
      <c r="C302" s="119" t="s">
        <v>7594</v>
      </c>
      <c r="E302" s="440" t="s">
        <v>6290</v>
      </c>
      <c r="F302" s="180" t="s">
        <v>6282</v>
      </c>
      <c r="G302" s="180" t="s">
        <v>3682</v>
      </c>
      <c r="H302" s="180">
        <v>1</v>
      </c>
      <c r="I302" s="180">
        <v>1</v>
      </c>
      <c r="J302" s="180">
        <v>1</v>
      </c>
      <c r="K302" s="119" t="s">
        <v>7595</v>
      </c>
      <c r="N302" s="180" t="s">
        <v>6344</v>
      </c>
      <c r="O302" s="119" t="s">
        <v>7596</v>
      </c>
      <c r="P302" s="119">
        <v>4</v>
      </c>
      <c r="Q302" s="119" t="s">
        <v>242</v>
      </c>
      <c r="R302" s="180">
        <v>1</v>
      </c>
      <c r="S302" s="180">
        <v>1</v>
      </c>
      <c r="T302" s="180">
        <v>1</v>
      </c>
      <c r="V302" s="180">
        <v>1</v>
      </c>
      <c r="Z302" s="180">
        <v>9</v>
      </c>
      <c r="AA302" s="120" t="s">
        <v>7597</v>
      </c>
      <c r="AB302" s="250" t="str">
        <f t="array" ref="AB302">INDEX(B:B,SMALL(IF($Q$3:$Q$517&lt;&gt;"",ROW($3:$517),518),ROW(B301)))&amp;""</f>
        <v>高等隐形术</v>
      </c>
      <c r="AC302" s="394" t="str">
        <f>IFERROR(IF(AND($Q303&lt;&gt;"",IF(法术查询!$J$4="",1,INDEX($R303:$Z303,1,VLOOKUP(法术查询!$J$4,$AF$2:$AG$10,2,0)))&lt;&gt;"",IF(法术查询!$J$5="",1,$P303=VLOOKUP(法术查询!$J$5,$AH$2:$AI$11,2,0)),IF(法术查询!$J$6="",1,IF(法术查询!$J$6=$E303,1,0)),IF(法术查询!$J$7="",1,SEARCH(法术查询!$J$7,$F303)),IF(法术查询!$J$8="",1,SEARCH(法术查询!$J$8,G303)),IF(法术查询!$J$9="",1,SEARCH(法术查询!$J$9,N303)),IF(法术查询!$J$10="",1,IF(法术查询!$J$10=$AF$11,IF($M303=1,1,0),IF($M303="",1,0))),IF(法术查询!$J$11="",1,IF(法术查询!$J$11=$AF$11,IF($D303=1,1,0),IF($D303="",1,0))),IF(法术查询!$J$12="",1,SEARCH(法术查询!$J$12,$B303&amp;$C303&amp;$O303)),IF(法术查询!$J$13="",1,SEARCH(法术查询!$J$13,$B303&amp;$C303&amp;$O303)),IF(法术查询!$J$14="",1,SEARCH(法术查询!$J$14,$B303&amp;$C303&amp;$O303)),IF(法术查询!$J$16="",1,IF(法术查询!$J$16=$AF$11,IF($H303=1,1,0),IF($H303="",1,0))),IF(法术查询!$J$17="",1,IF(法术查询!$J$17=$AF$11,IF($I303=1,1,0),IF($I303="",1,0))),IF(法术查询!$J$18="",1,IF(法术查询!$J$18=$AF$11,IF($J303&lt;&gt;"",1,0),IF($J303="",1,0))),IF(法术查询!$J$19="",1,IF(法术查询!$J$19=$AF$11,IF($L303&lt;&gt;"",1,0),IF($L303="",1,0)))),$B303,""),"")</f>
        <v/>
      </c>
      <c r="AD302" s="180" t="str">
        <f t="array" ref="AD302">INDEX(AC:AC,SMALL(IF($AC$2:$AC$516&lt;&gt;"",ROW($2:$516),517),ROW(AC301)))&amp;""</f>
        <v/>
      </c>
      <c r="AE302" s="198" t="str">
        <f t="shared" si="8"/>
        <v/>
      </c>
    </row>
    <row r="303" spans="1:39" ht="14.4" customHeight="1" x14ac:dyDescent="0.25">
      <c r="A303" s="250">
        <v>301</v>
      </c>
      <c r="B303" s="119" t="s">
        <v>7598</v>
      </c>
      <c r="C303" s="119" t="s">
        <v>7599</v>
      </c>
      <c r="E303" s="435" t="s">
        <v>6312</v>
      </c>
      <c r="F303" s="180" t="s">
        <v>6282</v>
      </c>
      <c r="G303" s="180" t="s">
        <v>6313</v>
      </c>
      <c r="H303" s="180">
        <v>1</v>
      </c>
      <c r="I303" s="180">
        <v>1</v>
      </c>
      <c r="M303" s="180">
        <v>1</v>
      </c>
      <c r="N303" s="180" t="s">
        <v>6471</v>
      </c>
      <c r="O303" s="119" t="s">
        <v>7600</v>
      </c>
      <c r="P303" s="119">
        <v>4</v>
      </c>
      <c r="Q303" s="119" t="s">
        <v>242</v>
      </c>
      <c r="T303" s="180">
        <v>1</v>
      </c>
      <c r="AA303" s="198" t="s">
        <v>7062</v>
      </c>
      <c r="AB303" s="250" t="str">
        <f t="array" ref="AB303">INDEX(B:B,SMALL(IF($Q$3:$Q$517&lt;&gt;"",ROW($3:$517),518),ROW(B302)))&amp;""</f>
        <v>信仰守卫</v>
      </c>
      <c r="AC303" s="394" t="str">
        <f>IFERROR(IF(AND($Q304&lt;&gt;"",IF(法术查询!$J$4="",1,INDEX($R304:$Z304,1,VLOOKUP(法术查询!$J$4,$AF$2:$AG$10,2,0)))&lt;&gt;"",IF(法术查询!$J$5="",1,$P304=VLOOKUP(法术查询!$J$5,$AH$2:$AI$11,2,0)),IF(法术查询!$J$6="",1,IF(法术查询!$J$6=$E304,1,0)),IF(法术查询!$J$7="",1,SEARCH(法术查询!$J$7,$F304)),IF(法术查询!$J$8="",1,SEARCH(法术查询!$J$8,G304)),IF(法术查询!$J$9="",1,SEARCH(法术查询!$J$9,N304)),IF(法术查询!$J$10="",1,IF(法术查询!$J$10=$AF$11,IF($M304=1,1,0),IF($M304="",1,0))),IF(法术查询!$J$11="",1,IF(法术查询!$J$11=$AF$11,IF($D304=1,1,0),IF($D304="",1,0))),IF(法术查询!$J$12="",1,SEARCH(法术查询!$J$12,$B304&amp;$C304&amp;$O304)),IF(法术查询!$J$13="",1,SEARCH(法术查询!$J$13,$B304&amp;$C304&amp;$O304)),IF(法术查询!$J$14="",1,SEARCH(法术查询!$J$14,$B304&amp;$C304&amp;$O304)),IF(法术查询!$J$16="",1,IF(法术查询!$J$16=$AF$11,IF($H304=1,1,0),IF($H304="",1,0))),IF(法术查询!$J$17="",1,IF(法术查询!$J$17=$AF$11,IF($I304=1,1,0),IF($I304="",1,0))),IF(法术查询!$J$18="",1,IF(法术查询!$J$18=$AF$11,IF($J304&lt;&gt;"",1,0),IF($J304="",1,0))),IF(法术查询!$J$19="",1,IF(法术查询!$J$19=$AF$11,IF($L304&lt;&gt;"",1,0),IF($L304="",1,0)))),$B304,""),"")</f>
        <v/>
      </c>
      <c r="AD303" s="180" t="str">
        <f t="array" ref="AD303">INDEX(AC:AC,SMALL(IF($AC$2:$AC$516&lt;&gt;"",ROW($2:$516),517),ROW(AC302)))&amp;""</f>
        <v/>
      </c>
      <c r="AE303" s="198" t="str">
        <f t="shared" si="8"/>
        <v/>
      </c>
    </row>
    <row r="304" spans="1:39" ht="14.4" customHeight="1" x14ac:dyDescent="0.25">
      <c r="A304" s="250">
        <v>302</v>
      </c>
      <c r="B304" s="119" t="s">
        <v>7601</v>
      </c>
      <c r="C304" s="119" t="s">
        <v>7602</v>
      </c>
      <c r="E304" s="378" t="s">
        <v>6281</v>
      </c>
      <c r="F304" s="180" t="s">
        <v>6352</v>
      </c>
      <c r="G304" s="180" t="s">
        <v>6313</v>
      </c>
      <c r="H304" s="180">
        <v>1</v>
      </c>
      <c r="I304" s="180">
        <v>1</v>
      </c>
      <c r="M304" s="180">
        <v>1</v>
      </c>
      <c r="N304" s="180" t="s">
        <v>6306</v>
      </c>
      <c r="O304" s="119" t="s">
        <v>7603</v>
      </c>
      <c r="P304" s="119">
        <v>4</v>
      </c>
      <c r="Q304" s="119" t="s">
        <v>242</v>
      </c>
      <c r="T304" s="180">
        <v>1</v>
      </c>
      <c r="V304" s="180">
        <v>1</v>
      </c>
      <c r="AA304" s="120" t="s">
        <v>7604</v>
      </c>
      <c r="AB304" s="250" t="str">
        <f t="array" ref="AB304">INDEX(B:B,SMALL(IF($Q$3:$Q$517&lt;&gt;"",ROW($3:$517),518),ROW(B303)))&amp;""</f>
        <v>幻景</v>
      </c>
      <c r="AC304" s="394" t="str">
        <f>IFERROR(IF(AND($Q305&lt;&gt;"",IF(法术查询!$J$4="",1,INDEX($R305:$Z305,1,VLOOKUP(法术查询!$J$4,$AF$2:$AG$10,2,0)))&lt;&gt;"",IF(法术查询!$J$5="",1,$P305=VLOOKUP(法术查询!$J$5,$AH$2:$AI$11,2,0)),IF(法术查询!$J$6="",1,IF(法术查询!$J$6=$E305,1,0)),IF(法术查询!$J$7="",1,SEARCH(法术查询!$J$7,$F305)),IF(法术查询!$J$8="",1,SEARCH(法术查询!$J$8,G305)),IF(法术查询!$J$9="",1,SEARCH(法术查询!$J$9,N305)),IF(法术查询!$J$10="",1,IF(法术查询!$J$10=$AF$11,IF($M305=1,1,0),IF($M305="",1,0))),IF(法术查询!$J$11="",1,IF(法术查询!$J$11=$AF$11,IF($D305=1,1,0),IF($D305="",1,0))),IF(法术查询!$J$12="",1,SEARCH(法术查询!$J$12,$B305&amp;$C305&amp;$O305)),IF(法术查询!$J$13="",1,SEARCH(法术查询!$J$13,$B305&amp;$C305&amp;$O305)),IF(法术查询!$J$14="",1,SEARCH(法术查询!$J$14,$B305&amp;$C305&amp;$O305)),IF(法术查询!$J$16="",1,IF(法术查询!$J$16=$AF$11,IF($H305=1,1,0),IF($H305="",1,0))),IF(法术查询!$J$17="",1,IF(法术查询!$J$17=$AF$11,IF($I305=1,1,0),IF($I305="",1,0))),IF(法术查询!$J$18="",1,IF(法术查询!$J$18=$AF$11,IF($J305&lt;&gt;"",1,0),IF($J305="",1,0))),IF(法术查询!$J$19="",1,IF(法术查询!$J$19=$AF$11,IF($L305&lt;&gt;"",1,0),IF($L305="",1,0)))),$B305,""),"")</f>
        <v/>
      </c>
      <c r="AD304" s="180" t="str">
        <f t="array" ref="AD304">INDEX(AC:AC,SMALL(IF($AC$2:$AC$516&lt;&gt;"",ROW($2:$516),517),ROW(AC303)))&amp;""</f>
        <v/>
      </c>
      <c r="AE304" s="198" t="str">
        <f t="shared" si="8"/>
        <v/>
      </c>
    </row>
    <row r="305" spans="1:31" ht="14.4" customHeight="1" x14ac:dyDescent="0.25">
      <c r="A305" s="250">
        <v>303</v>
      </c>
      <c r="B305" s="119" t="s">
        <v>7605</v>
      </c>
      <c r="C305" s="119" t="s">
        <v>7606</v>
      </c>
      <c r="E305" s="285" t="s">
        <v>6366</v>
      </c>
      <c r="F305" s="180" t="s">
        <v>6282</v>
      </c>
      <c r="G305" s="180" t="s">
        <v>3682</v>
      </c>
      <c r="H305" s="180">
        <v>1</v>
      </c>
      <c r="I305" s="180">
        <v>1</v>
      </c>
      <c r="M305" s="180">
        <v>1</v>
      </c>
      <c r="N305" s="180" t="s">
        <v>6306</v>
      </c>
      <c r="O305" s="119" t="s">
        <v>7607</v>
      </c>
      <c r="P305" s="119">
        <v>4</v>
      </c>
      <c r="Q305" s="119" t="s">
        <v>242</v>
      </c>
      <c r="R305" s="180">
        <v>1</v>
      </c>
      <c r="W305" s="180">
        <v>1</v>
      </c>
      <c r="X305" s="180">
        <v>1</v>
      </c>
      <c r="AA305" s="120" t="s">
        <v>7608</v>
      </c>
      <c r="AB305" s="250" t="str">
        <f t="array" ref="AB305">INDEX(B:B,SMALL(IF($Q$3:$Q$517&lt;&gt;"",ROW($3:$517),518),ROW(B304)))&amp;""</f>
        <v>冰风暴</v>
      </c>
      <c r="AC305" s="394" t="str">
        <f>IFERROR(IF(AND($Q306&lt;&gt;"",IF(法术查询!$J$4="",1,INDEX($R306:$Z306,1,VLOOKUP(法术查询!$J$4,$AF$2:$AG$10,2,0)))&lt;&gt;"",IF(法术查询!$J$5="",1,$P306=VLOOKUP(法术查询!$J$5,$AH$2:$AI$11,2,0)),IF(法术查询!$J$6="",1,IF(法术查询!$J$6=$E306,1,0)),IF(法术查询!$J$7="",1,SEARCH(法术查询!$J$7,$F306)),IF(法术查询!$J$8="",1,SEARCH(法术查询!$J$8,G306)),IF(法术查询!$J$9="",1,SEARCH(法术查询!$J$9,N306)),IF(法术查询!$J$10="",1,IF(法术查询!$J$10=$AF$11,IF($M306=1,1,0),IF($M306="",1,0))),IF(法术查询!$J$11="",1,IF(法术查询!$J$11=$AF$11,IF($D306=1,1,0),IF($D306="",1,0))),IF(法术查询!$J$12="",1,SEARCH(法术查询!$J$12,$B306&amp;$C306&amp;$O306)),IF(法术查询!$J$13="",1,SEARCH(法术查询!$J$13,$B306&amp;$C306&amp;$O306)),IF(法术查询!$J$14="",1,SEARCH(法术查询!$J$14,$B306&amp;$C306&amp;$O306)),IF(法术查询!$J$16="",1,IF(法术查询!$J$16=$AF$11,IF($H306=1,1,0),IF($H306="",1,0))),IF(法术查询!$J$17="",1,IF(法术查询!$J$17=$AF$11,IF($I306=1,1,0),IF($I306="",1,0))),IF(法术查询!$J$18="",1,IF(法术查询!$J$18=$AF$11,IF($J306&lt;&gt;"",1,0),IF($J306="",1,0))),IF(法术查询!$J$19="",1,IF(法术查询!$J$19=$AF$11,IF($L306&lt;&gt;"",1,0),IF($L306="",1,0)))),$B306,""),"")</f>
        <v/>
      </c>
      <c r="AD305" s="180" t="str">
        <f t="array" ref="AD305">INDEX(AC:AC,SMALL(IF($AC$2:$AC$516&lt;&gt;"",ROW($2:$516),517),ROW(AC304)))&amp;""</f>
        <v/>
      </c>
      <c r="AE305" s="198" t="str">
        <f t="shared" si="8"/>
        <v/>
      </c>
    </row>
    <row r="306" spans="1:31" ht="14.4" customHeight="1" x14ac:dyDescent="0.25">
      <c r="A306" s="250">
        <v>304</v>
      </c>
      <c r="B306" s="119" t="s">
        <v>7609</v>
      </c>
      <c r="C306" s="119" t="s">
        <v>7610</v>
      </c>
      <c r="E306" s="378" t="s">
        <v>6281</v>
      </c>
      <c r="F306" s="180" t="s">
        <v>6282</v>
      </c>
      <c r="G306" s="180" t="s">
        <v>6313</v>
      </c>
      <c r="H306" s="180">
        <v>1</v>
      </c>
      <c r="N306" s="180" t="s">
        <v>6388</v>
      </c>
      <c r="O306" s="119" t="s">
        <v>7611</v>
      </c>
      <c r="P306" s="119">
        <v>4</v>
      </c>
      <c r="Q306" s="119" t="s">
        <v>242</v>
      </c>
      <c r="S306" s="180">
        <v>1</v>
      </c>
      <c r="AA306" s="120" t="s">
        <v>7612</v>
      </c>
      <c r="AB306" s="250" t="str">
        <f t="array" ref="AB306">INDEX(B:B,SMALL(IF($Q$3:$Q$517&lt;&gt;"",ROW($3:$517),518),ROW(B305)))&amp;""</f>
        <v>李欧蒙秘藏箱</v>
      </c>
      <c r="AC306" s="394" t="str">
        <f>IFERROR(IF(AND($Q307&lt;&gt;"",IF(法术查询!$J$4="",1,INDEX($R307:$Z307,1,VLOOKUP(法术查询!$J$4,$AF$2:$AG$10,2,0)))&lt;&gt;"",IF(法术查询!$J$5="",1,$P307=VLOOKUP(法术查询!$J$5,$AH$2:$AI$11,2,0)),IF(法术查询!$J$6="",1,IF(法术查询!$J$6=$E307,1,0)),IF(法术查询!$J$7="",1,SEARCH(法术查询!$J$7,$F307)),IF(法术查询!$J$8="",1,SEARCH(法术查询!$J$8,G307)),IF(法术查询!$J$9="",1,SEARCH(法术查询!$J$9,N307)),IF(法术查询!$J$10="",1,IF(法术查询!$J$10=$AF$11,IF($M307=1,1,0),IF($M307="",1,0))),IF(法术查询!$J$11="",1,IF(法术查询!$J$11=$AF$11,IF($D307=1,1,0),IF($D307="",1,0))),IF(法术查询!$J$12="",1,SEARCH(法术查询!$J$12,$B307&amp;$C307&amp;$O307)),IF(法术查询!$J$13="",1,SEARCH(法术查询!$J$13,$B307&amp;$C307&amp;$O307)),IF(法术查询!$J$14="",1,SEARCH(法术查询!$J$14,$B307&amp;$C307&amp;$O307)),IF(法术查询!$J$16="",1,IF(法术查询!$J$16=$AF$11,IF($H307=1,1,0),IF($H307="",1,0))),IF(法术查询!$J$17="",1,IF(法术查询!$J$17=$AF$11,IF($I307=1,1,0),IF($I307="",1,0))),IF(法术查询!$J$18="",1,IF(法术查询!$J$18=$AF$11,IF($J307&lt;&gt;"",1,0),IF($J307="",1,0))),IF(法术查询!$J$19="",1,IF(法术查询!$J$19=$AF$11,IF($L307&lt;&gt;"",1,0),IF($L307="",1,0)))),$B307,""),"")</f>
        <v/>
      </c>
      <c r="AD306" s="180" t="str">
        <f t="array" ref="AD306">INDEX(AC:AC,SMALL(IF($AC$2:$AC$516&lt;&gt;"",ROW($2:$516),517),ROW(AC305)))&amp;""</f>
        <v/>
      </c>
      <c r="AE306" s="198" t="str">
        <f t="shared" si="8"/>
        <v/>
      </c>
    </row>
    <row r="307" spans="1:31" ht="14.4" customHeight="1" x14ac:dyDescent="0.25">
      <c r="A307" s="250">
        <v>305</v>
      </c>
      <c r="B307" s="119" t="s">
        <v>7613</v>
      </c>
      <c r="C307" s="119" t="s">
        <v>7614</v>
      </c>
      <c r="E307" s="285" t="s">
        <v>6366</v>
      </c>
      <c r="F307" s="180" t="s">
        <v>6371</v>
      </c>
      <c r="G307" s="180" t="s">
        <v>6426</v>
      </c>
      <c r="H307" s="180">
        <v>1</v>
      </c>
      <c r="I307" s="180">
        <v>1</v>
      </c>
      <c r="J307" s="180">
        <v>1</v>
      </c>
      <c r="K307" s="119" t="s">
        <v>7615</v>
      </c>
      <c r="N307" s="180" t="s">
        <v>6399</v>
      </c>
      <c r="O307" s="119" t="s">
        <v>7616</v>
      </c>
      <c r="P307" s="119">
        <v>4</v>
      </c>
      <c r="Q307" s="119" t="s">
        <v>242</v>
      </c>
      <c r="R307" s="180">
        <v>1</v>
      </c>
      <c r="T307" s="180">
        <v>1</v>
      </c>
      <c r="X307" s="180">
        <v>1</v>
      </c>
      <c r="Y307" s="180">
        <v>1</v>
      </c>
      <c r="AA307" s="120" t="s">
        <v>7617</v>
      </c>
      <c r="AB307" s="250" t="str">
        <f t="array" ref="AB307">INDEX(B:B,SMALL(IF($Q$3:$Q$517&lt;&gt;"",ROW($3:$517),518),ROW(B306)))&amp;""</f>
        <v>生物定位术</v>
      </c>
      <c r="AC307" s="394" t="str">
        <f>IFERROR(IF(AND($Q308&lt;&gt;"",IF(法术查询!$J$4="",1,INDEX($R308:$Z308,1,VLOOKUP(法术查询!$J$4,$AF$2:$AG$10,2,0)))&lt;&gt;"",IF(法术查询!$J$5="",1,$P308=VLOOKUP(法术查询!$J$5,$AH$2:$AI$11,2,0)),IF(法术查询!$J$6="",1,IF(法术查询!$J$6=$E308,1,0)),IF(法术查询!$J$7="",1,SEARCH(法术查询!$J$7,$F308)),IF(法术查询!$J$8="",1,SEARCH(法术查询!$J$8,G308)),IF(法术查询!$J$9="",1,SEARCH(法术查询!$J$9,N308)),IF(法术查询!$J$10="",1,IF(法术查询!$J$10=$AF$11,IF($M308=1,1,0),IF($M308="",1,0))),IF(法术查询!$J$11="",1,IF(法术查询!$J$11=$AF$11,IF($D308=1,1,0),IF($D308="",1,0))),IF(法术查询!$J$12="",1,SEARCH(法术查询!$J$12,$B308&amp;$C308&amp;$O308)),IF(法术查询!$J$13="",1,SEARCH(法术查询!$J$13,$B308&amp;$C308&amp;$O308)),IF(法术查询!$J$14="",1,SEARCH(法术查询!$J$14,$B308&amp;$C308&amp;$O308)),IF(法术查询!$J$16="",1,IF(法术查询!$J$16=$AF$11,IF($H308=1,1,0),IF($H308="",1,0))),IF(法术查询!$J$17="",1,IF(法术查询!$J$17=$AF$11,IF($I308=1,1,0),IF($I308="",1,0))),IF(法术查询!$J$18="",1,IF(法术查询!$J$18=$AF$11,IF($J308&lt;&gt;"",1,0),IF($J308="",1,0))),IF(法术查询!$J$19="",1,IF(法术查询!$J$19=$AF$11,IF($L308&lt;&gt;"",1,0),IF($L308="",1,0)))),$B308,""),"")</f>
        <v/>
      </c>
      <c r="AD307" s="180" t="str">
        <f t="array" ref="AD307">INDEX(AC:AC,SMALL(IF($AC$2:$AC$516&lt;&gt;"",ROW($2:$516),517),ROW(AC306)))&amp;""</f>
        <v/>
      </c>
      <c r="AE307" s="198" t="str">
        <f t="shared" si="8"/>
        <v/>
      </c>
    </row>
    <row r="308" spans="1:31" ht="14.4" customHeight="1" x14ac:dyDescent="0.25">
      <c r="A308" s="250">
        <v>306</v>
      </c>
      <c r="B308" s="119" t="s">
        <v>7618</v>
      </c>
      <c r="C308" s="119" t="s">
        <v>7619</v>
      </c>
      <c r="E308" s="434" t="s">
        <v>6304</v>
      </c>
      <c r="F308" s="180" t="s">
        <v>6282</v>
      </c>
      <c r="G308" s="180" t="s">
        <v>6426</v>
      </c>
      <c r="H308" s="180">
        <v>1</v>
      </c>
      <c r="I308" s="180">
        <v>1</v>
      </c>
      <c r="J308" s="180">
        <v>1</v>
      </c>
      <c r="K308" s="119" t="s">
        <v>7620</v>
      </c>
      <c r="N308" s="180" t="s">
        <v>6284</v>
      </c>
      <c r="O308" s="119" t="s">
        <v>7621</v>
      </c>
      <c r="P308" s="119">
        <v>4</v>
      </c>
      <c r="Q308" s="119" t="s">
        <v>242</v>
      </c>
      <c r="T308" s="180">
        <v>1</v>
      </c>
      <c r="W308" s="180">
        <v>1</v>
      </c>
      <c r="X308" s="180">
        <v>1</v>
      </c>
      <c r="AA308" s="120" t="s">
        <v>7622</v>
      </c>
      <c r="AB308" s="250" t="str">
        <f t="array" ref="AB308">INDEX(B:B,SMALL(IF($Q$3:$Q$517&lt;&gt;"",ROW($3:$517),518),ROW(B307)))&amp;""</f>
        <v>摩登肯忠犬</v>
      </c>
      <c r="AC308" s="394" t="str">
        <f>IFERROR(IF(AND($Q309&lt;&gt;"",IF(法术查询!$J$4="",1,INDEX($R309:$Z309,1,VLOOKUP(法术查询!$J$4,$AF$2:$AG$10,2,0)))&lt;&gt;"",IF(法术查询!$J$5="",1,$P309=VLOOKUP(法术查询!$J$5,$AH$2:$AI$11,2,0)),IF(法术查询!$J$6="",1,IF(法术查询!$J$6=$E309,1,0)),IF(法术查询!$J$7="",1,SEARCH(法术查询!$J$7,$F309)),IF(法术查询!$J$8="",1,SEARCH(法术查询!$J$8,G309)),IF(法术查询!$J$9="",1,SEARCH(法术查询!$J$9,N309)),IF(法术查询!$J$10="",1,IF(法术查询!$J$10=$AF$11,IF($M309=1,1,0),IF($M309="",1,0))),IF(法术查询!$J$11="",1,IF(法术查询!$J$11=$AF$11,IF($D309=1,1,0),IF($D309="",1,0))),IF(法术查询!$J$12="",1,SEARCH(法术查询!$J$12,$B309&amp;$C309&amp;$O309)),IF(法术查询!$J$13="",1,SEARCH(法术查询!$J$13,$B309&amp;$C309&amp;$O309)),IF(法术查询!$J$14="",1,SEARCH(法术查询!$J$14,$B309&amp;$C309&amp;$O309)),IF(法术查询!$J$16="",1,IF(法术查询!$J$16=$AF$11,IF($H309=1,1,0),IF($H309="",1,0))),IF(法术查询!$J$17="",1,IF(法术查询!$J$17=$AF$11,IF($I309=1,1,0),IF($I309="",1,0))),IF(法术查询!$J$18="",1,IF(法术查询!$J$18=$AF$11,IF($J309&lt;&gt;"",1,0),IF($J309="",1,0))),IF(法术查询!$J$19="",1,IF(法术查询!$J$19=$AF$11,IF($L309&lt;&gt;"",1,0),IF($L309="",1,0)))),$B309,""),"")</f>
        <v/>
      </c>
      <c r="AD308" s="180" t="str">
        <f t="array" ref="AD308">INDEX(AC:AC,SMALL(IF($AC$2:$AC$516&lt;&gt;"",ROW($2:$516),517),ROW(AC307)))&amp;""</f>
        <v/>
      </c>
      <c r="AE308" s="198" t="str">
        <f t="shared" si="8"/>
        <v/>
      </c>
    </row>
    <row r="309" spans="1:31" ht="14.4" customHeight="1" x14ac:dyDescent="0.25">
      <c r="A309" s="250">
        <v>307</v>
      </c>
      <c r="B309" s="119" t="s">
        <v>7623</v>
      </c>
      <c r="C309" s="119" t="s">
        <v>7624</v>
      </c>
      <c r="E309" s="378" t="s">
        <v>6281</v>
      </c>
      <c r="F309" s="180" t="s">
        <v>6282</v>
      </c>
      <c r="G309" s="180" t="s">
        <v>3682</v>
      </c>
      <c r="H309" s="180">
        <v>1</v>
      </c>
      <c r="I309" s="180">
        <v>1</v>
      </c>
      <c r="J309" s="180">
        <v>1</v>
      </c>
      <c r="K309" s="119" t="s">
        <v>7625</v>
      </c>
      <c r="N309" s="180" t="s">
        <v>6284</v>
      </c>
      <c r="O309" s="119" t="s">
        <v>7626</v>
      </c>
      <c r="P309" s="119">
        <v>4</v>
      </c>
      <c r="Q309" s="119" t="s">
        <v>242</v>
      </c>
      <c r="X309" s="180">
        <v>1</v>
      </c>
      <c r="Z309" s="180">
        <v>9</v>
      </c>
      <c r="AA309" s="120" t="s">
        <v>7627</v>
      </c>
      <c r="AB309" s="250" t="str">
        <f t="array" ref="AB309">INDEX(B:B,SMALL(IF($Q$3:$Q$517&lt;&gt;"",ROW($3:$517),518),ROW(B308)))&amp;""</f>
        <v>摩登肯私人密室</v>
      </c>
      <c r="AC309" s="394" t="str">
        <f>IFERROR(IF(AND($Q310&lt;&gt;"",IF(法术查询!$J$4="",1,INDEX($R310:$Z310,1,VLOOKUP(法术查询!$J$4,$AF$2:$AG$10,2,0)))&lt;&gt;"",IF(法术查询!$J$5="",1,$P310=VLOOKUP(法术查询!$J$5,$AH$2:$AI$11,2,0)),IF(法术查询!$J$6="",1,IF(法术查询!$J$6=$E310,1,0)),IF(法术查询!$J$7="",1,SEARCH(法术查询!$J$7,$F310)),IF(法术查询!$J$8="",1,SEARCH(法术查询!$J$8,G310)),IF(法术查询!$J$9="",1,SEARCH(法术查询!$J$9,N310)),IF(法术查询!$J$10="",1,IF(法术查询!$J$10=$AF$11,IF($M310=1,1,0),IF($M310="",1,0))),IF(法术查询!$J$11="",1,IF(法术查询!$J$11=$AF$11,IF($D310=1,1,0),IF($D310="",1,0))),IF(法术查询!$J$12="",1,SEARCH(法术查询!$J$12,$B310&amp;$C310&amp;$O310)),IF(法术查询!$J$13="",1,SEARCH(法术查询!$J$13,$B310&amp;$C310&amp;$O310)),IF(法术查询!$J$14="",1,SEARCH(法术查询!$J$14,$B310&amp;$C310&amp;$O310)),IF(法术查询!$J$16="",1,IF(法术查询!$J$16=$AF$11,IF($H310=1,1,0),IF($H310="",1,0))),IF(法术查询!$J$17="",1,IF(法术查询!$J$17=$AF$11,IF($I310=1,1,0),IF($I310="",1,0))),IF(法术查询!$J$18="",1,IF(法术查询!$J$18=$AF$11,IF($J310&lt;&gt;"",1,0),IF($J310="",1,0))),IF(法术查询!$J$19="",1,IF(法术查询!$J$19=$AF$11,IF($L310&lt;&gt;"",1,0),IF($L310="",1,0)))),$B310,""),"")</f>
        <v/>
      </c>
      <c r="AD309" s="180" t="str">
        <f t="array" ref="AD309">INDEX(AC:AC,SMALL(IF($AC$2:$AC$516&lt;&gt;"",ROW($2:$516),517),ROW(AC308)))&amp;""</f>
        <v/>
      </c>
      <c r="AE309" s="198" t="str">
        <f t="shared" si="8"/>
        <v/>
      </c>
    </row>
    <row r="310" spans="1:31" ht="14.4" customHeight="1" x14ac:dyDescent="0.25">
      <c r="A310" s="250">
        <v>308</v>
      </c>
      <c r="B310" s="119" t="s">
        <v>7628</v>
      </c>
      <c r="C310" s="119" t="s">
        <v>7629</v>
      </c>
      <c r="E310" s="438" t="s">
        <v>6335</v>
      </c>
      <c r="F310" s="180" t="s">
        <v>6282</v>
      </c>
      <c r="G310" s="180" t="s">
        <v>6291</v>
      </c>
      <c r="H310" s="180">
        <v>1</v>
      </c>
      <c r="I310" s="180">
        <v>1</v>
      </c>
      <c r="J310" s="180">
        <v>1</v>
      </c>
      <c r="K310" s="119" t="s">
        <v>7009</v>
      </c>
      <c r="M310" s="180">
        <v>1</v>
      </c>
      <c r="N310" s="180" t="s">
        <v>6379</v>
      </c>
      <c r="O310" s="119" t="s">
        <v>7630</v>
      </c>
      <c r="P310" s="119">
        <v>4</v>
      </c>
      <c r="Q310" s="119" t="s">
        <v>242</v>
      </c>
      <c r="R310" s="180">
        <v>1</v>
      </c>
      <c r="S310" s="180">
        <v>1</v>
      </c>
      <c r="T310" s="180">
        <v>1</v>
      </c>
      <c r="U310" s="180">
        <v>1</v>
      </c>
      <c r="V310" s="180">
        <v>1</v>
      </c>
      <c r="X310" s="180">
        <v>1</v>
      </c>
      <c r="AA310" s="120" t="s">
        <v>7631</v>
      </c>
      <c r="AB310" s="250" t="str">
        <f t="array" ref="AB310">INDEX(B:B,SMALL(IF($Q$3:$Q$517&lt;&gt;"",ROW($3:$517),518),ROW(B309)))&amp;""</f>
        <v>欧提路克弹力法球</v>
      </c>
      <c r="AC310" s="394" t="str">
        <f>IFERROR(IF(AND($Q311&lt;&gt;"",IF(法术查询!$J$4="",1,INDEX($R311:$Z311,1,VLOOKUP(法术查询!$J$4,$AF$2:$AG$10,2,0)))&lt;&gt;"",IF(法术查询!$J$5="",1,$P311=VLOOKUP(法术查询!$J$5,$AH$2:$AI$11,2,0)),IF(法术查询!$J$6="",1,IF(法术查询!$J$6=$E311,1,0)),IF(法术查询!$J$7="",1,SEARCH(法术查询!$J$7,$F311)),IF(法术查询!$J$8="",1,SEARCH(法术查询!$J$8,G311)),IF(法术查询!$J$9="",1,SEARCH(法术查询!$J$9,N311)),IF(法术查询!$J$10="",1,IF(法术查询!$J$10=$AF$11,IF($M311=1,1,0),IF($M311="",1,0))),IF(法术查询!$J$11="",1,IF(法术查询!$J$11=$AF$11,IF($D311=1,1,0),IF($D311="",1,0))),IF(法术查询!$J$12="",1,SEARCH(法术查询!$J$12,$B311&amp;$C311&amp;$O311)),IF(法术查询!$J$13="",1,SEARCH(法术查询!$J$13,$B311&amp;$C311&amp;$O311)),IF(法术查询!$J$14="",1,SEARCH(法术查询!$J$14,$B311&amp;$C311&amp;$O311)),IF(法术查询!$J$16="",1,IF(法术查询!$J$16=$AF$11,IF($H311=1,1,0),IF($H311="",1,0))),IF(法术查询!$J$17="",1,IF(法术查询!$J$17=$AF$11,IF($I311=1,1,0),IF($I311="",1,0))),IF(法术查询!$J$18="",1,IF(法术查询!$J$18=$AF$11,IF($J311&lt;&gt;"",1,0),IF($J311="",1,0))),IF(法术查询!$J$19="",1,IF(法术查询!$J$19=$AF$11,IF($L311&lt;&gt;"",1,0),IF($L311="",1,0)))),$B311,""),"")</f>
        <v/>
      </c>
      <c r="AD310" s="180" t="str">
        <f t="array" ref="AD310">INDEX(AC:AC,SMALL(IF($AC$2:$AC$516&lt;&gt;"",ROW($2:$516),517),ROW(AC309)))&amp;""</f>
        <v/>
      </c>
      <c r="AE310" s="198" t="str">
        <f t="shared" si="8"/>
        <v/>
      </c>
    </row>
    <row r="311" spans="1:31" ht="14.4" customHeight="1" x14ac:dyDescent="0.25">
      <c r="A311" s="250">
        <v>309</v>
      </c>
      <c r="B311" s="119" t="s">
        <v>7632</v>
      </c>
      <c r="C311" s="119" t="s">
        <v>7633</v>
      </c>
      <c r="E311" s="378" t="s">
        <v>6281</v>
      </c>
      <c r="F311" s="180" t="s">
        <v>6282</v>
      </c>
      <c r="G311" s="180" t="s">
        <v>6313</v>
      </c>
      <c r="H311" s="180">
        <v>1</v>
      </c>
      <c r="I311" s="180">
        <v>1</v>
      </c>
      <c r="J311" s="180">
        <v>1</v>
      </c>
      <c r="K311" s="119" t="s">
        <v>7634</v>
      </c>
      <c r="N311" s="180" t="s">
        <v>6388</v>
      </c>
      <c r="O311" s="119" t="s">
        <v>7635</v>
      </c>
      <c r="P311" s="119">
        <v>4</v>
      </c>
      <c r="Q311" s="119" t="s">
        <v>242</v>
      </c>
      <c r="X311" s="180">
        <v>1</v>
      </c>
      <c r="Z311" s="180">
        <v>9</v>
      </c>
      <c r="AA311" s="198" t="s">
        <v>598</v>
      </c>
      <c r="AB311" s="250" t="str">
        <f t="array" ref="AB311">INDEX(B:B,SMALL(IF($Q$3:$Q$517&lt;&gt;"",ROW($3:$517),518),ROW(B310)))&amp;""</f>
        <v>魅影杀手</v>
      </c>
      <c r="AC311" s="394" t="str">
        <f>IFERROR(IF(AND($Q312&lt;&gt;"",IF(法术查询!$J$4="",1,INDEX($R312:$Z312,1,VLOOKUP(法术查询!$J$4,$AF$2:$AG$10,2,0)))&lt;&gt;"",IF(法术查询!$J$5="",1,$P312=VLOOKUP(法术查询!$J$5,$AH$2:$AI$11,2,0)),IF(法术查询!$J$6="",1,IF(法术查询!$J$6=$E312,1,0)),IF(法术查询!$J$7="",1,SEARCH(法术查询!$J$7,$F312)),IF(法术查询!$J$8="",1,SEARCH(法术查询!$J$8,G312)),IF(法术查询!$J$9="",1,SEARCH(法术查询!$J$9,N312)),IF(法术查询!$J$10="",1,IF(法术查询!$J$10=$AF$11,IF($M312=1,1,0),IF($M312="",1,0))),IF(法术查询!$J$11="",1,IF(法术查询!$J$11=$AF$11,IF($D312=1,1,0),IF($D312="",1,0))),IF(法术查询!$J$12="",1,SEARCH(法术查询!$J$12,$B312&amp;$C312&amp;$O312)),IF(法术查询!$J$13="",1,SEARCH(法术查询!$J$13,$B312&amp;$C312&amp;$O312)),IF(法术查询!$J$14="",1,SEARCH(法术查询!$J$14,$B312&amp;$C312&amp;$O312)),IF(法术查询!$J$16="",1,IF(法术查询!$J$16=$AF$11,IF($H312=1,1,0),IF($H312="",1,0))),IF(法术查询!$J$17="",1,IF(法术查询!$J$17=$AF$11,IF($I312=1,1,0),IF($I312="",1,0))),IF(法术查询!$J$18="",1,IF(法术查询!$J$18=$AF$11,IF($J312&lt;&gt;"",1,0),IF($J312="",1,0))),IF(法术查询!$J$19="",1,IF(法术查询!$J$19=$AF$11,IF($L312&lt;&gt;"",1,0),IF($L312="",1,0)))),$B312,""),"")</f>
        <v/>
      </c>
      <c r="AD311" s="180" t="str">
        <f t="array" ref="AD311">INDEX(AC:AC,SMALL(IF($AC$2:$AC$516&lt;&gt;"",ROW($2:$516),517),ROW(AC310)))&amp;""</f>
        <v/>
      </c>
      <c r="AE311" s="198" t="str">
        <f t="shared" si="8"/>
        <v/>
      </c>
    </row>
    <row r="312" spans="1:31" ht="14.4" customHeight="1" x14ac:dyDescent="0.25">
      <c r="A312" s="250">
        <v>310</v>
      </c>
      <c r="B312" s="119" t="s">
        <v>7636</v>
      </c>
      <c r="C312" s="119" t="s">
        <v>7637</v>
      </c>
      <c r="E312" s="440" t="s">
        <v>6290</v>
      </c>
      <c r="F312" s="180" t="s">
        <v>6371</v>
      </c>
      <c r="G312" s="180" t="s">
        <v>6298</v>
      </c>
      <c r="H312" s="180">
        <v>1</v>
      </c>
      <c r="I312" s="180">
        <v>1</v>
      </c>
      <c r="J312" s="180">
        <v>1</v>
      </c>
      <c r="K312" s="119" t="s">
        <v>7638</v>
      </c>
      <c r="N312" s="180" t="s">
        <v>6399</v>
      </c>
      <c r="O312" s="119" t="s">
        <v>7639</v>
      </c>
      <c r="P312" s="119">
        <v>4</v>
      </c>
      <c r="Q312" s="119" t="s">
        <v>242</v>
      </c>
      <c r="X312" s="180">
        <v>1</v>
      </c>
      <c r="Z312" s="180">
        <v>9</v>
      </c>
      <c r="AA312" s="198" t="s">
        <v>761</v>
      </c>
      <c r="AB312" s="250" t="str">
        <f t="array" ref="AB312">INDEX(B:B,SMALL(IF($Q$3:$Q$517&lt;&gt;"",ROW($3:$517),518),ROW(B311)))&amp;""</f>
        <v>变形术</v>
      </c>
      <c r="AC312" s="394" t="str">
        <f>IFERROR(IF(AND($Q313&lt;&gt;"",IF(法术查询!$J$4="",1,INDEX($R313:$Z313,1,VLOOKUP(法术查询!$J$4,$AF$2:$AG$10,2,0)))&lt;&gt;"",IF(法术查询!$J$5="",1,$P313=VLOOKUP(法术查询!$J$5,$AH$2:$AI$11,2,0)),IF(法术查询!$J$6="",1,IF(法术查询!$J$6=$E313,1,0)),IF(法术查询!$J$7="",1,SEARCH(法术查询!$J$7,$F313)),IF(法术查询!$J$8="",1,SEARCH(法术查询!$J$8,G313)),IF(法术查询!$J$9="",1,SEARCH(法术查询!$J$9,N313)),IF(法术查询!$J$10="",1,IF(法术查询!$J$10=$AF$11,IF($M313=1,1,0),IF($M313="",1,0))),IF(法术查询!$J$11="",1,IF(法术查询!$J$11=$AF$11,IF($D313=1,1,0),IF($D313="",1,0))),IF(法术查询!$J$12="",1,SEARCH(法术查询!$J$12,$B313&amp;$C313&amp;$O313)),IF(法术查询!$J$13="",1,SEARCH(法术查询!$J$13,$B313&amp;$C313&amp;$O313)),IF(法术查询!$J$14="",1,SEARCH(法术查询!$J$14,$B313&amp;$C313&amp;$O313)),IF(法术查询!$J$16="",1,IF(法术查询!$J$16=$AF$11,IF($H313=1,1,0),IF($H313="",1,0))),IF(法术查询!$J$17="",1,IF(法术查询!$J$17=$AF$11,IF($I313=1,1,0),IF($I313="",1,0))),IF(法术查询!$J$18="",1,IF(法术查询!$J$18=$AF$11,IF($J313&lt;&gt;"",1,0),IF($J313="",1,0))),IF(法术查询!$J$19="",1,IF(法术查询!$J$19=$AF$11,IF($L313&lt;&gt;"",1,0),IF($L313="",1,0)))),$B313,""),"")</f>
        <v/>
      </c>
      <c r="AD312" s="180" t="str">
        <f t="array" ref="AD312">INDEX(AC:AC,SMALL(IF($AC$2:$AC$516&lt;&gt;"",ROW($2:$516),517),ROW(AC311)))&amp;""</f>
        <v/>
      </c>
      <c r="AE312" s="198" t="str">
        <f t="shared" si="8"/>
        <v/>
      </c>
    </row>
    <row r="313" spans="1:31" ht="14.4" customHeight="1" x14ac:dyDescent="0.25">
      <c r="A313" s="250">
        <v>311</v>
      </c>
      <c r="B313" s="119" t="s">
        <v>7640</v>
      </c>
      <c r="C313" s="119" t="s">
        <v>7641</v>
      </c>
      <c r="E313" s="434" t="s">
        <v>6304</v>
      </c>
      <c r="F313" s="180" t="s">
        <v>6282</v>
      </c>
      <c r="G313" s="180" t="s">
        <v>6313</v>
      </c>
      <c r="H313" s="180">
        <v>1</v>
      </c>
      <c r="I313" s="180">
        <v>1</v>
      </c>
      <c r="J313" s="180">
        <v>1</v>
      </c>
      <c r="K313" s="119" t="s">
        <v>7642</v>
      </c>
      <c r="M313" s="180">
        <v>1</v>
      </c>
      <c r="N313" s="180" t="s">
        <v>6306</v>
      </c>
      <c r="O313" s="119" t="s">
        <v>7643</v>
      </c>
      <c r="P313" s="119">
        <v>4</v>
      </c>
      <c r="Q313" s="119" t="s">
        <v>242</v>
      </c>
      <c r="X313" s="180">
        <v>1</v>
      </c>
      <c r="Z313" s="180">
        <v>9</v>
      </c>
      <c r="AA313" s="120" t="s">
        <v>7644</v>
      </c>
      <c r="AB313" s="250" t="str">
        <f t="array" ref="AB313">INDEX(B:B,SMALL(IF($Q$3:$Q$517&lt;&gt;"",ROW($3:$517),518),ROW(B312)))&amp;""</f>
        <v>惊惧斩</v>
      </c>
      <c r="AC313" s="394" t="str">
        <f>IFERROR(IF(AND($Q314&lt;&gt;"",IF(法术查询!$J$4="",1,INDEX($R314:$Z314,1,VLOOKUP(法术查询!$J$4,$AF$2:$AG$10,2,0)))&lt;&gt;"",IF(法术查询!$J$5="",1,$P314=VLOOKUP(法术查询!$J$5,$AH$2:$AI$11,2,0)),IF(法术查询!$J$6="",1,IF(法术查询!$J$6=$E314,1,0)),IF(法术查询!$J$7="",1,SEARCH(法术查询!$J$7,$F314)),IF(法术查询!$J$8="",1,SEARCH(法术查询!$J$8,G314)),IF(法术查询!$J$9="",1,SEARCH(法术查询!$J$9,N314)),IF(法术查询!$J$10="",1,IF(法术查询!$J$10=$AF$11,IF($M314=1,1,0),IF($M314="",1,0))),IF(法术查询!$J$11="",1,IF(法术查询!$J$11=$AF$11,IF($D314=1,1,0),IF($D314="",1,0))),IF(法术查询!$J$12="",1,SEARCH(法术查询!$J$12,$B314&amp;$C314&amp;$O314)),IF(法术查询!$J$13="",1,SEARCH(法术查询!$J$13,$B314&amp;$C314&amp;$O314)),IF(法术查询!$J$14="",1,SEARCH(法术查询!$J$14,$B314&amp;$C314&amp;$O314)),IF(法术查询!$J$16="",1,IF(法术查询!$J$16=$AF$11,IF($H314=1,1,0),IF($H314="",1,0))),IF(法术查询!$J$17="",1,IF(法术查询!$J$17=$AF$11,IF($I314=1,1,0),IF($I314="",1,0))),IF(法术查询!$J$18="",1,IF(法术查询!$J$18=$AF$11,IF($J314&lt;&gt;"",1,0),IF($J314="",1,0))),IF(法术查询!$J$19="",1,IF(法术查询!$J$19=$AF$11,IF($L314&lt;&gt;"",1,0),IF($L314="",1,0)))),$B314,""),"")</f>
        <v/>
      </c>
      <c r="AD313" s="180" t="str">
        <f t="array" ref="AD313">INDEX(AC:AC,SMALL(IF($AC$2:$AC$516&lt;&gt;"",ROW($2:$516),517),ROW(AC312)))&amp;""</f>
        <v/>
      </c>
      <c r="AE313" s="198" t="str">
        <f t="shared" si="8"/>
        <v/>
      </c>
    </row>
    <row r="314" spans="1:31" ht="14.4" customHeight="1" x14ac:dyDescent="0.25">
      <c r="A314" s="250">
        <v>312</v>
      </c>
      <c r="B314" s="119" t="s">
        <v>7645</v>
      </c>
      <c r="C314" s="119" t="s">
        <v>7646</v>
      </c>
      <c r="E314" s="285" t="s">
        <v>6366</v>
      </c>
      <c r="F314" s="180" t="s">
        <v>6282</v>
      </c>
      <c r="G314" s="180" t="s">
        <v>6298</v>
      </c>
      <c r="H314" s="180">
        <v>1</v>
      </c>
      <c r="I314" s="180">
        <v>1</v>
      </c>
      <c r="M314" s="180">
        <v>1</v>
      </c>
      <c r="N314" s="180" t="s">
        <v>6306</v>
      </c>
      <c r="O314" s="119" t="s">
        <v>7647</v>
      </c>
      <c r="P314" s="119">
        <v>4</v>
      </c>
      <c r="Q314" s="119" t="s">
        <v>242</v>
      </c>
      <c r="R314" s="180" t="str">
        <f>IF(综合数据!$B$14=TRUE,"13","")</f>
        <v>13</v>
      </c>
      <c r="X314" s="180">
        <v>1</v>
      </c>
      <c r="AA314" s="120" t="s">
        <v>7648</v>
      </c>
      <c r="AB314" s="250" t="str">
        <f t="array" ref="AB314">INDEX(B:B,SMALL(IF($Q$3:$Q$517&lt;&gt;"",ROW($3:$517),518),ROW(B313)))&amp;""</f>
        <v>塑石术</v>
      </c>
      <c r="AC314" s="394" t="str">
        <f>IFERROR(IF(AND($Q315&lt;&gt;"",IF(法术查询!$J$4="",1,INDEX($R315:$Z315,1,VLOOKUP(法术查询!$J$4,$AF$2:$AG$10,2,0)))&lt;&gt;"",IF(法术查询!$J$5="",1,$P315=VLOOKUP(法术查询!$J$5,$AH$2:$AI$11,2,0)),IF(法术查询!$J$6="",1,IF(法术查询!$J$6=$E315,1,0)),IF(法术查询!$J$7="",1,SEARCH(法术查询!$J$7,$F315)),IF(法术查询!$J$8="",1,SEARCH(法术查询!$J$8,G315)),IF(法术查询!$J$9="",1,SEARCH(法术查询!$J$9,N315)),IF(法术查询!$J$10="",1,IF(法术查询!$J$10=$AF$11,IF($M315=1,1,0),IF($M315="",1,0))),IF(法术查询!$J$11="",1,IF(法术查询!$J$11=$AF$11,IF($D315=1,1,0),IF($D315="",1,0))),IF(法术查询!$J$12="",1,SEARCH(法术查询!$J$12,$B315&amp;$C315&amp;$O315)),IF(法术查询!$J$13="",1,SEARCH(法术查询!$J$13,$B315&amp;$C315&amp;$O315)),IF(法术查询!$J$14="",1,SEARCH(法术查询!$J$14,$B315&amp;$C315&amp;$O315)),IF(法术查询!$J$16="",1,IF(法术查询!$J$16=$AF$11,IF($H315=1,1,0),IF($H315="",1,0))),IF(法术查询!$J$17="",1,IF(法术查询!$J$17=$AF$11,IF($I315=1,1,0),IF($I315="",1,0))),IF(法术查询!$J$18="",1,IF(法术查询!$J$18=$AF$11,IF($J315&lt;&gt;"",1,0),IF($J315="",1,0))),IF(法术查询!$J$19="",1,IF(法术查询!$J$19=$AF$11,IF($L315&lt;&gt;"",1,0),IF($L315="",1,0)))),$B315,""),"")</f>
        <v/>
      </c>
      <c r="AD314" s="180" t="str">
        <f t="array" ref="AD314">INDEX(AC:AC,SMALL(IF($AC$2:$AC$516&lt;&gt;"",ROW($2:$516),517),ROW(AC313)))&amp;""</f>
        <v/>
      </c>
      <c r="AE314" s="198" t="str">
        <f t="shared" si="8"/>
        <v/>
      </c>
    </row>
    <row r="315" spans="1:31" ht="14.4" customHeight="1" x14ac:dyDescent="0.25">
      <c r="A315" s="250">
        <v>313</v>
      </c>
      <c r="B315" s="119" t="s">
        <v>7649</v>
      </c>
      <c r="C315" s="119" t="s">
        <v>7650</v>
      </c>
      <c r="E315" s="435" t="s">
        <v>6312</v>
      </c>
      <c r="F315" s="180" t="s">
        <v>6282</v>
      </c>
      <c r="G315" s="180" t="s">
        <v>6283</v>
      </c>
      <c r="H315" s="180">
        <v>1</v>
      </c>
      <c r="I315" s="180">
        <v>1</v>
      </c>
      <c r="J315" s="180">
        <v>1</v>
      </c>
      <c r="K315" s="119" t="s">
        <v>7651</v>
      </c>
      <c r="M315" s="180">
        <v>1</v>
      </c>
      <c r="N315" s="180" t="s">
        <v>6379</v>
      </c>
      <c r="O315" s="119" t="s">
        <v>7652</v>
      </c>
      <c r="P315" s="119">
        <v>4</v>
      </c>
      <c r="Q315" s="119" t="s">
        <v>242</v>
      </c>
      <c r="R315" s="180">
        <v>1</v>
      </c>
      <c r="T315" s="180">
        <v>1</v>
      </c>
      <c r="W315" s="180">
        <v>1</v>
      </c>
      <c r="X315" s="180">
        <v>1</v>
      </c>
      <c r="AA315" s="120" t="s">
        <v>7653</v>
      </c>
      <c r="AB315" s="250" t="str">
        <f t="array" ref="AB315">INDEX(B:B,SMALL(IF($Q$3:$Q$517&lt;&gt;"",ROW($3:$517),518),ROW(B314)))&amp;""</f>
        <v>石肤术</v>
      </c>
      <c r="AC315" s="394" t="str">
        <f>IFERROR(IF(AND($Q316&lt;&gt;"",IF(法术查询!$J$4="",1,INDEX($R316:$Z316,1,VLOOKUP(法术查询!$J$4,$AF$2:$AG$10,2,0)))&lt;&gt;"",IF(法术查询!$J$5="",1,$P316=VLOOKUP(法术查询!$J$5,$AH$2:$AI$11,2,0)),IF(法术查询!$J$6="",1,IF(法术查询!$J$6=$E316,1,0)),IF(法术查询!$J$7="",1,SEARCH(法术查询!$J$7,$F316)),IF(法术查询!$J$8="",1,SEARCH(法术查询!$J$8,G316)),IF(法术查询!$J$9="",1,SEARCH(法术查询!$J$9,N316)),IF(法术查询!$J$10="",1,IF(法术查询!$J$10=$AF$11,IF($M316=1,1,0),IF($M316="",1,0))),IF(法术查询!$J$11="",1,IF(法术查询!$J$11=$AF$11,IF($D316=1,1,0),IF($D316="",1,0))),IF(法术查询!$J$12="",1,SEARCH(法术查询!$J$12,$B316&amp;$C316&amp;$O316)),IF(法术查询!$J$13="",1,SEARCH(法术查询!$J$13,$B316&amp;$C316&amp;$O316)),IF(法术查询!$J$14="",1,SEARCH(法术查询!$J$14,$B316&amp;$C316&amp;$O316)),IF(法术查询!$J$16="",1,IF(法术查询!$J$16=$AF$11,IF($H316=1,1,0),IF($H316="",1,0))),IF(法术查询!$J$17="",1,IF(法术查询!$J$17=$AF$11,IF($I316=1,1,0),IF($I316="",1,0))),IF(法术查询!$J$18="",1,IF(法术查询!$J$18=$AF$11,IF($J316&lt;&gt;"",1,0),IF($J316="",1,0))),IF(法术查询!$J$19="",1,IF(法术查询!$J$19=$AF$11,IF($L316&lt;&gt;"",1,0),IF($L316="",1,0)))),$B316,""),"")</f>
        <v/>
      </c>
      <c r="AD315" s="180" t="str">
        <f t="array" ref="AD315">INDEX(AC:AC,SMALL(IF($AC$2:$AC$516&lt;&gt;"",ROW($2:$516),517),ROW(AC314)))&amp;""</f>
        <v/>
      </c>
      <c r="AE315" s="198" t="str">
        <f t="shared" si="8"/>
        <v/>
      </c>
    </row>
    <row r="316" spans="1:31" ht="14.4" customHeight="1" x14ac:dyDescent="0.25">
      <c r="A316" s="250">
        <v>314</v>
      </c>
      <c r="B316" s="119" t="s">
        <v>7654</v>
      </c>
      <c r="C316" s="119" t="s">
        <v>7655</v>
      </c>
      <c r="E316" s="434" t="s">
        <v>6304</v>
      </c>
      <c r="F316" s="180" t="s">
        <v>6352</v>
      </c>
      <c r="G316" s="180" t="s">
        <v>6291</v>
      </c>
      <c r="H316" s="180">
        <v>1</v>
      </c>
      <c r="M316" s="180">
        <v>1</v>
      </c>
      <c r="N316" s="180" t="s">
        <v>6306</v>
      </c>
      <c r="O316" s="119" t="s">
        <v>7656</v>
      </c>
      <c r="P316" s="119">
        <v>4</v>
      </c>
      <c r="Q316" s="119" t="s">
        <v>242</v>
      </c>
      <c r="U316" s="180">
        <v>1</v>
      </c>
      <c r="AA316" s="198" t="s">
        <v>3471</v>
      </c>
      <c r="AB316" s="250" t="str">
        <f t="array" ref="AB316">INDEX(B:B,SMALL(IF($Q$3:$Q$517&lt;&gt;"",ROW($3:$517),518),ROW(B315)))&amp;""</f>
        <v>火墙术</v>
      </c>
      <c r="AC316" s="394" t="str">
        <f>IFERROR(IF(AND($Q317&lt;&gt;"",IF(法术查询!$J$4="",1,INDEX($R317:$Z317,1,VLOOKUP(法术查询!$J$4,$AF$2:$AG$10,2,0)))&lt;&gt;"",IF(法术查询!$J$5="",1,$P317=VLOOKUP(法术查询!$J$5,$AH$2:$AI$11,2,0)),IF(法术查询!$J$6="",1,IF(法术查询!$J$6=$E317,1,0)),IF(法术查询!$J$7="",1,SEARCH(法术查询!$J$7,$F317)),IF(法术查询!$J$8="",1,SEARCH(法术查询!$J$8,G317)),IF(法术查询!$J$9="",1,SEARCH(法术查询!$J$9,N317)),IF(法术查询!$J$10="",1,IF(法术查询!$J$10=$AF$11,IF($M317=1,1,0),IF($M317="",1,0))),IF(法术查询!$J$11="",1,IF(法术查询!$J$11=$AF$11,IF($D317=1,1,0),IF($D317="",1,0))),IF(法术查询!$J$12="",1,SEARCH(法术查询!$J$12,$B317&amp;$C317&amp;$O317)),IF(法术查询!$J$13="",1,SEARCH(法术查询!$J$13,$B317&amp;$C317&amp;$O317)),IF(法术查询!$J$14="",1,SEARCH(法术查询!$J$14,$B317&amp;$C317&amp;$O317)),IF(法术查询!$J$16="",1,IF(法术查询!$J$16=$AF$11,IF($H317=1,1,0),IF($H317="",1,0))),IF(法术查询!$J$17="",1,IF(法术查询!$J$17=$AF$11,IF($I317=1,1,0),IF($I317="",1,0))),IF(法术查询!$J$18="",1,IF(法术查询!$J$18=$AF$11,IF($J317&lt;&gt;"",1,0),IF($J317="",1,0))),IF(法术查询!$J$19="",1,IF(法术查询!$J$19=$AF$11,IF($L317&lt;&gt;"",1,0),IF($L317="",1,0)))),$B317,""),"")</f>
        <v/>
      </c>
      <c r="AD316" s="180" t="str">
        <f t="array" ref="AD316">INDEX(AC:AC,SMALL(IF($AC$2:$AC$516&lt;&gt;"",ROW($2:$516),517),ROW(AC315)))&amp;""</f>
        <v/>
      </c>
      <c r="AE316" s="198" t="str">
        <f t="shared" si="8"/>
        <v/>
      </c>
    </row>
    <row r="317" spans="1:31" ht="14.4" customHeight="1" x14ac:dyDescent="0.25">
      <c r="A317" s="250">
        <v>315</v>
      </c>
      <c r="B317" s="119" t="s">
        <v>7657</v>
      </c>
      <c r="C317" s="119" t="s">
        <v>7658</v>
      </c>
      <c r="E317" s="435" t="s">
        <v>6312</v>
      </c>
      <c r="F317" s="180" t="s">
        <v>6282</v>
      </c>
      <c r="G317" s="180" t="s">
        <v>3682</v>
      </c>
      <c r="H317" s="180">
        <v>1</v>
      </c>
      <c r="I317" s="180">
        <v>1</v>
      </c>
      <c r="J317" s="180">
        <v>1</v>
      </c>
      <c r="K317" s="119" t="s">
        <v>7659</v>
      </c>
      <c r="N317" s="180" t="s">
        <v>6284</v>
      </c>
      <c r="O317" s="119" t="s">
        <v>7660</v>
      </c>
      <c r="P317" s="119">
        <v>4</v>
      </c>
      <c r="Q317" s="119" t="s">
        <v>242</v>
      </c>
      <c r="S317" s="180">
        <v>1</v>
      </c>
      <c r="T317" s="180">
        <v>1</v>
      </c>
      <c r="X317" s="180">
        <v>1</v>
      </c>
      <c r="Z317" s="180">
        <v>9</v>
      </c>
      <c r="AA317" s="120" t="s">
        <v>7661</v>
      </c>
      <c r="AB317" s="250" t="str">
        <f t="array" ref="AB317">INDEX(B:B,SMALL(IF($Q$3:$Q$517&lt;&gt;"",ROW($3:$517),518),ROW(B316)))&amp;""</f>
        <v>魅惑怪物</v>
      </c>
      <c r="AC317" s="394" t="str">
        <f>IFERROR(IF(AND($Q318&lt;&gt;"",IF(法术查询!$J$4="",1,INDEX($R318:$Z318,1,VLOOKUP(法术查询!$J$4,$AF$2:$AG$10,2,0)))&lt;&gt;"",IF(法术查询!$J$5="",1,$P318=VLOOKUP(法术查询!$J$5,$AH$2:$AI$11,2,0)),IF(法术查询!$J$6="",1,IF(法术查询!$J$6=$E318,1,0)),IF(法术查询!$J$7="",1,SEARCH(法术查询!$J$7,$F318)),IF(法术查询!$J$8="",1,SEARCH(法术查询!$J$8,G318)),IF(法术查询!$J$9="",1,SEARCH(法术查询!$J$9,N318)),IF(法术查询!$J$10="",1,IF(法术查询!$J$10=$AF$11,IF($M318=1,1,0),IF($M318="",1,0))),IF(法术查询!$J$11="",1,IF(法术查询!$J$11=$AF$11,IF($D318=1,1,0),IF($D318="",1,0))),IF(法术查询!$J$12="",1,SEARCH(法术查询!$J$12,$B318&amp;$C318&amp;$O318)),IF(法术查询!$J$13="",1,SEARCH(法术查询!$J$13,$B318&amp;$C318&amp;$O318)),IF(法术查询!$J$14="",1,SEARCH(法术查询!$J$14,$B318&amp;$C318&amp;$O318)),IF(法术查询!$J$16="",1,IF(法术查询!$J$16=$AF$11,IF($H318=1,1,0),IF($H318="",1,0))),IF(法术查询!$J$17="",1,IF(法术查询!$J$17=$AF$11,IF($I318=1,1,0),IF($I318="",1,0))),IF(法术查询!$J$18="",1,IF(法术查询!$J$18=$AF$11,IF($J318&lt;&gt;"",1,0),IF($J318="",1,0))),IF(法术查询!$J$19="",1,IF(法术查询!$J$19=$AF$11,IF($L318&lt;&gt;"",1,0),IF($L318="",1,0)))),$B318,""),"")</f>
        <v/>
      </c>
      <c r="AD317" s="180" t="str">
        <f t="array" ref="AD317">INDEX(AC:AC,SMALL(IF($AC$2:$AC$516&lt;&gt;"",ROW($2:$516),517),ROW(AC316)))&amp;""</f>
        <v/>
      </c>
      <c r="AE317" s="198" t="str">
        <f t="shared" si="8"/>
        <v/>
      </c>
    </row>
    <row r="318" spans="1:31" ht="14.4" customHeight="1" x14ac:dyDescent="0.25">
      <c r="A318" s="250">
        <v>316</v>
      </c>
      <c r="B318" s="119" t="s">
        <v>7662</v>
      </c>
      <c r="C318" s="119" t="s">
        <v>7663</v>
      </c>
      <c r="E318" s="440" t="s">
        <v>6290</v>
      </c>
      <c r="F318" s="180" t="s">
        <v>6282</v>
      </c>
      <c r="G318" s="180" t="s">
        <v>3682</v>
      </c>
      <c r="H318" s="180">
        <v>1</v>
      </c>
      <c r="I318" s="180">
        <v>1</v>
      </c>
      <c r="J318" s="180">
        <v>1</v>
      </c>
      <c r="L318" s="119" t="s">
        <v>7664</v>
      </c>
      <c r="M318" s="180">
        <v>1</v>
      </c>
      <c r="N318" s="180" t="s">
        <v>6379</v>
      </c>
      <c r="O318" s="119" t="s">
        <v>7665</v>
      </c>
      <c r="P318" s="119">
        <v>4</v>
      </c>
      <c r="Q318" s="119" t="s">
        <v>242</v>
      </c>
      <c r="T318" s="180">
        <v>1</v>
      </c>
      <c r="V318" s="180">
        <v>1</v>
      </c>
      <c r="W318" s="180">
        <v>1</v>
      </c>
      <c r="X318" s="180">
        <v>1</v>
      </c>
      <c r="Z318" s="180">
        <v>9</v>
      </c>
      <c r="AA318" s="120" t="s">
        <v>7666</v>
      </c>
      <c r="AB318" s="250" t="str">
        <f t="array" ref="AB318">INDEX(B:B,SMALL(IF($Q$3:$Q$517&lt;&gt;"",ROW($3:$517),518),ROW(B317)))&amp;""</f>
        <v>元素灾厄</v>
      </c>
      <c r="AC318" s="394" t="str">
        <f>IFERROR(IF(AND($Q319&lt;&gt;"",IF(法术查询!$J$4="",1,INDEX($R319:$Z319,1,VLOOKUP(法术查询!$J$4,$AF$2:$AG$10,2,0)))&lt;&gt;"",IF(法术查询!$J$5="",1,$P319=VLOOKUP(法术查询!$J$5,$AH$2:$AI$11,2,0)),IF(法术查询!$J$6="",1,IF(法术查询!$J$6=$E319,1,0)),IF(法术查询!$J$7="",1,SEARCH(法术查询!$J$7,$F319)),IF(法术查询!$J$8="",1,SEARCH(法术查询!$J$8,G319)),IF(法术查询!$J$9="",1,SEARCH(法术查询!$J$9,N319)),IF(法术查询!$J$10="",1,IF(法术查询!$J$10=$AF$11,IF($M319=1,1,0),IF($M319="",1,0))),IF(法术查询!$J$11="",1,IF(法术查询!$J$11=$AF$11,IF($D319=1,1,0),IF($D319="",1,0))),IF(法术查询!$J$12="",1,SEARCH(法术查询!$J$12,$B319&amp;$C319&amp;$O319)),IF(法术查询!$J$13="",1,SEARCH(法术查询!$J$13,$B319&amp;$C319&amp;$O319)),IF(法术查询!$J$14="",1,SEARCH(法术查询!$J$14,$B319&amp;$C319&amp;$O319)),IF(法术查询!$J$16="",1,IF(法术查询!$J$16=$AF$11,IF($H319=1,1,0),IF($H319="",1,0))),IF(法术查询!$J$17="",1,IF(法术查询!$J$17=$AF$11,IF($I319=1,1,0),IF($I319="",1,0))),IF(法术查询!$J$18="",1,IF(法术查询!$J$18=$AF$11,IF($J319&lt;&gt;"",1,0),IF($J319="",1,0))),IF(法术查询!$J$19="",1,IF(法术查询!$J$19=$AF$11,IF($L319&lt;&gt;"",1,0),IF($L319="",1,0)))),$B319,""),"")</f>
        <v/>
      </c>
      <c r="AD318" s="180" t="str">
        <f t="array" ref="AD318">INDEX(AC:AC,SMALL(IF($AC$2:$AC$516&lt;&gt;"",ROW($2:$516),517),ROW(AC317)))&amp;""</f>
        <v/>
      </c>
      <c r="AE318" s="198" t="str">
        <f t="shared" si="8"/>
        <v/>
      </c>
    </row>
    <row r="319" spans="1:31" ht="14.4" customHeight="1" x14ac:dyDescent="0.25">
      <c r="A319" s="250">
        <v>317</v>
      </c>
      <c r="B319" s="119" t="s">
        <v>7667</v>
      </c>
      <c r="C319" s="119" t="s">
        <v>7668</v>
      </c>
      <c r="E319" s="434" t="s">
        <v>6304</v>
      </c>
      <c r="F319" s="180" t="s">
        <v>6282</v>
      </c>
      <c r="G319" s="180" t="s">
        <v>6298</v>
      </c>
      <c r="H319" s="180">
        <v>1</v>
      </c>
      <c r="I319" s="180">
        <v>1</v>
      </c>
      <c r="J319" s="180">
        <v>1</v>
      </c>
      <c r="K319" s="119" t="s">
        <v>7669</v>
      </c>
      <c r="M319" s="180">
        <v>1</v>
      </c>
      <c r="N319" s="180" t="s">
        <v>6306</v>
      </c>
      <c r="O319" s="119" t="s">
        <v>7670</v>
      </c>
      <c r="P319" s="119">
        <v>4</v>
      </c>
      <c r="Q319" s="119" t="s">
        <v>242</v>
      </c>
      <c r="T319" s="180">
        <v>1</v>
      </c>
      <c r="W319" s="180">
        <v>1</v>
      </c>
      <c r="X319" s="180">
        <v>1</v>
      </c>
      <c r="AA319" s="120" t="s">
        <v>7671</v>
      </c>
      <c r="AB319" s="250" t="str">
        <f t="array" ref="AB319">INDEX(B:B,SMALL(IF($Q$3:$Q$517&lt;&gt;"",ROW($3:$517),518),ROW(B318)))&amp;""</f>
        <v>获得高等坐骑</v>
      </c>
      <c r="AC319" s="394" t="str">
        <f>IFERROR(IF(AND($Q320&lt;&gt;"",IF(法术查询!$J$4="",1,INDEX($R320:$Z320,1,VLOOKUP(法术查询!$J$4,$AF$2:$AG$10,2,0)))&lt;&gt;"",IF(法术查询!$J$5="",1,$P320=VLOOKUP(法术查询!$J$5,$AH$2:$AI$11,2,0)),IF(法术查询!$J$6="",1,IF(法术查询!$J$6=$E320,1,0)),IF(法术查询!$J$7="",1,SEARCH(法术查询!$J$7,$F320)),IF(法术查询!$J$8="",1,SEARCH(法术查询!$J$8,G320)),IF(法术查询!$J$9="",1,SEARCH(法术查询!$J$9,N320)),IF(法术查询!$J$10="",1,IF(法术查询!$J$10=$AF$11,IF($M320=1,1,0),IF($M320="",1,0))),IF(法术查询!$J$11="",1,IF(法术查询!$J$11=$AF$11,IF($D320=1,1,0),IF($D320="",1,0))),IF(法术查询!$J$12="",1,SEARCH(法术查询!$J$12,$B320&amp;$C320&amp;$O320)),IF(法术查询!$J$13="",1,SEARCH(法术查询!$J$13,$B320&amp;$C320&amp;$O320)),IF(法术查询!$J$14="",1,SEARCH(法术查询!$J$14,$B320&amp;$C320&amp;$O320)),IF(法术查询!$J$16="",1,IF(法术查询!$J$16=$AF$11,IF($H320=1,1,0),IF($H320="",1,0))),IF(法术查询!$J$17="",1,IF(法术查询!$J$17=$AF$11,IF($I320=1,1,0),IF($I320="",1,0))),IF(法术查询!$J$18="",1,IF(法术查询!$J$18=$AF$11,IF($J320&lt;&gt;"",1,0),IF($J320="",1,0))),IF(法术查询!$J$19="",1,IF(法术查询!$J$19=$AF$11,IF($L320&lt;&gt;"",1,0),IF($L320="",1,0)))),$B320,""),"")</f>
        <v/>
      </c>
      <c r="AD319" s="180" t="str">
        <f t="array" ref="AD319">INDEX(AC:AC,SMALL(IF($AC$2:$AC$516&lt;&gt;"",ROW($2:$516),517),ROW(AC318)))&amp;""</f>
        <v/>
      </c>
      <c r="AE319" s="198" t="str">
        <f t="shared" si="8"/>
        <v/>
      </c>
    </row>
    <row r="320" spans="1:31" ht="14.4" customHeight="1" x14ac:dyDescent="0.25">
      <c r="A320" s="250">
        <v>318</v>
      </c>
      <c r="B320" s="119" t="s">
        <v>7672</v>
      </c>
      <c r="C320" s="119" t="s">
        <v>7673</v>
      </c>
      <c r="E320" s="379" t="s">
        <v>6328</v>
      </c>
      <c r="F320" s="180" t="s">
        <v>6282</v>
      </c>
      <c r="G320" s="180" t="s">
        <v>6313</v>
      </c>
      <c r="H320" s="180">
        <v>1</v>
      </c>
      <c r="I320" s="180">
        <v>1</v>
      </c>
      <c r="K320" s="119"/>
      <c r="N320" s="180" t="s">
        <v>6344</v>
      </c>
      <c r="O320" s="119" t="s">
        <v>7674</v>
      </c>
      <c r="P320" s="119">
        <v>4</v>
      </c>
      <c r="Q320" s="251" t="str">
        <f>IF(综合数据!$B$7=TRUE,"XGE","")</f>
        <v>XGE</v>
      </c>
      <c r="R320" s="180">
        <v>6</v>
      </c>
      <c r="T320" s="180">
        <v>6</v>
      </c>
      <c r="W320" s="180">
        <v>6</v>
      </c>
      <c r="X320" s="180">
        <v>6</v>
      </c>
      <c r="Y320" s="180">
        <v>6</v>
      </c>
      <c r="AA320" s="198"/>
      <c r="AB320" s="250" t="str">
        <f t="array" ref="AB320">INDEX(B:B,SMALL(IF($Q$3:$Q$517&lt;&gt;"",ROW($3:$517),518),ROW(B319)))&amp;""</f>
        <v>自然守卫</v>
      </c>
      <c r="AC320" s="394" t="str">
        <f>IFERROR(IF(AND($Q321&lt;&gt;"",IF(法术查询!$J$4="",1,INDEX($R321:$Z321,1,VLOOKUP(法术查询!$J$4,$AF$2:$AG$10,2,0)))&lt;&gt;"",IF(法术查询!$J$5="",1,$P321=VLOOKUP(法术查询!$J$5,$AH$2:$AI$11,2,0)),IF(法术查询!$J$6="",1,IF(法术查询!$J$6=$E321,1,0)),IF(法术查询!$J$7="",1,SEARCH(法术查询!$J$7,$F321)),IF(法术查询!$J$8="",1,SEARCH(法术查询!$J$8,G321)),IF(法术查询!$J$9="",1,SEARCH(法术查询!$J$9,N321)),IF(法术查询!$J$10="",1,IF(法术查询!$J$10=$AF$11,IF($M321=1,1,0),IF($M321="",1,0))),IF(法术查询!$J$11="",1,IF(法术查询!$J$11=$AF$11,IF($D321=1,1,0),IF($D321="",1,0))),IF(法术查询!$J$12="",1,SEARCH(法术查询!$J$12,$B321&amp;$C321&amp;$O321)),IF(法术查询!$J$13="",1,SEARCH(法术查询!$J$13,$B321&amp;$C321&amp;$O321)),IF(法术查询!$J$14="",1,SEARCH(法术查询!$J$14,$B321&amp;$C321&amp;$O321)),IF(法术查询!$J$16="",1,IF(法术查询!$J$16=$AF$11,IF($H321=1,1,0),IF($H321="",1,0))),IF(法术查询!$J$17="",1,IF(法术查询!$J$17=$AF$11,IF($I321=1,1,0),IF($I321="",1,0))),IF(法术查询!$J$18="",1,IF(法术查询!$J$18=$AF$11,IF($J321&lt;&gt;"",1,0),IF($J321="",1,0))),IF(法术查询!$J$19="",1,IF(法术查询!$J$19=$AF$11,IF($L321&lt;&gt;"",1,0),IF($L321="",1,0)))),$B321,""),"")</f>
        <v/>
      </c>
      <c r="AD320" s="180" t="str">
        <f t="array" ref="AD320">INDEX(AC:AC,SMALL(IF($AC$2:$AC$516&lt;&gt;"",ROW($2:$516),517),ROW(AC319)))&amp;""</f>
        <v/>
      </c>
      <c r="AE320" s="198" t="str">
        <f t="shared" si="8"/>
        <v/>
      </c>
    </row>
    <row r="321" spans="1:31" ht="14.4" customHeight="1" x14ac:dyDescent="0.25">
      <c r="A321" s="250">
        <v>319</v>
      </c>
      <c r="B321" s="119" t="s">
        <v>7675</v>
      </c>
      <c r="C321" s="119" t="s">
        <v>7676</v>
      </c>
      <c r="E321" s="435" t="s">
        <v>6312</v>
      </c>
      <c r="F321" s="180" t="s">
        <v>6282</v>
      </c>
      <c r="G321" s="180" t="s">
        <v>6400</v>
      </c>
      <c r="H321" s="180">
        <v>1</v>
      </c>
      <c r="I321" s="180">
        <v>1</v>
      </c>
      <c r="K321" s="119"/>
      <c r="M321" s="180">
        <v>1</v>
      </c>
      <c r="N321" s="180" t="s">
        <v>6306</v>
      </c>
      <c r="O321" s="119" t="s">
        <v>7677</v>
      </c>
      <c r="P321" s="119">
        <v>4</v>
      </c>
      <c r="Q321" s="251" t="str">
        <f>IF(综合数据!$B$7=TRUE,"XGE","")</f>
        <v>XGE</v>
      </c>
      <c r="T321" s="180">
        <v>6</v>
      </c>
      <c r="X321" s="180">
        <v>6</v>
      </c>
      <c r="Y321" s="180">
        <v>6</v>
      </c>
      <c r="Z321" s="180">
        <v>9</v>
      </c>
      <c r="AA321" s="198"/>
      <c r="AB321" s="250" t="str">
        <f t="array" ref="AB321">INDEX(B:B,SMALL(IF($Q$3:$Q$517&lt;&gt;"",ROW($3:$517),518),ROW(B320)))&amp;""</f>
        <v>莫伊之影</v>
      </c>
      <c r="AC321" s="394" t="str">
        <f>IFERROR(IF(AND($Q322&lt;&gt;"",IF(法术查询!$J$4="",1,INDEX($R322:$Z322,1,VLOOKUP(法术查询!$J$4,$AF$2:$AG$10,2,0)))&lt;&gt;"",IF(法术查询!$J$5="",1,$P322=VLOOKUP(法术查询!$J$5,$AH$2:$AI$11,2,0)),IF(法术查询!$J$6="",1,IF(法术查询!$J$6=$E322,1,0)),IF(法术查询!$J$7="",1,SEARCH(法术查询!$J$7,$F322)),IF(法术查询!$J$8="",1,SEARCH(法术查询!$J$8,G322)),IF(法术查询!$J$9="",1,SEARCH(法术查询!$J$9,N322)),IF(法术查询!$J$10="",1,IF(法术查询!$J$10=$AF$11,IF($M322=1,1,0),IF($M322="",1,0))),IF(法术查询!$J$11="",1,IF(法术查询!$J$11=$AF$11,IF($D322=1,1,0),IF($D322="",1,0))),IF(法术查询!$J$12="",1,SEARCH(法术查询!$J$12,$B322&amp;$C322&amp;$O322)),IF(法术查询!$J$13="",1,SEARCH(法术查询!$J$13,$B322&amp;$C322&amp;$O322)),IF(法术查询!$J$14="",1,SEARCH(法术查询!$J$14,$B322&amp;$C322&amp;$O322)),IF(法术查询!$J$16="",1,IF(法术查询!$J$16=$AF$11,IF($H322=1,1,0),IF($H322="",1,0))),IF(法术查询!$J$17="",1,IF(法术查询!$J$17=$AF$11,IF($I322=1,1,0),IF($I322="",1,0))),IF(法术查询!$J$18="",1,IF(法术查询!$J$18=$AF$11,IF($J322&lt;&gt;"",1,0),IF($J322="",1,0))),IF(法术查询!$J$19="",1,IF(法术查询!$J$19=$AF$11,IF($L322&lt;&gt;"",1,0),IF($L322="",1,0)))),$B322,""),"")</f>
        <v/>
      </c>
      <c r="AD321" s="180" t="str">
        <f t="array" ref="AD321">INDEX(AC:AC,SMALL(IF($AC$2:$AC$516&lt;&gt;"",ROW($2:$516),517),ROW(AC320)))&amp;""</f>
        <v/>
      </c>
      <c r="AE321" s="198" t="str">
        <f t="shared" si="8"/>
        <v/>
      </c>
    </row>
    <row r="322" spans="1:31" ht="14.4" customHeight="1" x14ac:dyDescent="0.25">
      <c r="A322" s="250">
        <v>320</v>
      </c>
      <c r="B322" s="119" t="s">
        <v>7678</v>
      </c>
      <c r="C322" s="119" t="s">
        <v>7679</v>
      </c>
      <c r="E322" s="378" t="s">
        <v>6281</v>
      </c>
      <c r="F322" s="180" t="s">
        <v>6371</v>
      </c>
      <c r="G322" s="180" t="s">
        <v>6313</v>
      </c>
      <c r="H322" s="180">
        <v>1</v>
      </c>
      <c r="I322" s="180">
        <v>1</v>
      </c>
      <c r="K322" s="119"/>
      <c r="N322" s="180" t="s">
        <v>6284</v>
      </c>
      <c r="O322" s="119" t="s">
        <v>7680</v>
      </c>
      <c r="P322" s="119">
        <v>4</v>
      </c>
      <c r="Q322" s="251" t="str">
        <f>IF(综合数据!$B$7=TRUE,"XGE","")</f>
        <v>XGE</v>
      </c>
      <c r="U322" s="180">
        <v>6</v>
      </c>
      <c r="AA322" s="198"/>
      <c r="AB322" s="250" t="str">
        <f t="array" ref="AB322">INDEX(B:B,SMALL(IF($Q$3:$Q$517&lt;&gt;"",ROW($3:$517),518),ROW(B321)))&amp;""</f>
        <v>致病辐射</v>
      </c>
      <c r="AC322" s="394" t="str">
        <f>IFERROR(IF(AND($Q323&lt;&gt;"",IF(法术查询!$J$4="",1,INDEX($R323:$Z323,1,VLOOKUP(法术查询!$J$4,$AF$2:$AG$10,2,0)))&lt;&gt;"",IF(法术查询!$J$5="",1,$P323=VLOOKUP(法术查询!$J$5,$AH$2:$AI$11,2,0)),IF(法术查询!$J$6="",1,IF(法术查询!$J$6=$E323,1,0)),IF(法术查询!$J$7="",1,SEARCH(法术查询!$J$7,$F323)),IF(法术查询!$J$8="",1,SEARCH(法术查询!$J$8,G323)),IF(法术查询!$J$9="",1,SEARCH(法术查询!$J$9,N323)),IF(法术查询!$J$10="",1,IF(法术查询!$J$10=$AF$11,IF($M323=1,1,0),IF($M323="",1,0))),IF(法术查询!$J$11="",1,IF(法术查询!$J$11=$AF$11,IF($D323=1,1,0),IF($D323="",1,0))),IF(法术查询!$J$12="",1,SEARCH(法术查询!$J$12,$B323&amp;$C323&amp;$O323)),IF(法术查询!$J$13="",1,SEARCH(法术查询!$J$13,$B323&amp;$C323&amp;$O323)),IF(法术查询!$J$14="",1,SEARCH(法术查询!$J$14,$B323&amp;$C323&amp;$O323)),IF(法术查询!$J$16="",1,IF(法术查询!$J$16=$AF$11,IF($H323=1,1,0),IF($H323="",1,0))),IF(法术查询!$J$17="",1,IF(法术查询!$J$17=$AF$11,IF($I323=1,1,0),IF($I323="",1,0))),IF(法术查询!$J$18="",1,IF(法术查询!$J$18=$AF$11,IF($J323&lt;&gt;"",1,0),IF($J323="",1,0))),IF(法术查询!$J$19="",1,IF(法术查询!$J$19=$AF$11,IF($L323&lt;&gt;"",1,0),IF($L323="",1,0)))),$B323,""),"")</f>
        <v/>
      </c>
      <c r="AD322" s="180" t="str">
        <f t="array" ref="AD322">INDEX(AC:AC,SMALL(IF($AC$2:$AC$516&lt;&gt;"",ROW($2:$516),517),ROW(AC321)))&amp;""</f>
        <v/>
      </c>
      <c r="AE322" s="198" t="str">
        <f t="shared" si="8"/>
        <v/>
      </c>
    </row>
    <row r="323" spans="1:31" ht="14.4" customHeight="1" x14ac:dyDescent="0.25">
      <c r="A323" s="250">
        <v>321</v>
      </c>
      <c r="B323" s="119" t="s">
        <v>7681</v>
      </c>
      <c r="C323" s="119" t="s">
        <v>7682</v>
      </c>
      <c r="E323" s="435" t="s">
        <v>6312</v>
      </c>
      <c r="F323" s="180" t="s">
        <v>6352</v>
      </c>
      <c r="G323" s="180" t="s">
        <v>6291</v>
      </c>
      <c r="H323" s="180">
        <v>1</v>
      </c>
      <c r="K323" s="119"/>
      <c r="M323" s="180">
        <v>1</v>
      </c>
      <c r="N323" s="180" t="s">
        <v>6306</v>
      </c>
      <c r="O323" s="119" t="s">
        <v>7683</v>
      </c>
      <c r="P323" s="119">
        <v>4</v>
      </c>
      <c r="Q323" s="251" t="str">
        <f>IF(综合数据!$B$7=TRUE,"XGE","")</f>
        <v>XGE</v>
      </c>
      <c r="T323" s="180">
        <v>6</v>
      </c>
      <c r="V323" s="180">
        <v>6</v>
      </c>
      <c r="AA323" s="198"/>
      <c r="AB323" s="250" t="str">
        <f t="array" ref="AB323">INDEX(B:B,SMALL(IF($Q$3:$Q$517&lt;&gt;"",ROW($3:$517),518),ROW(B322)))&amp;""</f>
        <v>暴风球</v>
      </c>
      <c r="AC323" s="394" t="str">
        <f>IFERROR(IF(AND($Q324&lt;&gt;"",IF(法术查询!$J$4="",1,INDEX($R324:$Z324,1,VLOOKUP(法术查询!$J$4,$AF$2:$AG$10,2,0)))&lt;&gt;"",IF(法术查询!$J$5="",1,$P324=VLOOKUP(法术查询!$J$5,$AH$2:$AI$11,2,0)),IF(法术查询!$J$6="",1,IF(法术查询!$J$6=$E324,1,0)),IF(法术查询!$J$7="",1,SEARCH(法术查询!$J$7,$F324)),IF(法术查询!$J$8="",1,SEARCH(法术查询!$J$8,G324)),IF(法术查询!$J$9="",1,SEARCH(法术查询!$J$9,N324)),IF(法术查询!$J$10="",1,IF(法术查询!$J$10=$AF$11,IF($M324=1,1,0),IF($M324="",1,0))),IF(法术查询!$J$11="",1,IF(法术查询!$J$11=$AF$11,IF($D324=1,1,0),IF($D324="",1,0))),IF(法术查询!$J$12="",1,SEARCH(法术查询!$J$12,$B324&amp;$C324&amp;$O324)),IF(法术查询!$J$13="",1,SEARCH(法术查询!$J$13,$B324&amp;$C324&amp;$O324)),IF(法术查询!$J$14="",1,SEARCH(法术查询!$J$14,$B324&amp;$C324&amp;$O324)),IF(法术查询!$J$16="",1,IF(法术查询!$J$16=$AF$11,IF($H324=1,1,0),IF($H324="",1,0))),IF(法术查询!$J$17="",1,IF(法术查询!$J$17=$AF$11,IF($I324=1,1,0),IF($I324="",1,0))),IF(法术查询!$J$18="",1,IF(法术查询!$J$18=$AF$11,IF($J324&lt;&gt;"",1,0),IF($J324="",1,0))),IF(法术查询!$J$19="",1,IF(法术查询!$J$19=$AF$11,IF($L324&lt;&gt;"",1,0),IF($L324="",1,0)))),$B324,""),"")</f>
        <v/>
      </c>
      <c r="AD323" s="180" t="str">
        <f t="array" ref="AD323">INDEX(AC:AC,SMALL(IF($AC$2:$AC$516&lt;&gt;"",ROW($2:$516),517),ROW(AC322)))&amp;""</f>
        <v/>
      </c>
      <c r="AE323" s="198" t="str">
        <f t="shared" ref="AE323:AE386" si="9">IF(AD323="","",VLOOKUP(AD323,B:C,2,0))</f>
        <v/>
      </c>
    </row>
    <row r="324" spans="1:31" ht="14.4" customHeight="1" x14ac:dyDescent="0.25">
      <c r="A324" s="250">
        <v>322</v>
      </c>
      <c r="B324" s="119" t="s">
        <v>7684</v>
      </c>
      <c r="C324" s="119" t="s">
        <v>7685</v>
      </c>
      <c r="E324" s="441" t="s">
        <v>6297</v>
      </c>
      <c r="F324" s="180" t="s">
        <v>6282</v>
      </c>
      <c r="G324" s="180" t="s">
        <v>6291</v>
      </c>
      <c r="H324" s="180">
        <v>1</v>
      </c>
      <c r="I324" s="180">
        <v>1</v>
      </c>
      <c r="J324" s="180">
        <v>1</v>
      </c>
      <c r="K324" s="119" t="s">
        <v>7686</v>
      </c>
      <c r="M324" s="180">
        <v>1</v>
      </c>
      <c r="N324" s="180" t="s">
        <v>6306</v>
      </c>
      <c r="O324" s="119" t="s">
        <v>7687</v>
      </c>
      <c r="P324" s="119">
        <v>4</v>
      </c>
      <c r="Q324" s="251" t="str">
        <f>IF(综合数据!$B$7=TRUE,"XGE","")</f>
        <v>XGE</v>
      </c>
      <c r="Y324" s="180">
        <v>6</v>
      </c>
      <c r="AA324" s="198"/>
      <c r="AB324" s="250" t="str">
        <f t="array" ref="AB324">INDEX(B:B,SMALL(IF($Q$3:$Q$517&lt;&gt;"",ROW($3:$517),518),ROW(B323)))&amp;""</f>
        <v>召唤高等恶魔</v>
      </c>
      <c r="AC324" s="394" t="str">
        <f>IFERROR(IF(AND($Q325&lt;&gt;"",IF(法术查询!$J$4="",1,INDEX($R325:$Z325,1,VLOOKUP(法术查询!$J$4,$AF$2:$AG$10,2,0)))&lt;&gt;"",IF(法术查询!$J$5="",1,$P325=VLOOKUP(法术查询!$J$5,$AH$2:$AI$11,2,0)),IF(法术查询!$J$6="",1,IF(法术查询!$J$6=$E325,1,0)),IF(法术查询!$J$7="",1,SEARCH(法术查询!$J$7,$F325)),IF(法术查询!$J$8="",1,SEARCH(法术查询!$J$8,G325)),IF(法术查询!$J$9="",1,SEARCH(法术查询!$J$9,N325)),IF(法术查询!$J$10="",1,IF(法术查询!$J$10=$AF$11,IF($M325=1,1,0),IF($M325="",1,0))),IF(法术查询!$J$11="",1,IF(法术查询!$J$11=$AF$11,IF($D325=1,1,0),IF($D325="",1,0))),IF(法术查询!$J$12="",1,SEARCH(法术查询!$J$12,$B325&amp;$C325&amp;$O325)),IF(法术查询!$J$13="",1,SEARCH(法术查询!$J$13,$B325&amp;$C325&amp;$O325)),IF(法术查询!$J$14="",1,SEARCH(法术查询!$J$14,$B325&amp;$C325&amp;$O325)),IF(法术查询!$J$16="",1,IF(法术查询!$J$16=$AF$11,IF($H325=1,1,0),IF($H325="",1,0))),IF(法术查询!$J$17="",1,IF(法术查询!$J$17=$AF$11,IF($I325=1,1,0),IF($I325="",1,0))),IF(法术查询!$J$18="",1,IF(法术查询!$J$18=$AF$11,IF($J325&lt;&gt;"",1,0),IF($J325="",1,0))),IF(法术查询!$J$19="",1,IF(法术查询!$J$19=$AF$11,IF($L325&lt;&gt;"",1,0),IF($L325="",1,0)))),$B325,""),"")</f>
        <v/>
      </c>
      <c r="AD324" s="180" t="str">
        <f t="array" ref="AD324">INDEX(AC:AC,SMALL(IF($AC$2:$AC$516&lt;&gt;"",ROW($2:$516),517),ROW(AC323)))&amp;""</f>
        <v/>
      </c>
      <c r="AE324" s="198" t="str">
        <f t="shared" si="9"/>
        <v/>
      </c>
    </row>
    <row r="325" spans="1:31" ht="14.4" customHeight="1" x14ac:dyDescent="0.25">
      <c r="A325" s="250">
        <v>323</v>
      </c>
      <c r="B325" s="119" t="s">
        <v>7688</v>
      </c>
      <c r="C325" s="119" t="s">
        <v>7689</v>
      </c>
      <c r="E325" s="434" t="s">
        <v>6304</v>
      </c>
      <c r="F325" s="180" t="s">
        <v>6282</v>
      </c>
      <c r="G325" s="180" t="s">
        <v>6298</v>
      </c>
      <c r="H325" s="180">
        <v>1</v>
      </c>
      <c r="I325" s="180">
        <v>1</v>
      </c>
      <c r="K325" s="119"/>
      <c r="M325" s="180">
        <v>1</v>
      </c>
      <c r="N325" s="180" t="s">
        <v>6471</v>
      </c>
      <c r="O325" s="119" t="s">
        <v>7690</v>
      </c>
      <c r="P325" s="119">
        <v>4</v>
      </c>
      <c r="Q325" s="251" t="str">
        <f>IF(综合数据!$B$7=TRUE,"XGE","")</f>
        <v>XGE</v>
      </c>
      <c r="W325" s="180">
        <v>6</v>
      </c>
      <c r="X325" s="180">
        <v>6</v>
      </c>
      <c r="Y325" s="180">
        <v>6</v>
      </c>
      <c r="AA325" s="198"/>
      <c r="AB325" s="250" t="str">
        <f t="array" ref="AB325">INDEX(B:B,SMALL(IF($Q$3:$Q$517&lt;&gt;"",ROW($3:$517),518),ROW(B324)))&amp;""</f>
        <v>浓酸球</v>
      </c>
      <c r="AC325" s="394" t="str">
        <f>IFERROR(IF(AND($Q326&lt;&gt;"",IF(法术查询!$J$4="",1,INDEX($R326:$Z326,1,VLOOKUP(法术查询!$J$4,$AF$2:$AG$10,2,0)))&lt;&gt;"",IF(法术查询!$J$5="",1,$P326=VLOOKUP(法术查询!$J$5,$AH$2:$AI$11,2,0)),IF(法术查询!$J$6="",1,IF(法术查询!$J$6=$E326,1,0)),IF(法术查询!$J$7="",1,SEARCH(法术查询!$J$7,$F326)),IF(法术查询!$J$8="",1,SEARCH(法术查询!$J$8,G326)),IF(法术查询!$J$9="",1,SEARCH(法术查询!$J$9,N326)),IF(法术查询!$J$10="",1,IF(法术查询!$J$10=$AF$11,IF($M326=1,1,0),IF($M326="",1,0))),IF(法术查询!$J$11="",1,IF(法术查询!$J$11=$AF$11,IF($D326=1,1,0),IF($D326="",1,0))),IF(法术查询!$J$12="",1,SEARCH(法术查询!$J$12,$B326&amp;$C326&amp;$O326)),IF(法术查询!$J$13="",1,SEARCH(法术查询!$J$13,$B326&amp;$C326&amp;$O326)),IF(法术查询!$J$14="",1,SEARCH(法术查询!$J$14,$B326&amp;$C326&amp;$O326)),IF(法术查询!$J$16="",1,IF(法术查询!$J$16=$AF$11,IF($H326=1,1,0),IF($H326="",1,0))),IF(法术查询!$J$17="",1,IF(法术查询!$J$17=$AF$11,IF($I326=1,1,0),IF($I326="",1,0))),IF(法术查询!$J$18="",1,IF(法术查询!$J$18=$AF$11,IF($J326&lt;&gt;"",1,0),IF($J326="",1,0))),IF(法术查询!$J$19="",1,IF(法术查询!$J$19=$AF$11,IF($L326&lt;&gt;"",1,0),IF($L326="",1,0)))),$B326,""),"")</f>
        <v/>
      </c>
      <c r="AD325" s="180" t="str">
        <f t="array" ref="AD325">INDEX(AC:AC,SMALL(IF($AC$2:$AC$516&lt;&gt;"",ROW($2:$516),517),ROW(AC324)))&amp;""</f>
        <v/>
      </c>
      <c r="AE325" s="198" t="str">
        <f t="shared" si="9"/>
        <v/>
      </c>
    </row>
    <row r="326" spans="1:31" ht="14.4" customHeight="1" x14ac:dyDescent="0.25">
      <c r="A326" s="250">
        <v>324</v>
      </c>
      <c r="B326" s="119" t="s">
        <v>7691</v>
      </c>
      <c r="C326" s="119" t="s">
        <v>7692</v>
      </c>
      <c r="E326" s="434" t="s">
        <v>6304</v>
      </c>
      <c r="F326" s="180" t="s">
        <v>6282</v>
      </c>
      <c r="G326" s="180" t="s">
        <v>6419</v>
      </c>
      <c r="H326" s="180">
        <v>1</v>
      </c>
      <c r="I326" s="180">
        <v>1</v>
      </c>
      <c r="K326" s="119"/>
      <c r="M326" s="180">
        <v>1</v>
      </c>
      <c r="N326" s="180" t="s">
        <v>6306</v>
      </c>
      <c r="O326" s="119" t="s">
        <v>7693</v>
      </c>
      <c r="P326" s="119">
        <v>4</v>
      </c>
      <c r="Q326" s="251" t="str">
        <f>IF(综合数据!$B$7=TRUE,"XGE","")</f>
        <v>XGE</v>
      </c>
      <c r="W326" s="180">
        <v>6</v>
      </c>
      <c r="X326" s="180">
        <v>6</v>
      </c>
      <c r="AA326" s="198"/>
      <c r="AB326" s="250" t="str">
        <f t="array" ref="AB326">INDEX(B:B,SMALL(IF($Q$3:$Q$517&lt;&gt;"",ROW($3:$517),518),ROW(B325)))&amp;""</f>
        <v>碧水球</v>
      </c>
      <c r="AC326" s="394" t="str">
        <f>IFERROR(IF(AND($Q327&lt;&gt;"",IF(法术查询!$J$4="",1,INDEX($R327:$Z327,1,VLOOKUP(法术查询!$J$4,$AF$2:$AG$10,2,0)))&lt;&gt;"",IF(法术查询!$J$5="",1,$P327=VLOOKUP(法术查询!$J$5,$AH$2:$AI$11,2,0)),IF(法术查询!$J$6="",1,IF(法术查询!$J$6=$E327,1,0)),IF(法术查询!$J$7="",1,SEARCH(法术查询!$J$7,$F327)),IF(法术查询!$J$8="",1,SEARCH(法术查询!$J$8,G327)),IF(法术查询!$J$9="",1,SEARCH(法术查询!$J$9,N327)),IF(法术查询!$J$10="",1,IF(法术查询!$J$10=$AF$11,IF($M327=1,1,0),IF($M327="",1,0))),IF(法术查询!$J$11="",1,IF(法术查询!$J$11=$AF$11,IF($D327=1,1,0),IF($D327="",1,0))),IF(法术查询!$J$12="",1,SEARCH(法术查询!$J$12,$B327&amp;$C327&amp;$O327)),IF(法术查询!$J$13="",1,SEARCH(法术查询!$J$13,$B327&amp;$C327&amp;$O327)),IF(法术查询!$J$14="",1,SEARCH(法术查询!$J$14,$B327&amp;$C327&amp;$O327)),IF(法术查询!$J$16="",1,IF(法术查询!$J$16=$AF$11,IF($H327=1,1,0),IF($H327="",1,0))),IF(法术查询!$J$17="",1,IF(法术查询!$J$17=$AF$11,IF($I327=1,1,0),IF($I327="",1,0))),IF(法术查询!$J$18="",1,IF(法术查询!$J$18=$AF$11,IF($J327&lt;&gt;"",1,0),IF($J327="",1,0))),IF(法术查询!$J$19="",1,IF(法术查询!$J$19=$AF$11,IF($L327&lt;&gt;"",1,0),IF($L327="",1,0)))),$B327,""),"")</f>
        <v/>
      </c>
      <c r="AD326" s="180" t="str">
        <f t="array" ref="AD326">INDEX(AC:AC,SMALL(IF($AC$2:$AC$516&lt;&gt;"",ROW($2:$516),517),ROW(AC325)))&amp;""</f>
        <v/>
      </c>
      <c r="AE326" s="198" t="str">
        <f t="shared" si="9"/>
        <v/>
      </c>
    </row>
    <row r="327" spans="1:31" ht="14.4" customHeight="1" x14ac:dyDescent="0.25">
      <c r="A327" s="250">
        <v>325</v>
      </c>
      <c r="B327" s="119" t="s">
        <v>7694</v>
      </c>
      <c r="C327" s="119" t="s">
        <v>7695</v>
      </c>
      <c r="E327" s="378" t="s">
        <v>6281</v>
      </c>
      <c r="F327" s="180" t="s">
        <v>6282</v>
      </c>
      <c r="G327" s="180" t="s">
        <v>6283</v>
      </c>
      <c r="H327" s="180">
        <v>1</v>
      </c>
      <c r="I327" s="180">
        <v>1</v>
      </c>
      <c r="J327" s="180">
        <v>1</v>
      </c>
      <c r="K327" s="119" t="s">
        <v>7461</v>
      </c>
      <c r="M327" s="180">
        <v>1</v>
      </c>
      <c r="N327" s="180" t="s">
        <v>6379</v>
      </c>
      <c r="O327" s="119" t="s">
        <v>7696</v>
      </c>
      <c r="P327" s="119">
        <v>4</v>
      </c>
      <c r="Q327" s="251" t="str">
        <f>IF(综合数据!$B$7=TRUE,"XGE","")</f>
        <v>XGE</v>
      </c>
      <c r="X327" s="180">
        <v>6</v>
      </c>
      <c r="Y327" s="180">
        <v>6</v>
      </c>
      <c r="AA327" s="198"/>
      <c r="AB327" s="250" t="str">
        <f t="array" ref="AB327">INDEX(B:B,SMALL(IF($Q$3:$Q$517&lt;&gt;"",ROW($3:$517),518),ROW(B326)))&amp;""</f>
        <v>引力裂沟</v>
      </c>
      <c r="AC327" s="394" t="str">
        <f>IFERROR(IF(AND($Q328&lt;&gt;"",IF(法术查询!$J$4="",1,INDEX($R328:$Z328,1,VLOOKUP(法术查询!$J$4,$AF$2:$AG$10,2,0)))&lt;&gt;"",IF(法术查询!$J$5="",1,$P328=VLOOKUP(法术查询!$J$5,$AH$2:$AI$11,2,0)),IF(法术查询!$J$6="",1,IF(法术查询!$J$6=$E328,1,0)),IF(法术查询!$J$7="",1,SEARCH(法术查询!$J$7,$F328)),IF(法术查询!$J$8="",1,SEARCH(法术查询!$J$8,G328)),IF(法术查询!$J$9="",1,SEARCH(法术查询!$J$9,N328)),IF(法术查询!$J$10="",1,IF(法术查询!$J$10=$AF$11,IF($M328=1,1,0),IF($M328="",1,0))),IF(法术查询!$J$11="",1,IF(法术查询!$J$11=$AF$11,IF($D328=1,1,0),IF($D328="",1,0))),IF(法术查询!$J$12="",1,SEARCH(法术查询!$J$12,$B328&amp;$C328&amp;$O328)),IF(法术查询!$J$13="",1,SEARCH(法术查询!$J$13,$B328&amp;$C328&amp;$O328)),IF(法术查询!$J$14="",1,SEARCH(法术查询!$J$14,$B328&amp;$C328&amp;$O328)),IF(法术查询!$J$16="",1,IF(法术查询!$J$16=$AF$11,IF($H328=1,1,0),IF($H328="",1,0))),IF(法术查询!$J$17="",1,IF(法术查询!$J$17=$AF$11,IF($I328=1,1,0),IF($I328="",1,0))),IF(法术查询!$J$18="",1,IF(法术查询!$J$18=$AF$11,IF($J328&lt;&gt;"",1,0),IF($J328="",1,0))),IF(法术查询!$J$19="",1,IF(法术查询!$J$19=$AF$11,IF($L328&lt;&gt;"",1,0),IF($L328="",1,0)))),$B328,""),"")</f>
        <v/>
      </c>
      <c r="AD327" s="180" t="str">
        <f t="array" ref="AD327">INDEX(AC:AC,SMALL(IF($AC$2:$AC$516&lt;&gt;"",ROW($2:$516),517),ROW(AC326)))&amp;""</f>
        <v/>
      </c>
      <c r="AE327" s="198" t="str">
        <f t="shared" si="9"/>
        <v/>
      </c>
    </row>
    <row r="328" spans="1:31" ht="14.4" customHeight="1" x14ac:dyDescent="0.25">
      <c r="A328" s="250">
        <v>326</v>
      </c>
      <c r="B328" s="119" t="s">
        <v>7697</v>
      </c>
      <c r="C328" s="119" t="s">
        <v>7698</v>
      </c>
      <c r="E328" s="434" t="s">
        <v>6304</v>
      </c>
      <c r="F328" s="180" t="s">
        <v>6282</v>
      </c>
      <c r="G328" s="180" t="s">
        <v>6419</v>
      </c>
      <c r="H328" s="180">
        <v>1</v>
      </c>
      <c r="I328" s="180">
        <v>1</v>
      </c>
      <c r="J328" s="180">
        <v>1</v>
      </c>
      <c r="K328" s="119" t="s">
        <v>7699</v>
      </c>
      <c r="N328" s="180" t="s">
        <v>6284</v>
      </c>
      <c r="O328" s="119" t="s">
        <v>7700</v>
      </c>
      <c r="P328" s="119">
        <v>4</v>
      </c>
      <c r="Q328" s="251" t="str">
        <f>IF(综合数据!$B$7=TRUE,"XGE","")</f>
        <v>XGE</v>
      </c>
      <c r="W328" s="180">
        <v>6</v>
      </c>
      <c r="X328" s="180">
        <v>6</v>
      </c>
      <c r="AA328" s="198"/>
      <c r="AB328" s="250" t="str">
        <f t="array" ref="AB328">INDEX(B:B,SMALL(IF($Q$3:$Q$517&lt;&gt;"",ROW($3:$517),518),ROW(B327)))&amp;""</f>
        <v>异怪召唤术</v>
      </c>
      <c r="AC328" s="394" t="str">
        <f>IFERROR(IF(AND($Q329&lt;&gt;"",IF(法术查询!$J$4="",1,INDEX($R329:$Z329,1,VLOOKUP(法术查询!$J$4,$AF$2:$AG$10,2,0)))&lt;&gt;"",IF(法术查询!$J$5="",1,$P329=VLOOKUP(法术查询!$J$5,$AH$2:$AI$11,2,0)),IF(法术查询!$J$6="",1,IF(法术查询!$J$6=$E329,1,0)),IF(法术查询!$J$7="",1,SEARCH(法术查询!$J$7,$F329)),IF(法术查询!$J$8="",1,SEARCH(法术查询!$J$8,G329)),IF(法术查询!$J$9="",1,SEARCH(法术查询!$J$9,N329)),IF(法术查询!$J$10="",1,IF(法术查询!$J$10=$AF$11,IF($M329=1,1,0),IF($M329="",1,0))),IF(法术查询!$J$11="",1,IF(法术查询!$J$11=$AF$11,IF($D329=1,1,0),IF($D329="",1,0))),IF(法术查询!$J$12="",1,SEARCH(法术查询!$J$12,$B329&amp;$C329&amp;$O329)),IF(法术查询!$J$13="",1,SEARCH(法术查询!$J$13,$B329&amp;$C329&amp;$O329)),IF(法术查询!$J$14="",1,SEARCH(法术查询!$J$14,$B329&amp;$C329&amp;$O329)),IF(法术查询!$J$16="",1,IF(法术查询!$J$16=$AF$11,IF($H329=1,1,0),IF($H329="",1,0))),IF(法术查询!$J$17="",1,IF(法术查询!$J$17=$AF$11,IF($I329=1,1,0),IF($I329="",1,0))),IF(法术查询!$J$18="",1,IF(法术查询!$J$18=$AF$11,IF($J329&lt;&gt;"",1,0),IF($J329="",1,0))),IF(法术查询!$J$19="",1,IF(法术查询!$J$19=$AF$11,IF($L329&lt;&gt;"",1,0),IF($L329="",1,0)))),$B329,""),"")</f>
        <v/>
      </c>
      <c r="AD328" s="180" t="str">
        <f t="array" ref="AD328">INDEX(AC:AC,SMALL(IF($AC$2:$AC$516&lt;&gt;"",ROW($2:$516),517),ROW(AC327)))&amp;""</f>
        <v/>
      </c>
      <c r="AE328" s="198" t="str">
        <f t="shared" si="9"/>
        <v/>
      </c>
    </row>
    <row r="329" spans="1:31" ht="14.4" customHeight="1" x14ac:dyDescent="0.25">
      <c r="A329" s="250">
        <v>327</v>
      </c>
      <c r="B329" s="119" t="s">
        <v>7701</v>
      </c>
      <c r="C329" s="119" t="s">
        <v>7702</v>
      </c>
      <c r="E329" s="378" t="s">
        <v>6281</v>
      </c>
      <c r="F329" s="180" t="s">
        <v>6282</v>
      </c>
      <c r="G329" s="180" t="s">
        <v>6400</v>
      </c>
      <c r="H329" s="180">
        <v>1</v>
      </c>
      <c r="I329" s="180">
        <v>1</v>
      </c>
      <c r="J329" s="180">
        <v>1</v>
      </c>
      <c r="K329" s="119" t="s">
        <v>7468</v>
      </c>
      <c r="M329" s="180">
        <v>1</v>
      </c>
      <c r="N329" s="180" t="s">
        <v>6306</v>
      </c>
      <c r="O329" s="119" t="s">
        <v>7703</v>
      </c>
      <c r="P329" s="119">
        <v>4</v>
      </c>
      <c r="Q329" s="251" t="str">
        <f>IF(综合数据!$B$7=TRUE,"XGE","")</f>
        <v>XGE</v>
      </c>
      <c r="T329" s="180">
        <v>6</v>
      </c>
      <c r="W329" s="180">
        <v>6</v>
      </c>
      <c r="X329" s="180">
        <v>6</v>
      </c>
      <c r="AA329" s="198"/>
      <c r="AB329" s="250" t="str">
        <f t="array" ref="AB329">INDEX(B:B,SMALL(IF($Q$3:$Q$517&lt;&gt;"",ROW($3:$517),518),ROW(B328)))&amp;""</f>
        <v>构装体召唤术</v>
      </c>
      <c r="AC329" s="394" t="str">
        <f>IFERROR(IF(AND($Q330&lt;&gt;"",IF(法术查询!$J$4="",1,INDEX($R330:$Z330,1,VLOOKUP(法术查询!$J$4,$AF$2:$AG$10,2,0)))&lt;&gt;"",IF(法术查询!$J$5="",1,$P330=VLOOKUP(法术查询!$J$5,$AH$2:$AI$11,2,0)),IF(法术查询!$J$6="",1,IF(法术查询!$J$6=$E330,1,0)),IF(法术查询!$J$7="",1,SEARCH(法术查询!$J$7,$F330)),IF(法术查询!$J$8="",1,SEARCH(法术查询!$J$8,G330)),IF(法术查询!$J$9="",1,SEARCH(法术查询!$J$9,N330)),IF(法术查询!$J$10="",1,IF(法术查询!$J$10=$AF$11,IF($M330=1,1,0),IF($M330="",1,0))),IF(法术查询!$J$11="",1,IF(法术查询!$J$11=$AF$11,IF($D330=1,1,0),IF($D330="",1,0))),IF(法术查询!$J$12="",1,SEARCH(法术查询!$J$12,$B330&amp;$C330&amp;$O330)),IF(法术查询!$J$13="",1,SEARCH(法术查询!$J$13,$B330&amp;$C330&amp;$O330)),IF(法术查询!$J$14="",1,SEARCH(法术查询!$J$14,$B330&amp;$C330&amp;$O330)),IF(法术查询!$J$16="",1,IF(法术查询!$J$16=$AF$11,IF($H330=1,1,0),IF($H330="",1,0))),IF(法术查询!$J$17="",1,IF(法术查询!$J$17=$AF$11,IF($I330=1,1,0),IF($I330="",1,0))),IF(法术查询!$J$18="",1,IF(法术查询!$J$18=$AF$11,IF($J330&lt;&gt;"",1,0),IF($J330="",1,0))),IF(法术查询!$J$19="",1,IF(法术查询!$J$19=$AF$11,IF($L330&lt;&gt;"",1,0),IF($L330="",1,0)))),$B330,""),"")</f>
        <v/>
      </c>
      <c r="AD329" s="180" t="str">
        <f t="array" ref="AD329">INDEX(AC:AC,SMALL(IF($AC$2:$AC$516&lt;&gt;"",ROW($2:$516),517),ROW(AC328)))&amp;""</f>
        <v/>
      </c>
      <c r="AE329" s="198" t="str">
        <f t="shared" si="9"/>
        <v/>
      </c>
    </row>
    <row r="330" spans="1:31" ht="14.4" customHeight="1" x14ac:dyDescent="0.25">
      <c r="A330" s="250">
        <v>328</v>
      </c>
      <c r="B330" s="119" t="s">
        <v>7704</v>
      </c>
      <c r="C330" s="119" t="s">
        <v>7705</v>
      </c>
      <c r="E330" s="434" t="s">
        <v>6304</v>
      </c>
      <c r="F330" s="180" t="s">
        <v>6282</v>
      </c>
      <c r="G330" s="180" t="s">
        <v>6298</v>
      </c>
      <c r="H330" s="180">
        <v>1</v>
      </c>
      <c r="I330" s="180">
        <v>1</v>
      </c>
      <c r="J330" s="180">
        <v>1</v>
      </c>
      <c r="K330" s="119" t="s">
        <v>7706</v>
      </c>
      <c r="N330" s="180" t="s">
        <v>6284</v>
      </c>
      <c r="O330" s="119" t="s">
        <v>7707</v>
      </c>
      <c r="P330" s="119">
        <v>4</v>
      </c>
      <c r="Q330" s="257" t="str">
        <f>IF(综合数据!$B$11=TRUE,"EGtW","")</f>
        <v>EGtW</v>
      </c>
      <c r="AA330" s="120" t="s">
        <v>3558</v>
      </c>
      <c r="AB330" s="250" t="str">
        <f t="array" ref="AB330">INDEX(B:B,SMALL(IF($Q$3:$Q$517&lt;&gt;"",ROW($3:$517),518),ROW(B329)))&amp;""</f>
        <v>元素召唤术</v>
      </c>
      <c r="AC330" s="394" t="str">
        <f>IFERROR(IF(AND($Q331&lt;&gt;"",IF(法术查询!$J$4="",1,INDEX($R331:$Z331,1,VLOOKUP(法术查询!$J$4,$AF$2:$AG$10,2,0)))&lt;&gt;"",IF(法术查询!$J$5="",1,$P331=VLOOKUP(法术查询!$J$5,$AH$2:$AI$11,2,0)),IF(法术查询!$J$6="",1,IF(法术查询!$J$6=$E331,1,0)),IF(法术查询!$J$7="",1,SEARCH(法术查询!$J$7,$F331)),IF(法术查询!$J$8="",1,SEARCH(法术查询!$J$8,G331)),IF(法术查询!$J$9="",1,SEARCH(法术查询!$J$9,N331)),IF(法术查询!$J$10="",1,IF(法术查询!$J$10=$AF$11,IF($M331=1,1,0),IF($M331="",1,0))),IF(法术查询!$J$11="",1,IF(法术查询!$J$11=$AF$11,IF($D331=1,1,0),IF($D331="",1,0))),IF(法术查询!$J$12="",1,SEARCH(法术查询!$J$12,$B331&amp;$C331&amp;$O331)),IF(法术查询!$J$13="",1,SEARCH(法术查询!$J$13,$B331&amp;$C331&amp;$O331)),IF(法术查询!$J$14="",1,SEARCH(法术查询!$J$14,$B331&amp;$C331&amp;$O331)),IF(法术查询!$J$16="",1,IF(法术查询!$J$16=$AF$11,IF($H331=1,1,0),IF($H331="",1,0))),IF(法术查询!$J$17="",1,IF(法术查询!$J$17=$AF$11,IF($I331=1,1,0),IF($I331="",1,0))),IF(法术查询!$J$18="",1,IF(法术查询!$J$18=$AF$11,IF($J331&lt;&gt;"",1,0),IF($J331="",1,0))),IF(法术查询!$J$19="",1,IF(法术查询!$J$19=$AF$11,IF($L331&lt;&gt;"",1,0),IF($L331="",1,0)))),$B331,""),"")</f>
        <v/>
      </c>
      <c r="AD330" s="180" t="str">
        <f t="array" ref="AD330">INDEX(AC:AC,SMALL(IF($AC$2:$AC$516&lt;&gt;"",ROW($2:$516),517),ROW(AC329)))&amp;""</f>
        <v/>
      </c>
      <c r="AE330" s="198" t="str">
        <f t="shared" si="9"/>
        <v/>
      </c>
    </row>
    <row r="331" spans="1:31" ht="14.4" customHeight="1" x14ac:dyDescent="0.25">
      <c r="A331" s="250">
        <v>329</v>
      </c>
      <c r="B331" s="119" t="s">
        <v>7708</v>
      </c>
      <c r="C331" s="119" t="s">
        <v>7709</v>
      </c>
      <c r="E331" s="378" t="s">
        <v>6281</v>
      </c>
      <c r="F331" s="180" t="s">
        <v>6282</v>
      </c>
      <c r="G331" s="180" t="s">
        <v>6400</v>
      </c>
      <c r="H331" s="180">
        <v>1</v>
      </c>
      <c r="I331" s="180">
        <v>1</v>
      </c>
      <c r="J331" s="180">
        <v>1</v>
      </c>
      <c r="K331" s="119" t="s">
        <v>7710</v>
      </c>
      <c r="M331" s="180">
        <v>1</v>
      </c>
      <c r="N331" s="180" t="s">
        <v>6379</v>
      </c>
      <c r="O331" s="119" t="s">
        <v>7711</v>
      </c>
      <c r="P331" s="119">
        <v>4</v>
      </c>
      <c r="Q331" s="443" t="str">
        <f>IF(综合数据!$B$14=TRUE,"TCE","")</f>
        <v>TCE</v>
      </c>
      <c r="X331" s="180">
        <v>13</v>
      </c>
      <c r="Y331" s="180">
        <v>13</v>
      </c>
      <c r="AA331" s="120" t="s">
        <v>3409</v>
      </c>
      <c r="AB331" s="250" t="str">
        <f t="array" ref="AB331">INDEX(B:B,SMALL(IF($Q$3:$Q$517&lt;&gt;"",ROW($3:$517),518),ROW(B330)))&amp;""</f>
        <v>劳洛希姆心灵长枪</v>
      </c>
      <c r="AC331" s="394" t="str">
        <f>IFERROR(IF(AND($Q332&lt;&gt;"",IF(法术查询!$J$4="",1,INDEX($R332:$Z332,1,VLOOKUP(法术查询!$J$4,$AF$2:$AG$10,2,0)))&lt;&gt;"",IF(法术查询!$J$5="",1,$P332=VLOOKUP(法术查询!$J$5,$AH$2:$AI$11,2,0)),IF(法术查询!$J$6="",1,IF(法术查询!$J$6=$E332,1,0)),IF(法术查询!$J$7="",1,SEARCH(法术查询!$J$7,$F332)),IF(法术查询!$J$8="",1,SEARCH(法术查询!$J$8,G332)),IF(法术查询!$J$9="",1,SEARCH(法术查询!$J$9,N332)),IF(法术查询!$J$10="",1,IF(法术查询!$J$10=$AF$11,IF($M332=1,1,0),IF($M332="",1,0))),IF(法术查询!$J$11="",1,IF(法术查询!$J$11=$AF$11,IF($D332=1,1,0),IF($D332="",1,0))),IF(法术查询!$J$12="",1,SEARCH(法术查询!$J$12,$B332&amp;$C332&amp;$O332)),IF(法术查询!$J$13="",1,SEARCH(法术查询!$J$13,$B332&amp;$C332&amp;$O332)),IF(法术查询!$J$14="",1,SEARCH(法术查询!$J$14,$B332&amp;$C332&amp;$O332)),IF(法术查询!$J$16="",1,IF(法术查询!$J$16=$AF$11,IF($H332=1,1,0),IF($H332="",1,0))),IF(法术查询!$J$17="",1,IF(法术查询!$J$17=$AF$11,IF($I332=1,1,0),IF($I332="",1,0))),IF(法术查询!$J$18="",1,IF(法术查询!$J$18=$AF$11,IF($J332&lt;&gt;"",1,0),IF($J332="",1,0))),IF(法术查询!$J$19="",1,IF(法术查询!$J$19=$AF$11,IF($L332&lt;&gt;"",1,0),IF($L332="",1,0)))),$B332,""),"")</f>
        <v/>
      </c>
      <c r="AD331" s="180" t="str">
        <f t="array" ref="AD331">INDEX(AC:AC,SMALL(IF($AC$2:$AC$516&lt;&gt;"",ROW($2:$516),517),ROW(AC330)))&amp;""</f>
        <v/>
      </c>
      <c r="AE331" s="198" t="str">
        <f t="shared" si="9"/>
        <v/>
      </c>
    </row>
    <row r="332" spans="1:31" ht="14.4" customHeight="1" x14ac:dyDescent="0.25">
      <c r="A332" s="250">
        <v>330</v>
      </c>
      <c r="B332" s="119" t="s">
        <v>7712</v>
      </c>
      <c r="C332" s="119" t="s">
        <v>7713</v>
      </c>
      <c r="E332" s="378" t="s">
        <v>6281</v>
      </c>
      <c r="F332" s="180" t="s">
        <v>6282</v>
      </c>
      <c r="G332" s="180" t="s">
        <v>6400</v>
      </c>
      <c r="H332" s="180">
        <v>1</v>
      </c>
      <c r="I332" s="180">
        <v>1</v>
      </c>
      <c r="J332" s="180">
        <v>1</v>
      </c>
      <c r="K332" s="119" t="s">
        <v>7714</v>
      </c>
      <c r="M332" s="180">
        <v>1</v>
      </c>
      <c r="N332" s="180" t="s">
        <v>6379</v>
      </c>
      <c r="O332" s="119" t="s">
        <v>7715</v>
      </c>
      <c r="P332" s="119">
        <v>4</v>
      </c>
      <c r="Q332" s="443" t="str">
        <f>IF(综合数据!$B$14=TRUE,"TCE","")</f>
        <v>TCE</v>
      </c>
      <c r="X332" s="180">
        <v>13</v>
      </c>
      <c r="Z332" s="180">
        <v>13</v>
      </c>
      <c r="AA332" s="120" t="s">
        <v>3418</v>
      </c>
      <c r="AB332" s="250" t="str">
        <f t="array" ref="AB332">INDEX(B:B,SMALL(IF($Q$3:$Q$517&lt;&gt;"",ROW($3:$517),518),ROW(B331)))&amp;""</f>
        <v>活化物件</v>
      </c>
      <c r="AC332" s="394" t="str">
        <f>IFERROR(IF(AND($Q333&lt;&gt;"",IF(法术查询!$J$4="",1,INDEX($R333:$Z333,1,VLOOKUP(法术查询!$J$4,$AF$2:$AG$10,2,0)))&lt;&gt;"",IF(法术查询!$J$5="",1,$P333=VLOOKUP(法术查询!$J$5,$AH$2:$AI$11,2,0)),IF(法术查询!$J$6="",1,IF(法术查询!$J$6=$E333,1,0)),IF(法术查询!$J$7="",1,SEARCH(法术查询!$J$7,$F333)),IF(法术查询!$J$8="",1,SEARCH(法术查询!$J$8,G333)),IF(法术查询!$J$9="",1,SEARCH(法术查询!$J$9,N333)),IF(法术查询!$J$10="",1,IF(法术查询!$J$10=$AF$11,IF($M333=1,1,0),IF($M333="",1,0))),IF(法术查询!$J$11="",1,IF(法术查询!$J$11=$AF$11,IF($D333=1,1,0),IF($D333="",1,0))),IF(法术查询!$J$12="",1,SEARCH(法术查询!$J$12,$B333&amp;$C333&amp;$O333)),IF(法术查询!$J$13="",1,SEARCH(法术查询!$J$13,$B333&amp;$C333&amp;$O333)),IF(法术查询!$J$14="",1,SEARCH(法术查询!$J$14,$B333&amp;$C333&amp;$O333)),IF(法术查询!$J$16="",1,IF(法术查询!$J$16=$AF$11,IF($H333=1,1,0),IF($H333="",1,0))),IF(法术查询!$J$17="",1,IF(法术查询!$J$17=$AF$11,IF($I333=1,1,0),IF($I333="",1,0))),IF(法术查询!$J$18="",1,IF(法术查询!$J$18=$AF$11,IF($J333&lt;&gt;"",1,0),IF($J333="",1,0))),IF(法术查询!$J$19="",1,IF(法术查询!$J$19=$AF$11,IF($L333&lt;&gt;"",1,0),IF($L333="",1,0)))),$B333,""),"")</f>
        <v/>
      </c>
      <c r="AD332" s="180" t="str">
        <f t="array" ref="AD332">INDEX(AC:AC,SMALL(IF($AC$2:$AC$516&lt;&gt;"",ROW($2:$516),517),ROW(AC331)))&amp;""</f>
        <v/>
      </c>
      <c r="AE332" s="198" t="str">
        <f t="shared" si="9"/>
        <v/>
      </c>
    </row>
    <row r="333" spans="1:31" ht="14.4" customHeight="1" x14ac:dyDescent="0.25">
      <c r="A333" s="250">
        <v>331</v>
      </c>
      <c r="B333" s="119" t="s">
        <v>7716</v>
      </c>
      <c r="C333" s="119" t="s">
        <v>7717</v>
      </c>
      <c r="E333" s="378" t="s">
        <v>6281</v>
      </c>
      <c r="F333" s="180" t="s">
        <v>6282</v>
      </c>
      <c r="G333" s="180" t="s">
        <v>6400</v>
      </c>
      <c r="H333" s="180">
        <v>1</v>
      </c>
      <c r="I333" s="180">
        <v>1</v>
      </c>
      <c r="J333" s="180">
        <v>1</v>
      </c>
      <c r="K333" s="119" t="s">
        <v>7718</v>
      </c>
      <c r="M333" s="180">
        <v>1</v>
      </c>
      <c r="N333" s="180" t="s">
        <v>6379</v>
      </c>
      <c r="O333" s="119" t="s">
        <v>7719</v>
      </c>
      <c r="P333" s="119">
        <v>4</v>
      </c>
      <c r="Q333" s="443" t="str">
        <f>IF(综合数据!$B$14=TRUE,"TCE","")</f>
        <v>TCE</v>
      </c>
      <c r="T333" s="180">
        <v>13</v>
      </c>
      <c r="V333" s="180">
        <v>13</v>
      </c>
      <c r="X333" s="180">
        <v>13</v>
      </c>
      <c r="AA333" s="120" t="s">
        <v>3485</v>
      </c>
      <c r="AB333" s="250" t="str">
        <f t="array" ref="AB333">INDEX(B:B,SMALL(IF($Q$3:$Q$517&lt;&gt;"",ROW($3:$517),518),ROW(B332)))&amp;""</f>
        <v>防活物护罩</v>
      </c>
      <c r="AC333" s="394" t="str">
        <f>IFERROR(IF(AND($Q334&lt;&gt;"",IF(法术查询!$J$4="",1,INDEX($R334:$Z334,1,VLOOKUP(法术查询!$J$4,$AF$2:$AG$10,2,0)))&lt;&gt;"",IF(法术查询!$J$5="",1,$P334=VLOOKUP(法术查询!$J$5,$AH$2:$AI$11,2,0)),IF(法术查询!$J$6="",1,IF(法术查询!$J$6=$E334,1,0)),IF(法术查询!$J$7="",1,SEARCH(法术查询!$J$7,$F334)),IF(法术查询!$J$8="",1,SEARCH(法术查询!$J$8,G334)),IF(法术查询!$J$9="",1,SEARCH(法术查询!$J$9,N334)),IF(法术查询!$J$10="",1,IF(法术查询!$J$10=$AF$11,IF($M334=1,1,0),IF($M334="",1,0))),IF(法术查询!$J$11="",1,IF(法术查询!$J$11=$AF$11,IF($D334=1,1,0),IF($D334="",1,0))),IF(法术查询!$J$12="",1,SEARCH(法术查询!$J$12,$B334&amp;$C334&amp;$O334)),IF(法术查询!$J$13="",1,SEARCH(法术查询!$J$13,$B334&amp;$C334&amp;$O334)),IF(法术查询!$J$14="",1,SEARCH(法术查询!$J$14,$B334&amp;$C334&amp;$O334)),IF(法术查询!$J$16="",1,IF(法术查询!$J$16=$AF$11,IF($H334=1,1,0),IF($H334="",1,0))),IF(法术查询!$J$17="",1,IF(法术查询!$J$17=$AF$11,IF($I334=1,1,0),IF($I334="",1,0))),IF(法术查询!$J$18="",1,IF(法术查询!$J$18=$AF$11,IF($J334&lt;&gt;"",1,0),IF($J334="",1,0))),IF(法术查询!$J$19="",1,IF(法术查询!$J$19=$AF$11,IF($L334&lt;&gt;"",1,0),IF($L334="",1,0)))),$B334,""),"")</f>
        <v/>
      </c>
      <c r="AD333" s="180" t="str">
        <f t="array" ref="AD333">INDEX(AC:AC,SMALL(IF($AC$2:$AC$516&lt;&gt;"",ROW($2:$516),517),ROW(AC332)))&amp;""</f>
        <v/>
      </c>
      <c r="AE333" s="198" t="str">
        <f t="shared" si="9"/>
        <v/>
      </c>
    </row>
    <row r="334" spans="1:31" ht="14.4" customHeight="1" x14ac:dyDescent="0.25">
      <c r="A334" s="250">
        <v>332</v>
      </c>
      <c r="B334" s="119" t="s">
        <v>7720</v>
      </c>
      <c r="C334" s="119" t="s">
        <v>7721</v>
      </c>
      <c r="E334" s="379" t="s">
        <v>6328</v>
      </c>
      <c r="F334" s="180" t="s">
        <v>6282</v>
      </c>
      <c r="G334" s="180" t="s">
        <v>6298</v>
      </c>
      <c r="H334" s="180">
        <v>1</v>
      </c>
      <c r="N334" s="180" t="s">
        <v>6284</v>
      </c>
      <c r="O334" s="119" t="s">
        <v>7722</v>
      </c>
      <c r="P334" s="180">
        <v>4</v>
      </c>
      <c r="Q334" s="445" t="str">
        <f>IF(综合数据!$B$16=TRUE,"FTD","")</f>
        <v>FTD</v>
      </c>
      <c r="R334" s="180">
        <v>15</v>
      </c>
      <c r="W334" s="180">
        <v>15</v>
      </c>
      <c r="X334" s="180">
        <v>15</v>
      </c>
      <c r="Y334" s="180">
        <v>15</v>
      </c>
      <c r="AA334" s="198"/>
      <c r="AB334" s="250" t="str">
        <f t="array" ref="AB334">INDEX(B:B,SMALL(IF($Q$3:$Q$517&lt;&gt;"",ROW($3:$517),518),ROW(B333)))&amp;""</f>
        <v>启蒙术</v>
      </c>
      <c r="AC334" s="394" t="str">
        <f>IFERROR(IF(AND($Q335&lt;&gt;"",IF(法术查询!$J$4="",1,INDEX($R335:$Z335,1,VLOOKUP(法术查询!$J$4,$AF$2:$AG$10,2,0)))&lt;&gt;"",IF(法术查询!$J$5="",1,$P335=VLOOKUP(法术查询!$J$5,$AH$2:$AI$11,2,0)),IF(法术查询!$J$6="",1,IF(法术查询!$J$6=$E335,1,0)),IF(法术查询!$J$7="",1,SEARCH(法术查询!$J$7,$F335)),IF(法术查询!$J$8="",1,SEARCH(法术查询!$J$8,G335)),IF(法术查询!$J$9="",1,SEARCH(法术查询!$J$9,N335)),IF(法术查询!$J$10="",1,IF(法术查询!$J$10=$AF$11,IF($M335=1,1,0),IF($M335="",1,0))),IF(法术查询!$J$11="",1,IF(法术查询!$J$11=$AF$11,IF($D335=1,1,0),IF($D335="",1,0))),IF(法术查询!$J$12="",1,SEARCH(法术查询!$J$12,$B335&amp;$C335&amp;$O335)),IF(法术查询!$J$13="",1,SEARCH(法术查询!$J$13,$B335&amp;$C335&amp;$O335)),IF(法术查询!$J$14="",1,SEARCH(法术查询!$J$14,$B335&amp;$C335&amp;$O335)),IF(法术查询!$J$16="",1,IF(法术查询!$J$16=$AF$11,IF($H335=1,1,0),IF($H335="",1,0))),IF(法术查询!$J$17="",1,IF(法术查询!$J$17=$AF$11,IF($I335=1,1,0),IF($I335="",1,0))),IF(法术查询!$J$18="",1,IF(法术查询!$J$18=$AF$11,IF($J335&lt;&gt;"",1,0),IF($J335="",1,0))),IF(法术查询!$J$19="",1,IF(法术查询!$J$19=$AF$11,IF($L335&lt;&gt;"",1,0),IF($L335="",1,0)))),$B335,""),"")</f>
        <v/>
      </c>
      <c r="AD334" s="180" t="str">
        <f t="array" ref="AD334">INDEX(AC:AC,SMALL(IF($AC$2:$AC$516&lt;&gt;"",ROW($2:$516),517),ROW(AC333)))&amp;""</f>
        <v/>
      </c>
      <c r="AE334" s="198" t="str">
        <f t="shared" si="9"/>
        <v/>
      </c>
    </row>
    <row r="335" spans="1:31" ht="14.4" customHeight="1" x14ac:dyDescent="0.25">
      <c r="A335" s="250">
        <v>333</v>
      </c>
      <c r="B335" s="119" t="s">
        <v>7723</v>
      </c>
      <c r="C335" s="119" t="s">
        <v>7724</v>
      </c>
      <c r="E335" s="378" t="s">
        <v>6281</v>
      </c>
      <c r="F335" s="180" t="s">
        <v>6282</v>
      </c>
      <c r="G335" s="180" t="s">
        <v>6370</v>
      </c>
      <c r="H335" s="180">
        <v>1</v>
      </c>
      <c r="I335" s="180">
        <v>1</v>
      </c>
      <c r="J335" s="180">
        <v>1</v>
      </c>
      <c r="K335" s="119"/>
      <c r="L335" s="119" t="s">
        <v>7725</v>
      </c>
      <c r="N335" s="180" t="s">
        <v>6371</v>
      </c>
      <c r="O335" s="119" t="s">
        <v>7726</v>
      </c>
      <c r="P335" s="119">
        <v>4</v>
      </c>
      <c r="Q335" s="168" t="str">
        <f>IF(综合数据!$B$19=TRUE,"MOD","")</f>
        <v/>
      </c>
      <c r="X335" s="180">
        <v>0</v>
      </c>
      <c r="Y335" s="180">
        <v>0</v>
      </c>
      <c r="AA335" s="120"/>
      <c r="AB335" s="250" t="str">
        <f t="array" ref="AB335">INDEX(B:B,SMALL(IF($Q$3:$Q$517&lt;&gt;"",ROW($3:$517),518),ROW(B334)))&amp;""</f>
        <v>放逐斩</v>
      </c>
      <c r="AC335" s="394" t="str">
        <f>IFERROR(IF(AND($Q336&lt;&gt;"",IF(法术查询!$J$4="",1,INDEX($R336:$Z336,1,VLOOKUP(法术查询!$J$4,$AF$2:$AG$10,2,0)))&lt;&gt;"",IF(法术查询!$J$5="",1,$P336=VLOOKUP(法术查询!$J$5,$AH$2:$AI$11,2,0)),IF(法术查询!$J$6="",1,IF(法术查询!$J$6=$E336,1,0)),IF(法术查询!$J$7="",1,SEARCH(法术查询!$J$7,$F336)),IF(法术查询!$J$8="",1,SEARCH(法术查询!$J$8,G336)),IF(法术查询!$J$9="",1,SEARCH(法术查询!$J$9,N336)),IF(法术查询!$J$10="",1,IF(法术查询!$J$10=$AF$11,IF($M336=1,1,0),IF($M336="",1,0))),IF(法术查询!$J$11="",1,IF(法术查询!$J$11=$AF$11,IF($D336=1,1,0),IF($D336="",1,0))),IF(法术查询!$J$12="",1,SEARCH(法术查询!$J$12,$B336&amp;$C336&amp;$O336)),IF(法术查询!$J$13="",1,SEARCH(法术查询!$J$13,$B336&amp;$C336&amp;$O336)),IF(法术查询!$J$14="",1,SEARCH(法术查询!$J$14,$B336&amp;$C336&amp;$O336)),IF(法术查询!$J$16="",1,IF(法术查询!$J$16=$AF$11,IF($H336=1,1,0),IF($H336="",1,0))),IF(法术查询!$J$17="",1,IF(法术查询!$J$17=$AF$11,IF($I336=1,1,0),IF($I336="",1,0))),IF(法术查询!$J$18="",1,IF(法术查询!$J$18=$AF$11,IF($J336&lt;&gt;"",1,0),IF($J336="",1,0))),IF(法术查询!$J$19="",1,IF(法术查询!$J$19=$AF$11,IF($L336&lt;&gt;"",1,0),IF($L336="",1,0)))),$B336,""),"")</f>
        <v/>
      </c>
      <c r="AD335" s="180" t="str">
        <f t="array" ref="AD335">INDEX(AC:AC,SMALL(IF($AC$2:$AC$516&lt;&gt;"",ROW($2:$516),517),ROW(AC334)))&amp;""</f>
        <v/>
      </c>
      <c r="AE335" s="198" t="str">
        <f t="shared" si="9"/>
        <v/>
      </c>
    </row>
    <row r="336" spans="1:31" ht="14.4" customHeight="1" x14ac:dyDescent="0.25">
      <c r="A336" s="250">
        <v>334</v>
      </c>
      <c r="B336" s="119" t="s">
        <v>7727</v>
      </c>
      <c r="C336" s="119" t="s">
        <v>7728</v>
      </c>
      <c r="E336" s="435" t="s">
        <v>6312</v>
      </c>
      <c r="F336" s="180" t="s">
        <v>6282</v>
      </c>
      <c r="G336" s="180" t="s">
        <v>6298</v>
      </c>
      <c r="H336" s="180">
        <v>1</v>
      </c>
      <c r="I336" s="180">
        <v>1</v>
      </c>
      <c r="M336" s="180">
        <v>1</v>
      </c>
      <c r="N336" s="180" t="s">
        <v>6306</v>
      </c>
      <c r="O336" s="119" t="s">
        <v>7729</v>
      </c>
      <c r="P336" s="119">
        <v>5</v>
      </c>
      <c r="Q336" s="119" t="s">
        <v>242</v>
      </c>
      <c r="R336" s="180">
        <v>1</v>
      </c>
      <c r="W336" s="180">
        <v>1</v>
      </c>
      <c r="X336" s="180">
        <v>1</v>
      </c>
      <c r="Z336" s="180">
        <v>9</v>
      </c>
      <c r="AA336" s="120" t="s">
        <v>6984</v>
      </c>
      <c r="AB336" s="250" t="str">
        <f t="array" ref="AB336">INDEX(B:B,SMALL(IF($Q$3:$Q$517&lt;&gt;"",ROW($3:$517),518),ROW(B335)))&amp;""</f>
        <v>毕格比之手</v>
      </c>
      <c r="AC336" s="394" t="str">
        <f>IFERROR(IF(AND($Q337&lt;&gt;"",IF(法术查询!$J$4="",1,INDEX($R337:$Z337,1,VLOOKUP(法术查询!$J$4,$AF$2:$AG$10,2,0)))&lt;&gt;"",IF(法术查询!$J$5="",1,$P337=VLOOKUP(法术查询!$J$5,$AH$2:$AI$11,2,0)),IF(法术查询!$J$6="",1,IF(法术查询!$J$6=$E337,1,0)),IF(法术查询!$J$7="",1,SEARCH(法术查询!$J$7,$F337)),IF(法术查询!$J$8="",1,SEARCH(法术查询!$J$8,G337)),IF(法术查询!$J$9="",1,SEARCH(法术查询!$J$9,N337)),IF(法术查询!$J$10="",1,IF(法术查询!$J$10=$AF$11,IF($M337=1,1,0),IF($M337="",1,0))),IF(法术查询!$J$11="",1,IF(法术查询!$J$11=$AF$11,IF($D337=1,1,0),IF($D337="",1,0))),IF(法术查询!$J$12="",1,SEARCH(法术查询!$J$12,$B337&amp;$C337&amp;$O337)),IF(法术查询!$J$13="",1,SEARCH(法术查询!$J$13,$B337&amp;$C337&amp;$O337)),IF(法术查询!$J$14="",1,SEARCH(法术查询!$J$14,$B337&amp;$C337&amp;$O337)),IF(法术查询!$J$16="",1,IF(法术查询!$J$16=$AF$11,IF($H337=1,1,0),IF($H337="",1,0))),IF(法术查询!$J$17="",1,IF(法术查询!$J$17=$AF$11,IF($I337=1,1,0),IF($I337="",1,0))),IF(法术查询!$J$18="",1,IF(法术查询!$J$18=$AF$11,IF($J337&lt;&gt;"",1,0),IF($J337="",1,0))),IF(法术查询!$J$19="",1,IF(法术查询!$J$19=$AF$11,IF($L337&lt;&gt;"",1,0),IF($L337="",1,0)))),$B337,""),"")</f>
        <v>防活物护罩</v>
      </c>
      <c r="AD336" s="180" t="str">
        <f t="array" ref="AD336">INDEX(AC:AC,SMALL(IF($AC$2:$AC$516&lt;&gt;"",ROW($2:$516),517),ROW(AC335)))&amp;""</f>
        <v/>
      </c>
      <c r="AE336" s="198" t="str">
        <f t="shared" si="9"/>
        <v/>
      </c>
    </row>
    <row r="337" spans="1:31" ht="14.4" customHeight="1" x14ac:dyDescent="0.25">
      <c r="A337" s="250">
        <v>335</v>
      </c>
      <c r="B337" s="119" t="s">
        <v>7730</v>
      </c>
      <c r="C337" s="119" t="s">
        <v>7731</v>
      </c>
      <c r="E337" s="440" t="s">
        <v>6290</v>
      </c>
      <c r="F337" s="180" t="s">
        <v>6282</v>
      </c>
      <c r="G337" s="180" t="s">
        <v>6479</v>
      </c>
      <c r="H337" s="180">
        <v>1</v>
      </c>
      <c r="I337" s="180">
        <v>1</v>
      </c>
      <c r="M337" s="180">
        <v>1</v>
      </c>
      <c r="N337" s="180" t="s">
        <v>6379</v>
      </c>
      <c r="O337" s="119" t="s">
        <v>7732</v>
      </c>
      <c r="P337" s="119">
        <v>5</v>
      </c>
      <c r="Q337" s="119" t="s">
        <v>242</v>
      </c>
      <c r="T337" s="180">
        <v>1</v>
      </c>
      <c r="AA337" s="120" t="s">
        <v>7733</v>
      </c>
      <c r="AB337" s="250" t="str">
        <f t="array" ref="AB337">INDEX(B:B,SMALL(IF($Q$3:$Q$517&lt;&gt;"",ROW($3:$517),518),ROW(B336)))&amp;""</f>
        <v>原力法阵</v>
      </c>
      <c r="AC337" s="394" t="str">
        <f>IFERROR(IF(AND($Q338&lt;&gt;"",IF(法术查询!$J$4="",1,INDEX($R338:$Z338,1,VLOOKUP(法术查询!$J$4,$AF$2:$AG$10,2,0)))&lt;&gt;"",IF(法术查询!$J$5="",1,$P338=VLOOKUP(法术查询!$J$5,$AH$2:$AI$11,2,0)),IF(法术查询!$J$6="",1,IF(法术查询!$J$6=$E338,1,0)),IF(法术查询!$J$7="",1,SEARCH(法术查询!$J$7,$F338)),IF(法术查询!$J$8="",1,SEARCH(法术查询!$J$8,G338)),IF(法术查询!$J$9="",1,SEARCH(法术查询!$J$9,N338)),IF(法术查询!$J$10="",1,IF(法术查询!$J$10=$AF$11,IF($M338=1,1,0),IF($M338="",1,0))),IF(法术查询!$J$11="",1,IF(法术查询!$J$11=$AF$11,IF($D338=1,1,0),IF($D338="",1,0))),IF(法术查询!$J$12="",1,SEARCH(法术查询!$J$12,$B338&amp;$C338&amp;$O338)),IF(法术查询!$J$13="",1,SEARCH(法术查询!$J$13,$B338&amp;$C338&amp;$O338)),IF(法术查询!$J$14="",1,SEARCH(法术查询!$J$14,$B338&amp;$C338&amp;$O338)),IF(法术查询!$J$16="",1,IF(法术查询!$J$16=$AF$11,IF($H338=1,1,0),IF($H338="",1,0))),IF(法术查询!$J$17="",1,IF(法术查询!$J$17=$AF$11,IF($I338=1,1,0),IF($I338="",1,0))),IF(法术查询!$J$18="",1,IF(法术查询!$J$18=$AF$11,IF($J338&lt;&gt;"",1,0),IF($J338="",1,0))),IF(法术查询!$J$19="",1,IF(法术查询!$J$19=$AF$11,IF($L338&lt;&gt;"",1,0),IF($L338="",1,0)))),$B338,""),"")</f>
        <v>启蒙术</v>
      </c>
      <c r="AD337" s="180" t="str">
        <f t="array" ref="AD337">INDEX(AC:AC,SMALL(IF($AC$2:$AC$516&lt;&gt;"",ROW($2:$516),517),ROW(AC336)))&amp;""</f>
        <v/>
      </c>
      <c r="AE337" s="198" t="str">
        <f t="shared" si="9"/>
        <v/>
      </c>
    </row>
    <row r="338" spans="1:31" ht="14.4" customHeight="1" x14ac:dyDescent="0.25">
      <c r="A338" s="250">
        <v>336</v>
      </c>
      <c r="B338" s="119" t="s">
        <v>7734</v>
      </c>
      <c r="C338" s="119" t="s">
        <v>7735</v>
      </c>
      <c r="E338" s="435" t="s">
        <v>6312</v>
      </c>
      <c r="F338" s="180" t="s">
        <v>6388</v>
      </c>
      <c r="G338" s="180" t="s">
        <v>3682</v>
      </c>
      <c r="H338" s="180">
        <v>1</v>
      </c>
      <c r="I338" s="180">
        <v>1</v>
      </c>
      <c r="J338" s="180">
        <v>1</v>
      </c>
      <c r="L338" s="119" t="s">
        <v>7736</v>
      </c>
      <c r="N338" s="180" t="s">
        <v>6284</v>
      </c>
      <c r="O338" s="119" t="s">
        <v>7737</v>
      </c>
      <c r="P338" s="119">
        <v>5</v>
      </c>
      <c r="Q338" s="119" t="s">
        <v>242</v>
      </c>
      <c r="R338" s="180">
        <v>1</v>
      </c>
      <c r="T338" s="180">
        <v>1</v>
      </c>
      <c r="AA338" s="120" t="s">
        <v>7738</v>
      </c>
      <c r="AB338" s="250" t="str">
        <f t="array" ref="AB338">INDEX(B:B,SMALL(IF($Q$3:$Q$517&lt;&gt;"",ROW($3:$517),518),ROW(B337)))&amp;""</f>
        <v>死云术</v>
      </c>
      <c r="AC338" s="394" t="str">
        <f>IFERROR(IF(AND($Q339&lt;&gt;"",IF(法术查询!$J$4="",1,INDEX($R339:$Z339,1,VLOOKUP(法术查询!$J$4,$AF$2:$AG$10,2,0)))&lt;&gt;"",IF(法术查询!$J$5="",1,$P339=VLOOKUP(法术查询!$J$5,$AH$2:$AI$11,2,0)),IF(法术查询!$J$6="",1,IF(法术查询!$J$6=$E339,1,0)),IF(法术查询!$J$7="",1,SEARCH(法术查询!$J$7,$F339)),IF(法术查询!$J$8="",1,SEARCH(法术查询!$J$8,G339)),IF(法术查询!$J$9="",1,SEARCH(法术查询!$J$9,N339)),IF(法术查询!$J$10="",1,IF(法术查询!$J$10=$AF$11,IF($M339=1,1,0),IF($M339="",1,0))),IF(法术查询!$J$11="",1,IF(法术查询!$J$11=$AF$11,IF($D339=1,1,0),IF($D339="",1,0))),IF(法术查询!$J$12="",1,SEARCH(法术查询!$J$12,$B339&amp;$C339&amp;$O339)),IF(法术查询!$J$13="",1,SEARCH(法术查询!$J$13,$B339&amp;$C339&amp;$O339)),IF(法术查询!$J$14="",1,SEARCH(法术查询!$J$14,$B339&amp;$C339&amp;$O339)),IF(法术查询!$J$16="",1,IF(法术查询!$J$16=$AF$11,IF($H339=1,1,0),IF($H339="",1,0))),IF(法术查询!$J$17="",1,IF(法术查询!$J$17=$AF$11,IF($I339=1,1,0),IF($I339="",1,0))),IF(法术查询!$J$18="",1,IF(法术查询!$J$18=$AF$11,IF($J339&lt;&gt;"",1,0),IF($J339="",1,0))),IF(法术查询!$J$19="",1,IF(法术查询!$J$19=$AF$11,IF($L339&lt;&gt;"",1,0),IF($L339="",1,0)))),$B339,""),"")</f>
        <v/>
      </c>
      <c r="AD338" s="180" t="str">
        <f t="array" ref="AD338">INDEX(AC:AC,SMALL(IF($AC$2:$AC$516&lt;&gt;"",ROW($2:$516),517),ROW(AC337)))&amp;""</f>
        <v/>
      </c>
      <c r="AE338" s="198" t="str">
        <f t="shared" si="9"/>
        <v/>
      </c>
    </row>
    <row r="339" spans="1:31" ht="14.4" customHeight="1" x14ac:dyDescent="0.25">
      <c r="A339" s="250">
        <v>337</v>
      </c>
      <c r="B339" s="119" t="s">
        <v>7739</v>
      </c>
      <c r="C339" s="119" t="s">
        <v>7740</v>
      </c>
      <c r="E339" s="440" t="s">
        <v>6290</v>
      </c>
      <c r="F339" s="180" t="s">
        <v>6352</v>
      </c>
      <c r="G339" s="180" t="s">
        <v>6291</v>
      </c>
      <c r="H339" s="180">
        <v>1</v>
      </c>
      <c r="M339" s="180">
        <v>1</v>
      </c>
      <c r="N339" s="180" t="s">
        <v>6306</v>
      </c>
      <c r="O339" s="119" t="s">
        <v>7741</v>
      </c>
      <c r="P339" s="119">
        <v>5</v>
      </c>
      <c r="Q339" s="119" t="s">
        <v>242</v>
      </c>
      <c r="U339" s="180">
        <v>1</v>
      </c>
      <c r="AA339" s="120" t="s">
        <v>7742</v>
      </c>
      <c r="AB339" s="250" t="str">
        <f t="array" ref="AB339">INDEX(B:B,SMALL(IF($Q$3:$Q$517&lt;&gt;"",ROW($3:$517),518),ROW(B338)))&amp;""</f>
        <v>通神术</v>
      </c>
      <c r="AC339" s="394" t="str">
        <f>IFERROR(IF(AND($Q340&lt;&gt;"",IF(法术查询!$J$4="",1,INDEX($R340:$Z340,1,VLOOKUP(法术查询!$J$4,$AF$2:$AG$10,2,0)))&lt;&gt;"",IF(法术查询!$J$5="",1,$P340=VLOOKUP(法术查询!$J$5,$AH$2:$AI$11,2,0)),IF(法术查询!$J$6="",1,IF(法术查询!$J$6=$E340,1,0)),IF(法术查询!$J$7="",1,SEARCH(法术查询!$J$7,$F340)),IF(法术查询!$J$8="",1,SEARCH(法术查询!$J$8,G340)),IF(法术查询!$J$9="",1,SEARCH(法术查询!$J$9,N340)),IF(法术查询!$J$10="",1,IF(法术查询!$J$10=$AF$11,IF($M340=1,1,0),IF($M340="",1,0))),IF(法术查询!$J$11="",1,IF(法术查询!$J$11=$AF$11,IF($D340=1,1,0),IF($D340="",1,0))),IF(法术查询!$J$12="",1,SEARCH(法术查询!$J$12,$B340&amp;$C340&amp;$O340)),IF(法术查询!$J$13="",1,SEARCH(法术查询!$J$13,$B340&amp;$C340&amp;$O340)),IF(法术查询!$J$14="",1,SEARCH(法术查询!$J$14,$B340&amp;$C340&amp;$O340)),IF(法术查询!$J$16="",1,IF(法术查询!$J$16=$AF$11,IF($H340=1,1,0),IF($H340="",1,0))),IF(法术查询!$J$17="",1,IF(法术查询!$J$17=$AF$11,IF($I340=1,1,0),IF($I340="",1,0))),IF(法术查询!$J$18="",1,IF(法术查询!$J$18=$AF$11,IF($J340&lt;&gt;"",1,0),IF($J340="",1,0))),IF(法术查询!$J$19="",1,IF(法术查询!$J$19=$AF$11,IF($L340&lt;&gt;"",1,0),IF($L340="",1,0)))),$B340,""),"")</f>
        <v/>
      </c>
      <c r="AD339" s="180" t="str">
        <f t="array" ref="AD339">INDEX(AC:AC,SMALL(IF($AC$2:$AC$516&lt;&gt;"",ROW($2:$516),517),ROW(AC338)))&amp;""</f>
        <v/>
      </c>
      <c r="AE339" s="198" t="str">
        <f t="shared" si="9"/>
        <v/>
      </c>
    </row>
    <row r="340" spans="1:31" ht="14.4" customHeight="1" x14ac:dyDescent="0.25">
      <c r="A340" s="250">
        <v>338</v>
      </c>
      <c r="B340" s="119" t="s">
        <v>7743</v>
      </c>
      <c r="C340" s="119" t="s">
        <v>7744</v>
      </c>
      <c r="E340" s="434" t="s">
        <v>6304</v>
      </c>
      <c r="F340" s="180" t="s">
        <v>6282</v>
      </c>
      <c r="G340" s="180" t="s">
        <v>6298</v>
      </c>
      <c r="H340" s="180">
        <v>1</v>
      </c>
      <c r="I340" s="180">
        <v>1</v>
      </c>
      <c r="J340" s="180">
        <v>1</v>
      </c>
      <c r="K340" s="119" t="s">
        <v>7745</v>
      </c>
      <c r="M340" s="180">
        <v>1</v>
      </c>
      <c r="N340" s="180" t="s">
        <v>6306</v>
      </c>
      <c r="O340" s="119" t="s">
        <v>7746</v>
      </c>
      <c r="P340" s="119">
        <v>5</v>
      </c>
      <c r="Q340" s="119" t="s">
        <v>242</v>
      </c>
      <c r="W340" s="180" t="str">
        <f>IF(综合数据!$B$14=TRUE,"13","")</f>
        <v>13</v>
      </c>
      <c r="X340" s="180">
        <v>1</v>
      </c>
      <c r="Z340" s="180">
        <v>9</v>
      </c>
      <c r="AA340" s="120" t="s">
        <v>7747</v>
      </c>
      <c r="AB340" s="250" t="str">
        <f t="array" ref="AB340">INDEX(B:B,SMALL(IF($Q$3:$Q$517&lt;&gt;"",ROW($3:$517),518),ROW(B339)))&amp;""</f>
        <v>问道自然</v>
      </c>
      <c r="AC340" s="394" t="str">
        <f>IFERROR(IF(AND($Q341&lt;&gt;"",IF(法术查询!$J$4="",1,INDEX($R341:$Z341,1,VLOOKUP(法术查询!$J$4,$AF$2:$AG$10,2,0)))&lt;&gt;"",IF(法术查询!$J$5="",1,$P341=VLOOKUP(法术查询!$J$5,$AH$2:$AI$11,2,0)),IF(法术查询!$J$6="",1,IF(法术查询!$J$6=$E341,1,0)),IF(法术查询!$J$7="",1,SEARCH(法术查询!$J$7,$F341)),IF(法术查询!$J$8="",1,SEARCH(法术查询!$J$8,G341)),IF(法术查询!$J$9="",1,SEARCH(法术查询!$J$9,N341)),IF(法术查询!$J$10="",1,IF(法术查询!$J$10=$AF$11,IF($M341=1,1,0),IF($M341="",1,0))),IF(法术查询!$J$11="",1,IF(法术查询!$J$11=$AF$11,IF($D341=1,1,0),IF($D341="",1,0))),IF(法术查询!$J$12="",1,SEARCH(法术查询!$J$12,$B341&amp;$C341&amp;$O341)),IF(法术查询!$J$13="",1,SEARCH(法术查询!$J$13,$B341&amp;$C341&amp;$O341)),IF(法术查询!$J$14="",1,SEARCH(法术查询!$J$14,$B341&amp;$C341&amp;$O341)),IF(法术查询!$J$16="",1,IF(法术查询!$J$16=$AF$11,IF($H341=1,1,0),IF($H341="",1,0))),IF(法术查询!$J$17="",1,IF(法术查询!$J$17=$AF$11,IF($I341=1,1,0),IF($I341="",1,0))),IF(法术查询!$J$18="",1,IF(法术查询!$J$18=$AF$11,IF($J341&lt;&gt;"",1,0),IF($J341="",1,0))),IF(法术查询!$J$19="",1,IF(法术查询!$J$19=$AF$11,IF($L341&lt;&gt;"",1,0),IF($L341="",1,0)))),$B341,""),"")</f>
        <v/>
      </c>
      <c r="AD340" s="180" t="str">
        <f t="array" ref="AD340">INDEX(AC:AC,SMALL(IF($AC$2:$AC$516&lt;&gt;"",ROW($2:$516),517),ROW(AC339)))&amp;""</f>
        <v/>
      </c>
      <c r="AE340" s="198" t="str">
        <f t="shared" si="9"/>
        <v/>
      </c>
    </row>
    <row r="341" spans="1:31" ht="14.4" customHeight="1" x14ac:dyDescent="0.25">
      <c r="A341" s="250">
        <v>339</v>
      </c>
      <c r="B341" s="119" t="s">
        <v>7748</v>
      </c>
      <c r="C341" s="119" t="s">
        <v>7749</v>
      </c>
      <c r="E341" s="440" t="s">
        <v>6290</v>
      </c>
      <c r="F341" s="180" t="s">
        <v>6282</v>
      </c>
      <c r="G341" s="180" t="s">
        <v>6507</v>
      </c>
      <c r="H341" s="180">
        <v>1</v>
      </c>
      <c r="M341" s="180">
        <v>1</v>
      </c>
      <c r="N341" s="180" t="s">
        <v>6471</v>
      </c>
      <c r="O341" s="119" t="s">
        <v>7750</v>
      </c>
      <c r="P341" s="119">
        <v>5</v>
      </c>
      <c r="Q341" s="119" t="s">
        <v>242</v>
      </c>
      <c r="U341" s="180">
        <v>1</v>
      </c>
      <c r="AA341" s="120" t="s">
        <v>7751</v>
      </c>
      <c r="AB341" s="250" t="str">
        <f t="array" ref="AB341">INDEX(B:B,SMALL(IF($Q$3:$Q$517&lt;&gt;"",ROW($3:$517),518),ROW(B340)))&amp;""</f>
        <v>寒冰锥</v>
      </c>
      <c r="AC341" s="394" t="str">
        <f>IFERROR(IF(AND($Q342&lt;&gt;"",IF(法术查询!$J$4="",1,INDEX($R342:$Z342,1,VLOOKUP(法术查询!$J$4,$AF$2:$AG$10,2,0)))&lt;&gt;"",IF(法术查询!$J$5="",1,$P342=VLOOKUP(法术查询!$J$5,$AH$2:$AI$11,2,0)),IF(法术查询!$J$6="",1,IF(法术查询!$J$6=$E342,1,0)),IF(法术查询!$J$7="",1,SEARCH(法术查询!$J$7,$F342)),IF(法术查询!$J$8="",1,SEARCH(法术查询!$J$8,G342)),IF(法术查询!$J$9="",1,SEARCH(法术查询!$J$9,N342)),IF(法术查询!$J$10="",1,IF(法术查询!$J$10=$AF$11,IF($M342=1,1,0),IF($M342="",1,0))),IF(法术查询!$J$11="",1,IF(法术查询!$J$11=$AF$11,IF($D342=1,1,0),IF($D342="",1,0))),IF(法术查询!$J$12="",1,SEARCH(法术查询!$J$12,$B342&amp;$C342&amp;$O342)),IF(法术查询!$J$13="",1,SEARCH(法术查询!$J$13,$B342&amp;$C342&amp;$O342)),IF(法术查询!$J$14="",1,SEARCH(法术查询!$J$14,$B342&amp;$C342&amp;$O342)),IF(法术查询!$J$16="",1,IF(法术查询!$J$16=$AF$11,IF($H342=1,1,0),IF($H342="",1,0))),IF(法术查询!$J$17="",1,IF(法术查询!$J$17=$AF$11,IF($I342=1,1,0),IF($I342="",1,0))),IF(法术查询!$J$18="",1,IF(法术查询!$J$18=$AF$11,IF($J342&lt;&gt;"",1,0),IF($J342="",1,0))),IF(法术查询!$J$19="",1,IF(法术查询!$J$19=$AF$11,IF($L342&lt;&gt;"",1,0),IF($L342="",1,0)))),$B342,""),"")</f>
        <v/>
      </c>
      <c r="AD341" s="180" t="str">
        <f t="array" ref="AD341">INDEX(AC:AC,SMALL(IF($AC$2:$AC$516&lt;&gt;"",ROW($2:$516),517),ROW(AC340)))&amp;""</f>
        <v/>
      </c>
      <c r="AE341" s="198" t="str">
        <f t="shared" si="9"/>
        <v/>
      </c>
    </row>
    <row r="342" spans="1:31" ht="14.4" customHeight="1" x14ac:dyDescent="0.25">
      <c r="A342" s="250">
        <v>340</v>
      </c>
      <c r="B342" s="119" t="s">
        <v>7752</v>
      </c>
      <c r="C342" s="119" t="s">
        <v>7753</v>
      </c>
      <c r="E342" s="378" t="s">
        <v>6281</v>
      </c>
      <c r="F342" s="180" t="s">
        <v>6282</v>
      </c>
      <c r="G342" s="180" t="s">
        <v>6298</v>
      </c>
      <c r="H342" s="180">
        <v>1</v>
      </c>
      <c r="I342" s="180">
        <v>1</v>
      </c>
      <c r="M342" s="180">
        <v>1</v>
      </c>
      <c r="N342" s="180" t="s">
        <v>6471</v>
      </c>
      <c r="O342" s="119" t="s">
        <v>7754</v>
      </c>
      <c r="P342" s="119">
        <v>5</v>
      </c>
      <c r="Q342" s="119" t="s">
        <v>242</v>
      </c>
      <c r="W342" s="180">
        <v>1</v>
      </c>
      <c r="X342" s="180">
        <v>1</v>
      </c>
      <c r="AA342" s="120" t="s">
        <v>7755</v>
      </c>
      <c r="AB342" s="250" t="str">
        <f t="array" ref="AB342">INDEX(B:B,SMALL(IF($Q$3:$Q$517&lt;&gt;"",ROW($3:$517),518),ROW(B341)))&amp;""</f>
        <v>召唤元素生物</v>
      </c>
      <c r="AC342" s="394" t="str">
        <f>IFERROR(IF(AND($Q343&lt;&gt;"",IF(法术查询!$J$4="",1,INDEX($R343:$Z343,1,VLOOKUP(法术查询!$J$4,$AF$2:$AG$10,2,0)))&lt;&gt;"",IF(法术查询!$J$5="",1,$P343=VLOOKUP(法术查询!$J$5,$AH$2:$AI$11,2,0)),IF(法术查询!$J$6="",1,IF(法术查询!$J$6=$E343,1,0)),IF(法术查询!$J$7="",1,SEARCH(法术查询!$J$7,$F343)),IF(法术查询!$J$8="",1,SEARCH(法术查询!$J$8,G343)),IF(法术查询!$J$9="",1,SEARCH(法术查询!$J$9,N343)),IF(法术查询!$J$10="",1,IF(法术查询!$J$10=$AF$11,IF($M343=1,1,0),IF($M343="",1,0))),IF(法术查询!$J$11="",1,IF(法术查询!$J$11=$AF$11,IF($D343=1,1,0),IF($D343="",1,0))),IF(法术查询!$J$12="",1,SEARCH(法术查询!$J$12,$B343&amp;$C343&amp;$O343)),IF(法术查询!$J$13="",1,SEARCH(法术查询!$J$13,$B343&amp;$C343&amp;$O343)),IF(法术查询!$J$14="",1,SEARCH(法术查询!$J$14,$B343&amp;$C343&amp;$O343)),IF(法术查询!$J$16="",1,IF(法术查询!$J$16=$AF$11,IF($H343=1,1,0),IF($H343="",1,0))),IF(法术查询!$J$17="",1,IF(法术查询!$J$17=$AF$11,IF($I343=1,1,0),IF($I343="",1,0))),IF(法术查询!$J$18="",1,IF(法术查询!$J$18=$AF$11,IF($J343&lt;&gt;"",1,0),IF($J343="",1,0))),IF(法术查询!$J$19="",1,IF(法术查询!$J$19=$AF$11,IF($L343&lt;&gt;"",1,0),IF($L343="",1,0)))),$B343,""),"")</f>
        <v/>
      </c>
      <c r="AD342" s="180" t="str">
        <f t="array" ref="AD342">INDEX(AC:AC,SMALL(IF($AC$2:$AC$516&lt;&gt;"",ROW($2:$516),517),ROW(AC341)))&amp;""</f>
        <v/>
      </c>
      <c r="AE342" s="198" t="str">
        <f t="shared" si="9"/>
        <v/>
      </c>
    </row>
    <row r="343" spans="1:31" ht="14.4" customHeight="1" x14ac:dyDescent="0.25">
      <c r="A343" s="250">
        <v>341</v>
      </c>
      <c r="B343" s="119" t="s">
        <v>7756</v>
      </c>
      <c r="C343" s="119" t="s">
        <v>7757</v>
      </c>
      <c r="D343" s="180">
        <v>1</v>
      </c>
      <c r="E343" s="438" t="s">
        <v>6335</v>
      </c>
      <c r="F343" s="180" t="s">
        <v>6349</v>
      </c>
      <c r="G343" s="180" t="s">
        <v>6291</v>
      </c>
      <c r="H343" s="180">
        <v>1</v>
      </c>
      <c r="I343" s="180">
        <v>1</v>
      </c>
      <c r="J343" s="180">
        <v>1</v>
      </c>
      <c r="K343" s="119" t="s">
        <v>7758</v>
      </c>
      <c r="N343" s="180" t="s">
        <v>6349</v>
      </c>
      <c r="O343" s="119" t="s">
        <v>7759</v>
      </c>
      <c r="P343" s="119">
        <v>5</v>
      </c>
      <c r="Q343" s="119" t="s">
        <v>242</v>
      </c>
      <c r="S343" s="180">
        <v>1</v>
      </c>
      <c r="AA343" s="120" t="s">
        <v>7760</v>
      </c>
      <c r="AB343" s="250" t="str">
        <f t="array" ref="AB343">INDEX(B:B,SMALL(IF($Q$3:$Q$517&lt;&gt;"",ROW($3:$517),518),ROW(B342)))&amp;""</f>
        <v>万箭齐发</v>
      </c>
      <c r="AC343" s="394" t="str">
        <f>IFERROR(IF(AND($Q344&lt;&gt;"",IF(法术查询!$J$4="",1,INDEX($R344:$Z344,1,VLOOKUP(法术查询!$J$4,$AF$2:$AG$10,2,0)))&lt;&gt;"",IF(法术查询!$J$5="",1,$P344=VLOOKUP(法术查询!$J$5,$AH$2:$AI$11,2,0)),IF(法术查询!$J$6="",1,IF(法术查询!$J$6=$E344,1,0)),IF(法术查询!$J$7="",1,SEARCH(法术查询!$J$7,$F344)),IF(法术查询!$J$8="",1,SEARCH(法术查询!$J$8,G344)),IF(法术查询!$J$9="",1,SEARCH(法术查询!$J$9,N344)),IF(法术查询!$J$10="",1,IF(法术查询!$J$10=$AF$11,IF($M344=1,1,0),IF($M344="",1,0))),IF(法术查询!$J$11="",1,IF(法术查询!$J$11=$AF$11,IF($D344=1,1,0),IF($D344="",1,0))),IF(法术查询!$J$12="",1,SEARCH(法术查询!$J$12,$B344&amp;$C344&amp;$O344)),IF(法术查询!$J$13="",1,SEARCH(法术查询!$J$13,$B344&amp;$C344&amp;$O344)),IF(法术查询!$J$14="",1,SEARCH(法术查询!$J$14,$B344&amp;$C344&amp;$O344)),IF(法术查询!$J$16="",1,IF(法术查询!$J$16=$AF$11,IF($H344=1,1,0),IF($H344="",1,0))),IF(法术查询!$J$17="",1,IF(法术查询!$J$17=$AF$11,IF($I344=1,1,0),IF($I344="",1,0))),IF(法术查询!$J$18="",1,IF(法术查询!$J$18=$AF$11,IF($J344&lt;&gt;"",1,0),IF($J344="",1,0))),IF(法术查询!$J$19="",1,IF(法术查询!$J$19=$AF$11,IF($L344&lt;&gt;"",1,0),IF($L344="",1,0)))),$B344,""),"")</f>
        <v>问道自然</v>
      </c>
      <c r="AD343" s="180" t="str">
        <f t="array" ref="AD343">INDEX(AC:AC,SMALL(IF($AC$2:$AC$516&lt;&gt;"",ROW($2:$516),517),ROW(AC342)))&amp;""</f>
        <v/>
      </c>
      <c r="AE343" s="198" t="str">
        <f t="shared" si="9"/>
        <v/>
      </c>
    </row>
    <row r="344" spans="1:31" ht="14.4" customHeight="1" x14ac:dyDescent="0.25">
      <c r="A344" s="250">
        <v>342</v>
      </c>
      <c r="B344" s="119" t="s">
        <v>7761</v>
      </c>
      <c r="C344" s="119" t="s">
        <v>7762</v>
      </c>
      <c r="D344" s="180">
        <v>1</v>
      </c>
      <c r="E344" s="438" t="s">
        <v>6335</v>
      </c>
      <c r="F344" s="180" t="s">
        <v>6349</v>
      </c>
      <c r="G344" s="180" t="s">
        <v>6291</v>
      </c>
      <c r="H344" s="180">
        <v>1</v>
      </c>
      <c r="I344" s="180">
        <v>1</v>
      </c>
      <c r="N344" s="180" t="s">
        <v>6284</v>
      </c>
      <c r="O344" s="119" t="s">
        <v>7763</v>
      </c>
      <c r="P344" s="119">
        <v>5</v>
      </c>
      <c r="Q344" s="119" t="s">
        <v>242</v>
      </c>
      <c r="T344" s="180">
        <v>1</v>
      </c>
      <c r="V344" s="180">
        <v>1</v>
      </c>
      <c r="AA344" s="120" t="s">
        <v>7764</v>
      </c>
      <c r="AB344" s="250" t="str">
        <f t="array" ref="AB344">INDEX(B:B,SMALL(IF($Q$3:$Q$517&lt;&gt;"",ROW($3:$517),518),ROW(B343)))&amp;""</f>
        <v>异界探知</v>
      </c>
      <c r="AC344" s="394" t="str">
        <f>IFERROR(IF(AND($Q345&lt;&gt;"",IF(法术查询!$J$4="",1,INDEX($R345:$Z345,1,VLOOKUP(法术查询!$J$4,$AF$2:$AG$10,2,0)))&lt;&gt;"",IF(法术查询!$J$5="",1,$P345=VLOOKUP(法术查询!$J$5,$AH$2:$AI$11,2,0)),IF(法术查询!$J$6="",1,IF(法术查询!$J$6=$E345,1,0)),IF(法术查询!$J$7="",1,SEARCH(法术查询!$J$7,$F345)),IF(法术查询!$J$8="",1,SEARCH(法术查询!$J$8,G345)),IF(法术查询!$J$9="",1,SEARCH(法术查询!$J$9,N345)),IF(法术查询!$J$10="",1,IF(法术查询!$J$10=$AF$11,IF($M345=1,1,0),IF($M345="",1,0))),IF(法术查询!$J$11="",1,IF(法术查询!$J$11=$AF$11,IF($D345=1,1,0),IF($D345="",1,0))),IF(法术查询!$J$12="",1,SEARCH(法术查询!$J$12,$B345&amp;$C345&amp;$O345)),IF(法术查询!$J$13="",1,SEARCH(法术查询!$J$13,$B345&amp;$C345&amp;$O345)),IF(法术查询!$J$14="",1,SEARCH(法术查询!$J$14,$B345&amp;$C345&amp;$O345)),IF(法术查询!$J$16="",1,IF(法术查询!$J$16=$AF$11,IF($H345=1,1,0),IF($H345="",1,0))),IF(法术查询!$J$17="",1,IF(法术查询!$J$17=$AF$11,IF($I345=1,1,0),IF($I345="",1,0))),IF(法术查询!$J$18="",1,IF(法术查询!$J$18=$AF$11,IF($J345&lt;&gt;"",1,0),IF($J345="",1,0))),IF(法术查询!$J$19="",1,IF(法术查询!$J$19=$AF$11,IF($L345&lt;&gt;"",1,0),IF($L345="",1,0)))),$B345,""),"")</f>
        <v>寒冰锥</v>
      </c>
      <c r="AD344" s="180" t="str">
        <f t="array" ref="AD344">INDEX(AC:AC,SMALL(IF($AC$2:$AC$516&lt;&gt;"",ROW($2:$516),517),ROW(AC343)))&amp;""</f>
        <v/>
      </c>
      <c r="AE344" s="198" t="str">
        <f t="shared" si="9"/>
        <v/>
      </c>
    </row>
    <row r="345" spans="1:31" ht="14.4" customHeight="1" x14ac:dyDescent="0.25">
      <c r="A345" s="250">
        <v>343</v>
      </c>
      <c r="B345" s="119" t="s">
        <v>7765</v>
      </c>
      <c r="C345" s="119" t="s">
        <v>7766</v>
      </c>
      <c r="E345" s="434" t="s">
        <v>6304</v>
      </c>
      <c r="F345" s="180" t="s">
        <v>6282</v>
      </c>
      <c r="G345" s="180" t="s">
        <v>6519</v>
      </c>
      <c r="H345" s="180">
        <v>1</v>
      </c>
      <c r="I345" s="180">
        <v>1</v>
      </c>
      <c r="J345" s="180">
        <v>1</v>
      </c>
      <c r="K345" s="119" t="s">
        <v>7767</v>
      </c>
      <c r="N345" s="180" t="s">
        <v>6284</v>
      </c>
      <c r="O345" s="119" t="s">
        <v>7768</v>
      </c>
      <c r="P345" s="119">
        <v>5</v>
      </c>
      <c r="Q345" s="119" t="s">
        <v>242</v>
      </c>
      <c r="T345" s="180" t="str">
        <f>IF(综合数据!$B$14=TRUE,"13","")</f>
        <v>13</v>
      </c>
      <c r="W345" s="180">
        <v>1</v>
      </c>
      <c r="X345" s="180">
        <v>1</v>
      </c>
      <c r="AA345" s="120" t="s">
        <v>7769</v>
      </c>
      <c r="AB345" s="250" t="str">
        <f t="array" ref="AB345">INDEX(B:B,SMALL(IF($Q$3:$Q$517&lt;&gt;"",ROW($3:$517),518),ROW(B344)))&amp;""</f>
        <v>疫病术</v>
      </c>
      <c r="AC345" s="394" t="str">
        <f>IFERROR(IF(AND($Q346&lt;&gt;"",IF(法术查询!$J$4="",1,INDEX($R346:$Z346,1,VLOOKUP(法术查询!$J$4,$AF$2:$AG$10,2,0)))&lt;&gt;"",IF(法术查询!$J$5="",1,$P346=VLOOKUP(法术查询!$J$5,$AH$2:$AI$11,2,0)),IF(法术查询!$J$6="",1,IF(法术查询!$J$6=$E346,1,0)),IF(法术查询!$J$7="",1,SEARCH(法术查询!$J$7,$F346)),IF(法术查询!$J$8="",1,SEARCH(法术查询!$J$8,G346)),IF(法术查询!$J$9="",1,SEARCH(法术查询!$J$9,N346)),IF(法术查询!$J$10="",1,IF(法术查询!$J$10=$AF$11,IF($M346=1,1,0),IF($M346="",1,0))),IF(法术查询!$J$11="",1,IF(法术查询!$J$11=$AF$11,IF($D346=1,1,0),IF($D346="",1,0))),IF(法术查询!$J$12="",1,SEARCH(法术查询!$J$12,$B346&amp;$C346&amp;$O346)),IF(法术查询!$J$13="",1,SEARCH(法术查询!$J$13,$B346&amp;$C346&amp;$O346)),IF(法术查询!$J$14="",1,SEARCH(法术查询!$J$14,$B346&amp;$C346&amp;$O346)),IF(法术查询!$J$16="",1,IF(法术查询!$J$16=$AF$11,IF($H346=1,1,0),IF($H346="",1,0))),IF(法术查询!$J$17="",1,IF(法术查询!$J$17=$AF$11,IF($I346=1,1,0),IF($I346="",1,0))),IF(法术查询!$J$18="",1,IF(法术查询!$J$18=$AF$11,IF($J346&lt;&gt;"",1,0),IF($J346="",1,0))),IF(法术查询!$J$19="",1,IF(法术查询!$J$19=$AF$11,IF($L346&lt;&gt;"",1,0),IF($L346="",1,0)))),$B346,""),"")</f>
        <v>召唤元素生物</v>
      </c>
      <c r="AD345" s="180" t="str">
        <f t="array" ref="AD345">INDEX(AC:AC,SMALL(IF($AC$2:$AC$516&lt;&gt;"",ROW($2:$516),517),ROW(AC344)))&amp;""</f>
        <v/>
      </c>
      <c r="AE345" s="198" t="str">
        <f t="shared" si="9"/>
        <v/>
      </c>
    </row>
    <row r="346" spans="1:31" ht="14.4" customHeight="1" x14ac:dyDescent="0.25">
      <c r="A346" s="250">
        <v>344</v>
      </c>
      <c r="B346" s="119" t="s">
        <v>7770</v>
      </c>
      <c r="C346" s="119" t="s">
        <v>7771</v>
      </c>
      <c r="E346" s="378" t="s">
        <v>6281</v>
      </c>
      <c r="F346" s="180" t="s">
        <v>6349</v>
      </c>
      <c r="G346" s="180" t="s">
        <v>6400</v>
      </c>
      <c r="H346" s="180">
        <v>1</v>
      </c>
      <c r="I346" s="180">
        <v>1</v>
      </c>
      <c r="J346" s="180">
        <v>1</v>
      </c>
      <c r="K346" s="119" t="s">
        <v>7772</v>
      </c>
      <c r="M346" s="180">
        <v>1</v>
      </c>
      <c r="N346" s="180" t="s">
        <v>6379</v>
      </c>
      <c r="O346" s="119" t="s">
        <v>7773</v>
      </c>
      <c r="P346" s="119">
        <v>5</v>
      </c>
      <c r="Q346" s="119" t="s">
        <v>242</v>
      </c>
      <c r="T346" s="180">
        <v>1</v>
      </c>
      <c r="X346" s="180">
        <v>1</v>
      </c>
      <c r="AA346" s="120" t="s">
        <v>7774</v>
      </c>
      <c r="AB346" s="250" t="str">
        <f t="array" ref="AB346">INDEX(B:B,SMALL(IF($Q$3:$Q$517&lt;&gt;"",ROW($3:$517),518),ROW(B345)))&amp;""</f>
        <v>造物术</v>
      </c>
      <c r="AC346" s="394" t="str">
        <f>IFERROR(IF(AND($Q347&lt;&gt;"",IF(法术查询!$J$4="",1,INDEX($R347:$Z347,1,VLOOKUP(法术查询!$J$4,$AF$2:$AG$10,2,0)))&lt;&gt;"",IF(法术查询!$J$5="",1,$P347=VLOOKUP(法术查询!$J$5,$AH$2:$AI$11,2,0)),IF(法术查询!$J$6="",1,IF(法术查询!$J$6=$E347,1,0)),IF(法术查询!$J$7="",1,SEARCH(法术查询!$J$7,$F347)),IF(法术查询!$J$8="",1,SEARCH(法术查询!$J$8,G347)),IF(法术查询!$J$9="",1,SEARCH(法术查询!$J$9,N347)),IF(法术查询!$J$10="",1,IF(法术查询!$J$10=$AF$11,IF($M347=1,1,0),IF($M347="",1,0))),IF(法术查询!$J$11="",1,IF(法术查询!$J$11=$AF$11,IF($D347=1,1,0),IF($D347="",1,0))),IF(法术查询!$J$12="",1,SEARCH(法术查询!$J$12,$B347&amp;$C347&amp;$O347)),IF(法术查询!$J$13="",1,SEARCH(法术查询!$J$13,$B347&amp;$C347&amp;$O347)),IF(法术查询!$J$14="",1,SEARCH(法术查询!$J$14,$B347&amp;$C347&amp;$O347)),IF(法术查询!$J$16="",1,IF(法术查询!$J$16=$AF$11,IF($H347=1,1,0),IF($H347="",1,0))),IF(法术查询!$J$17="",1,IF(法术查询!$J$17=$AF$11,IF($I347=1,1,0),IF($I347="",1,0))),IF(法术查询!$J$18="",1,IF(法术查询!$J$18=$AF$11,IF($J347&lt;&gt;"",1,0),IF($J347="",1,0))),IF(法术查询!$J$19="",1,IF(法术查询!$J$19=$AF$11,IF($L347&lt;&gt;"",1,0),IF($L347="",1,0)))),$B347,""),"")</f>
        <v/>
      </c>
      <c r="AD346" s="180" t="str">
        <f t="array" ref="AD346">INDEX(AC:AC,SMALL(IF($AC$2:$AC$516&lt;&gt;"",ROW($2:$516),517),ROW(AC345)))&amp;""</f>
        <v/>
      </c>
      <c r="AE346" s="198" t="str">
        <f t="shared" si="9"/>
        <v/>
      </c>
    </row>
    <row r="347" spans="1:31" ht="14.4" customHeight="1" x14ac:dyDescent="0.25">
      <c r="A347" s="250">
        <v>345</v>
      </c>
      <c r="B347" s="119" t="s">
        <v>7775</v>
      </c>
      <c r="C347" s="119" t="s">
        <v>7776</v>
      </c>
      <c r="E347" s="378" t="s">
        <v>6281</v>
      </c>
      <c r="F347" s="180" t="s">
        <v>6282</v>
      </c>
      <c r="G347" s="180" t="s">
        <v>6419</v>
      </c>
      <c r="H347" s="180">
        <v>1</v>
      </c>
      <c r="I347" s="180">
        <v>1</v>
      </c>
      <c r="J347" s="180">
        <v>1</v>
      </c>
      <c r="K347" s="119" t="s">
        <v>7258</v>
      </c>
      <c r="N347" s="180" t="s">
        <v>6284</v>
      </c>
      <c r="O347" s="119" t="s">
        <v>7777</v>
      </c>
      <c r="P347" s="119">
        <v>5</v>
      </c>
      <c r="Q347" s="119" t="s">
        <v>242</v>
      </c>
      <c r="V347" s="180">
        <v>1</v>
      </c>
      <c r="AA347" s="198"/>
      <c r="AB347" s="250" t="str">
        <f t="array" ref="AB347">INDEX(B:B,SMALL(IF($Q$3:$Q$517&lt;&gt;"",ROW($3:$517),518),ROW(B346)))&amp;""</f>
        <v>湮灭波</v>
      </c>
      <c r="AC347" s="394" t="str">
        <f>IFERROR(IF(AND($Q348&lt;&gt;"",IF(法术查询!$J$4="",1,INDEX($R348:$Z348,1,VLOOKUP(法术查询!$J$4,$AF$2:$AG$10,2,0)))&lt;&gt;"",IF(法术查询!$J$5="",1,$P348=VLOOKUP(法术查询!$J$5,$AH$2:$AI$11,2,0)),IF(法术查询!$J$6="",1,IF(法术查询!$J$6=$E348,1,0)),IF(法术查询!$J$7="",1,SEARCH(法术查询!$J$7,$F348)),IF(法术查询!$J$8="",1,SEARCH(法术查询!$J$8,G348)),IF(法术查询!$J$9="",1,SEARCH(法术查询!$J$9,N348)),IF(法术查询!$J$10="",1,IF(法术查询!$J$10=$AF$11,IF($M348=1,1,0),IF($M348="",1,0))),IF(法术查询!$J$11="",1,IF(法术查询!$J$11=$AF$11,IF($D348=1,1,0),IF($D348="",1,0))),IF(法术查询!$J$12="",1,SEARCH(法术查询!$J$12,$B348&amp;$C348&amp;$O348)),IF(法术查询!$J$13="",1,SEARCH(法术查询!$J$13,$B348&amp;$C348&amp;$O348)),IF(法术查询!$J$14="",1,SEARCH(法术查询!$J$14,$B348&amp;$C348&amp;$O348)),IF(法术查询!$J$16="",1,IF(法术查询!$J$16=$AF$11,IF($H348=1,1,0),IF($H348="",1,0))),IF(法术查询!$J$17="",1,IF(法术查询!$J$17=$AF$11,IF($I348=1,1,0),IF($I348="",1,0))),IF(法术查询!$J$18="",1,IF(法术查询!$J$18=$AF$11,IF($J348&lt;&gt;"",1,0),IF($J348="",1,0))),IF(法术查询!$J$19="",1,IF(法术查询!$J$19=$AF$11,IF($L348&lt;&gt;"",1,0),IF($L348="",1,0)))),$B348,""),"")</f>
        <v/>
      </c>
      <c r="AD347" s="180" t="str">
        <f t="array" ref="AD347">INDEX(AC:AC,SMALL(IF($AC$2:$AC$516&lt;&gt;"",ROW($2:$516),517),ROW(AC346)))&amp;""</f>
        <v/>
      </c>
      <c r="AE347" s="198" t="str">
        <f t="shared" si="9"/>
        <v/>
      </c>
    </row>
    <row r="348" spans="1:31" ht="14.4" customHeight="1" x14ac:dyDescent="0.25">
      <c r="A348" s="250">
        <v>346</v>
      </c>
      <c r="B348" s="119" t="s">
        <v>7778</v>
      </c>
      <c r="C348" s="119" t="s">
        <v>7779</v>
      </c>
      <c r="D348" s="180">
        <v>1</v>
      </c>
      <c r="E348" s="438" t="s">
        <v>6335</v>
      </c>
      <c r="F348" s="180" t="s">
        <v>6349</v>
      </c>
      <c r="G348" s="180" t="s">
        <v>6291</v>
      </c>
      <c r="H348" s="180">
        <v>1</v>
      </c>
      <c r="N348" s="180" t="s">
        <v>6349</v>
      </c>
      <c r="O348" s="119" t="s">
        <v>7780</v>
      </c>
      <c r="P348" s="119">
        <v>5</v>
      </c>
      <c r="Q348" s="119" t="s">
        <v>242</v>
      </c>
      <c r="X348" s="180">
        <v>1</v>
      </c>
      <c r="Y348" s="180">
        <v>1</v>
      </c>
      <c r="AA348" s="198"/>
      <c r="AB348" s="250" t="str">
        <f t="array" ref="AB348">INDEX(B:B,SMALL(IF($Q$3:$Q$517&lt;&gt;"",ROW($3:$517),518),ROW(B347)))&amp;""</f>
        <v>反制善恶</v>
      </c>
      <c r="AC348" s="394" t="str">
        <f>IFERROR(IF(AND($Q349&lt;&gt;"",IF(法术查询!$J$4="",1,INDEX($R349:$Z349,1,VLOOKUP(法术查询!$J$4,$AF$2:$AG$10,2,0)))&lt;&gt;"",IF(法术查询!$J$5="",1,$P349=VLOOKUP(法术查询!$J$5,$AH$2:$AI$11,2,0)),IF(法术查询!$J$6="",1,IF(法术查询!$J$6=$E349,1,0)),IF(法术查询!$J$7="",1,SEARCH(法术查询!$J$7,$F349)),IF(法术查询!$J$8="",1,SEARCH(法术查询!$J$8,G349)),IF(法术查询!$J$9="",1,SEARCH(法术查询!$J$9,N349)),IF(法术查询!$J$10="",1,IF(法术查询!$J$10=$AF$11,IF($M349=1,1,0),IF($M349="",1,0))),IF(法术查询!$J$11="",1,IF(法术查询!$J$11=$AF$11,IF($D349=1,1,0),IF($D349="",1,0))),IF(法术查询!$J$12="",1,SEARCH(法术查询!$J$12,$B349&amp;$C349&amp;$O349)),IF(法术查询!$J$13="",1,SEARCH(法术查询!$J$13,$B349&amp;$C349&amp;$O349)),IF(法术查询!$J$14="",1,SEARCH(法术查询!$J$14,$B349&amp;$C349&amp;$O349)),IF(法术查询!$J$16="",1,IF(法术查询!$J$16=$AF$11,IF($H349=1,1,0),IF($H349="",1,0))),IF(法术查询!$J$17="",1,IF(法术查询!$J$17=$AF$11,IF($I349=1,1,0),IF($I349="",1,0))),IF(法术查询!$J$18="",1,IF(法术查询!$J$18=$AF$11,IF($J349&lt;&gt;"",1,0),IF($J349="",1,0))),IF(法术查询!$J$19="",1,IF(法术查询!$J$19=$AF$11,IF($L349&lt;&gt;"",1,0),IF($L349="",1,0)))),$B349,""),"")</f>
        <v>疫病术</v>
      </c>
      <c r="AD348" s="180" t="str">
        <f t="array" ref="AD348">INDEX(AC:AC,SMALL(IF($AC$2:$AC$516&lt;&gt;"",ROW($2:$516),517),ROW(AC347)))&amp;""</f>
        <v/>
      </c>
      <c r="AE348" s="198" t="str">
        <f t="shared" si="9"/>
        <v/>
      </c>
    </row>
    <row r="349" spans="1:31" ht="14.4" customHeight="1" x14ac:dyDescent="0.25">
      <c r="A349" s="250">
        <v>347</v>
      </c>
      <c r="B349" s="119" t="s">
        <v>7781</v>
      </c>
      <c r="C349" s="119" t="s">
        <v>7782</v>
      </c>
      <c r="E349" s="441" t="s">
        <v>6297</v>
      </c>
      <c r="F349" s="180" t="s">
        <v>6282</v>
      </c>
      <c r="G349" s="180" t="s">
        <v>3682</v>
      </c>
      <c r="H349" s="180">
        <v>1</v>
      </c>
      <c r="I349" s="180">
        <v>1</v>
      </c>
      <c r="N349" s="180" t="s">
        <v>6413</v>
      </c>
      <c r="O349" s="119" t="s">
        <v>7783</v>
      </c>
      <c r="P349" s="119">
        <v>5</v>
      </c>
      <c r="Q349" s="119" t="s">
        <v>242</v>
      </c>
      <c r="S349" s="180">
        <v>1</v>
      </c>
      <c r="T349" s="180">
        <v>1</v>
      </c>
      <c r="AA349" s="120" t="s">
        <v>7784</v>
      </c>
      <c r="AB349" s="250" t="str">
        <f t="array" ref="AB349">INDEX(B:B,SMALL(IF($Q$3:$Q$517&lt;&gt;"",ROW($3:$517),518),ROW(B348)))&amp;""</f>
        <v>支配人类</v>
      </c>
      <c r="AC349" s="394" t="str">
        <f>IFERROR(IF(AND($Q350&lt;&gt;"",IF(法术查询!$J$4="",1,INDEX($R350:$Z350,1,VLOOKUP(法术查询!$J$4,$AF$2:$AG$10,2,0)))&lt;&gt;"",IF(法术查询!$J$5="",1,$P350=VLOOKUP(法术查询!$J$5,$AH$2:$AI$11,2,0)),IF(法术查询!$J$6="",1,IF(法术查询!$J$6=$E350,1,0)),IF(法术查询!$J$7="",1,SEARCH(法术查询!$J$7,$F350)),IF(法术查询!$J$8="",1,SEARCH(法术查询!$J$8,G350)),IF(法术查询!$J$9="",1,SEARCH(法术查询!$J$9,N350)),IF(法术查询!$J$10="",1,IF(法术查询!$J$10=$AF$11,IF($M350=1,1,0),IF($M350="",1,0))),IF(法术查询!$J$11="",1,IF(法术查询!$J$11=$AF$11,IF($D350=1,1,0),IF($D350="",1,0))),IF(法术查询!$J$12="",1,SEARCH(法术查询!$J$12,$B350&amp;$C350&amp;$O350)),IF(法术查询!$J$13="",1,SEARCH(法术查询!$J$13,$B350&amp;$C350&amp;$O350)),IF(法术查询!$J$14="",1,SEARCH(法术查询!$J$14,$B350&amp;$C350&amp;$O350)),IF(法术查询!$J$16="",1,IF(法术查询!$J$16=$AF$11,IF($H350=1,1,0),IF($H350="",1,0))),IF(法术查询!$J$17="",1,IF(法术查询!$J$17=$AF$11,IF($I350=1,1,0),IF($I350="",1,0))),IF(法术查询!$J$18="",1,IF(法术查询!$J$18=$AF$11,IF($J350&lt;&gt;"",1,0),IF($J350="",1,0))),IF(法术查询!$J$19="",1,IF(法术查询!$J$19=$AF$11,IF($L350&lt;&gt;"",1,0),IF($L350="",1,0)))),$B350,""),"")</f>
        <v/>
      </c>
      <c r="AD349" s="180" t="str">
        <f t="array" ref="AD349">INDEX(AC:AC,SMALL(IF($AC$2:$AC$516&lt;&gt;"",ROW($2:$516),517),ROW(AC348)))&amp;""</f>
        <v/>
      </c>
      <c r="AE349" s="198" t="str">
        <f t="shared" si="9"/>
        <v/>
      </c>
    </row>
    <row r="350" spans="1:31" ht="14.4" customHeight="1" x14ac:dyDescent="0.25">
      <c r="A350" s="250">
        <v>348</v>
      </c>
      <c r="B350" s="119" t="s">
        <v>7785</v>
      </c>
      <c r="C350" s="119" t="s">
        <v>7786</v>
      </c>
      <c r="E350" s="285" t="s">
        <v>6366</v>
      </c>
      <c r="F350" s="180" t="s">
        <v>6349</v>
      </c>
      <c r="G350" s="180" t="s">
        <v>6313</v>
      </c>
      <c r="H350" s="180">
        <v>1</v>
      </c>
      <c r="I350" s="180">
        <v>1</v>
      </c>
      <c r="J350" s="180">
        <v>1</v>
      </c>
      <c r="K350" s="119" t="s">
        <v>7787</v>
      </c>
      <c r="N350" s="180" t="s">
        <v>6279</v>
      </c>
      <c r="O350" s="119" t="s">
        <v>7788</v>
      </c>
      <c r="P350" s="119">
        <v>5</v>
      </c>
      <c r="Q350" s="119" t="s">
        <v>242</v>
      </c>
      <c r="W350" s="180">
        <v>1</v>
      </c>
      <c r="X350" s="180">
        <v>1</v>
      </c>
      <c r="Z350" s="180">
        <v>9</v>
      </c>
      <c r="AA350" s="120" t="s">
        <v>7789</v>
      </c>
      <c r="AB350" s="250" t="str">
        <f t="array" ref="AB350">INDEX(B:B,SMALL(IF($Q$3:$Q$517&lt;&gt;"",ROW($3:$517),518),ROW(B349)))&amp;""</f>
        <v>托梦术</v>
      </c>
      <c r="AC350" s="394" t="str">
        <f>IFERROR(IF(AND($Q351&lt;&gt;"",IF(法术查询!$J$4="",1,INDEX($R351:$Z351,1,VLOOKUP(法术查询!$J$4,$AF$2:$AG$10,2,0)))&lt;&gt;"",IF(法术查询!$J$5="",1,$P351=VLOOKUP(法术查询!$J$5,$AH$2:$AI$11,2,0)),IF(法术查询!$J$6="",1,IF(法术查询!$J$6=$E351,1,0)),IF(法术查询!$J$7="",1,SEARCH(法术查询!$J$7,$F351)),IF(法术查询!$J$8="",1,SEARCH(法术查询!$J$8,G351)),IF(法术查询!$J$9="",1,SEARCH(法术查询!$J$9,N351)),IF(法术查询!$J$10="",1,IF(法术查询!$J$10=$AF$11,IF($M351=1,1,0),IF($M351="",1,0))),IF(法术查询!$J$11="",1,IF(法术查询!$J$11=$AF$11,IF($D351=1,1,0),IF($D351="",1,0))),IF(法术查询!$J$12="",1,SEARCH(法术查询!$J$12,$B351&amp;$C351&amp;$O351)),IF(法术查询!$J$13="",1,SEARCH(法术查询!$J$13,$B351&amp;$C351&amp;$O351)),IF(法术查询!$J$14="",1,SEARCH(法术查询!$J$14,$B351&amp;$C351&amp;$O351)),IF(法术查询!$J$16="",1,IF(法术查询!$J$16=$AF$11,IF($H351=1,1,0),IF($H351="",1,0))),IF(法术查询!$J$17="",1,IF(法术查询!$J$17=$AF$11,IF($I351=1,1,0),IF($I351="",1,0))),IF(法术查询!$J$18="",1,IF(法术查询!$J$18=$AF$11,IF($J351&lt;&gt;"",1,0),IF($J351="",1,0))),IF(法术查询!$J$19="",1,IF(法术查询!$J$19=$AF$11,IF($L351&lt;&gt;"",1,0),IF($L351="",1,0)))),$B351,""),"")</f>
        <v/>
      </c>
      <c r="AD350" s="180" t="str">
        <f t="array" ref="AD350">INDEX(AC:AC,SMALL(IF($AC$2:$AC$516&lt;&gt;"",ROW($2:$516),517),ROW(AC349)))&amp;""</f>
        <v/>
      </c>
      <c r="AE350" s="198" t="str">
        <f t="shared" si="9"/>
        <v/>
      </c>
    </row>
    <row r="351" spans="1:31" ht="14.4" customHeight="1" x14ac:dyDescent="0.25">
      <c r="A351" s="250">
        <v>349</v>
      </c>
      <c r="B351" s="119" t="s">
        <v>7790</v>
      </c>
      <c r="C351" s="119" t="s">
        <v>7791</v>
      </c>
      <c r="E351" s="434" t="s">
        <v>6304</v>
      </c>
      <c r="F351" s="180" t="s">
        <v>6282</v>
      </c>
      <c r="G351" s="180" t="s">
        <v>6507</v>
      </c>
      <c r="H351" s="180">
        <v>1</v>
      </c>
      <c r="N351" s="180" t="s">
        <v>6284</v>
      </c>
      <c r="O351" s="119" t="s">
        <v>7792</v>
      </c>
      <c r="P351" s="119">
        <v>5</v>
      </c>
      <c r="Q351" s="119" t="s">
        <v>242</v>
      </c>
      <c r="U351" s="180">
        <v>1</v>
      </c>
      <c r="AA351" s="120" t="s">
        <v>7793</v>
      </c>
      <c r="AB351" s="250" t="str">
        <f t="array" ref="AB351">INDEX(B:B,SMALL(IF($Q$3:$Q$517&lt;&gt;"",ROW($3:$517),518),ROW(B350)))&amp;""</f>
        <v>焰击术</v>
      </c>
      <c r="AC351" s="394" t="str">
        <f>IFERROR(IF(AND($Q352&lt;&gt;"",IF(法术查询!$J$4="",1,INDEX($R352:$Z352,1,VLOOKUP(法术查询!$J$4,$AF$2:$AG$10,2,0)))&lt;&gt;"",IF(法术查询!$J$5="",1,$P352=VLOOKUP(法术查询!$J$5,$AH$2:$AI$11,2,0)),IF(法术查询!$J$6="",1,IF(法术查询!$J$6=$E352,1,0)),IF(法术查询!$J$7="",1,SEARCH(法术查询!$J$7,$F352)),IF(法术查询!$J$8="",1,SEARCH(法术查询!$J$8,G352)),IF(法术查询!$J$9="",1,SEARCH(法术查询!$J$9,N352)),IF(法术查询!$J$10="",1,IF(法术查询!$J$10=$AF$11,IF($M352=1,1,0),IF($M352="",1,0))),IF(法术查询!$J$11="",1,IF(法术查询!$J$11=$AF$11,IF($D352=1,1,0),IF($D352="",1,0))),IF(法术查询!$J$12="",1,SEARCH(法术查询!$J$12,$B352&amp;$C352&amp;$O352)),IF(法术查询!$J$13="",1,SEARCH(法术查询!$J$13,$B352&amp;$C352&amp;$O352)),IF(法术查询!$J$14="",1,SEARCH(法术查询!$J$14,$B352&amp;$C352&amp;$O352)),IF(法术查询!$J$16="",1,IF(法术查询!$J$16=$AF$11,IF($H352=1,1,0),IF($H352="",1,0))),IF(法术查询!$J$17="",1,IF(法术查询!$J$17=$AF$11,IF($I352=1,1,0),IF($I352="",1,0))),IF(法术查询!$J$18="",1,IF(法术查询!$J$18=$AF$11,IF($J352&lt;&gt;"",1,0),IF($J352="",1,0))),IF(法术查询!$J$19="",1,IF(法术查询!$J$19=$AF$11,IF($L352&lt;&gt;"",1,0),IF($L352="",1,0)))),$B352,""),"")</f>
        <v/>
      </c>
      <c r="AD351" s="180" t="str">
        <f t="array" ref="AD351">INDEX(AC:AC,SMALL(IF($AC$2:$AC$516&lt;&gt;"",ROW($2:$516),517),ROW(AC350)))&amp;""</f>
        <v/>
      </c>
      <c r="AE351" s="198" t="str">
        <f t="shared" si="9"/>
        <v/>
      </c>
    </row>
    <row r="352" spans="1:31" ht="14.4" customHeight="1" x14ac:dyDescent="0.25">
      <c r="A352" s="250">
        <v>350</v>
      </c>
      <c r="B352" s="119" t="s">
        <v>7794</v>
      </c>
      <c r="C352" s="119" t="s">
        <v>7795</v>
      </c>
      <c r="E352" s="440" t="s">
        <v>6290</v>
      </c>
      <c r="F352" s="180" t="s">
        <v>6282</v>
      </c>
      <c r="G352" s="180" t="s">
        <v>6291</v>
      </c>
      <c r="H352" s="180">
        <v>1</v>
      </c>
      <c r="I352" s="180">
        <v>1</v>
      </c>
      <c r="J352" s="180">
        <v>1</v>
      </c>
      <c r="K352" s="119" t="s">
        <v>7796</v>
      </c>
      <c r="M352" s="180">
        <v>1</v>
      </c>
      <c r="N352" s="180" t="s">
        <v>6306</v>
      </c>
      <c r="O352" s="119" t="s">
        <v>7797</v>
      </c>
      <c r="P352" s="119">
        <v>5</v>
      </c>
      <c r="Q352" s="119" t="s">
        <v>242</v>
      </c>
      <c r="S352" s="180">
        <v>1</v>
      </c>
      <c r="U352" s="180">
        <v>1</v>
      </c>
      <c r="AA352" s="120" t="s">
        <v>7798</v>
      </c>
      <c r="AB352" s="250" t="str">
        <f t="array" ref="AB352">INDEX(B:B,SMALL(IF($Q$3:$Q$517&lt;&gt;"",ROW($3:$517),518),ROW(B351)))&amp;""</f>
        <v>指使术</v>
      </c>
      <c r="AC352" s="394" t="str">
        <f>IFERROR(IF(AND($Q353&lt;&gt;"",IF(法术查询!$J$4="",1,INDEX($R353:$Z353,1,VLOOKUP(法术查询!$J$4,$AF$2:$AG$10,2,0)))&lt;&gt;"",IF(法术查询!$J$5="",1,$P353=VLOOKUP(法术查询!$J$5,$AH$2:$AI$11,2,0)),IF(法术查询!$J$6="",1,IF(法术查询!$J$6=$E353,1,0)),IF(法术查询!$J$7="",1,SEARCH(法术查询!$J$7,$F353)),IF(法术查询!$J$8="",1,SEARCH(法术查询!$J$8,G353)),IF(法术查询!$J$9="",1,SEARCH(法术查询!$J$9,N353)),IF(法术查询!$J$10="",1,IF(法术查询!$J$10=$AF$11,IF($M353=1,1,0),IF($M353="",1,0))),IF(法术查询!$J$11="",1,IF(法术查询!$J$11=$AF$11,IF($D353=1,1,0),IF($D353="",1,0))),IF(法术查询!$J$12="",1,SEARCH(法术查询!$J$12,$B353&amp;$C353&amp;$O353)),IF(法术查询!$J$13="",1,SEARCH(法术查询!$J$13,$B353&amp;$C353&amp;$O353)),IF(法术查询!$J$14="",1,SEARCH(法术查询!$J$14,$B353&amp;$C353&amp;$O353)),IF(法术查询!$J$16="",1,IF(法术查询!$J$16=$AF$11,IF($H353=1,1,0),IF($H353="",1,0))),IF(法术查询!$J$17="",1,IF(法术查询!$J$17=$AF$11,IF($I353=1,1,0),IF($I353="",1,0))),IF(法术查询!$J$18="",1,IF(法术查询!$J$18=$AF$11,IF($J353&lt;&gt;"",1,0),IF($J353="",1,0))),IF(法术查询!$J$19="",1,IF(法术查询!$J$19=$AF$11,IF($L353&lt;&gt;"",1,0),IF($L353="",1,0)))),$B353,""),"")</f>
        <v/>
      </c>
      <c r="AD352" s="180" t="str">
        <f t="array" ref="AD352">INDEX(AC:AC,SMALL(IF($AC$2:$AC$516&lt;&gt;"",ROW($2:$516),517),ROW(AC351)))&amp;""</f>
        <v/>
      </c>
      <c r="AE352" s="198" t="str">
        <f t="shared" si="9"/>
        <v/>
      </c>
    </row>
    <row r="353" spans="1:31" ht="14.4" customHeight="1" x14ac:dyDescent="0.25">
      <c r="A353" s="250">
        <v>351</v>
      </c>
      <c r="B353" s="119" t="s">
        <v>7799</v>
      </c>
      <c r="C353" s="119" t="s">
        <v>7800</v>
      </c>
      <c r="E353" s="379" t="s">
        <v>6328</v>
      </c>
      <c r="F353" s="180" t="s">
        <v>6282</v>
      </c>
      <c r="G353" s="180" t="s">
        <v>6283</v>
      </c>
      <c r="H353" s="180">
        <v>1</v>
      </c>
      <c r="I353" s="180">
        <v>1</v>
      </c>
      <c r="M353" s="180">
        <v>1</v>
      </c>
      <c r="N353" s="180" t="s">
        <v>6306</v>
      </c>
      <c r="O353" s="119" t="s">
        <v>7801</v>
      </c>
      <c r="P353" s="119">
        <v>5</v>
      </c>
      <c r="Q353" s="119" t="s">
        <v>242</v>
      </c>
      <c r="R353" s="180">
        <v>1</v>
      </c>
      <c r="W353" s="180">
        <v>1</v>
      </c>
      <c r="X353" s="180">
        <v>1</v>
      </c>
      <c r="AA353" s="120" t="s">
        <v>7802</v>
      </c>
      <c r="AB353" s="250" t="str">
        <f t="array" ref="AB353">INDEX(B:B,SMALL(IF($Q$3:$Q$517&lt;&gt;"",ROW($3:$517),518),ROW(B352)))&amp;""</f>
        <v>高等复原术</v>
      </c>
      <c r="AC353" s="394" t="str">
        <f>IFERROR(IF(AND($Q354&lt;&gt;"",IF(法术查询!$J$4="",1,INDEX($R354:$Z354,1,VLOOKUP(法术查询!$J$4,$AF$2:$AG$10,2,0)))&lt;&gt;"",IF(法术查询!$J$5="",1,$P354=VLOOKUP(法术查询!$J$5,$AH$2:$AI$11,2,0)),IF(法术查询!$J$6="",1,IF(法术查询!$J$6=$E354,1,0)),IF(法术查询!$J$7="",1,SEARCH(法术查询!$J$7,$F354)),IF(法术查询!$J$8="",1,SEARCH(法术查询!$J$8,G354)),IF(法术查询!$J$9="",1,SEARCH(法术查询!$J$9,N354)),IF(法术查询!$J$10="",1,IF(法术查询!$J$10=$AF$11,IF($M354=1,1,0),IF($M354="",1,0))),IF(法术查询!$J$11="",1,IF(法术查询!$J$11=$AF$11,IF($D354=1,1,0),IF($D354="",1,0))),IF(法术查询!$J$12="",1,SEARCH(法术查询!$J$12,$B354&amp;$C354&amp;$O354)),IF(法术查询!$J$13="",1,SEARCH(法术查询!$J$13,$B354&amp;$C354&amp;$O354)),IF(法术查询!$J$14="",1,SEARCH(法术查询!$J$14,$B354&amp;$C354&amp;$O354)),IF(法术查询!$J$16="",1,IF(法术查询!$J$16=$AF$11,IF($H354=1,1,0),IF($H354="",1,0))),IF(法术查询!$J$17="",1,IF(法术查询!$J$17=$AF$11,IF($I354=1,1,0),IF($I354="",1,0))),IF(法术查询!$J$18="",1,IF(法术查询!$J$18=$AF$11,IF($J354&lt;&gt;"",1,0),IF($J354="",1,0))),IF(法术查询!$J$19="",1,IF(法术查询!$J$19=$AF$11,IF($L354&lt;&gt;"",1,0),IF($L354="",1,0)))),$B354,""),"")</f>
        <v/>
      </c>
      <c r="AD353" s="180" t="str">
        <f t="array" ref="AD353">INDEX(AC:AC,SMALL(IF($AC$2:$AC$516&lt;&gt;"",ROW($2:$516),517),ROW(AC352)))&amp;""</f>
        <v/>
      </c>
      <c r="AE353" s="198" t="str">
        <f t="shared" si="9"/>
        <v/>
      </c>
    </row>
    <row r="354" spans="1:31" ht="14.4" customHeight="1" x14ac:dyDescent="0.25">
      <c r="A354" s="250">
        <v>352</v>
      </c>
      <c r="B354" s="119" t="s">
        <v>7803</v>
      </c>
      <c r="C354" s="119" t="s">
        <v>7804</v>
      </c>
      <c r="E354" s="285" t="s">
        <v>6366</v>
      </c>
      <c r="F354" s="180" t="s">
        <v>6349</v>
      </c>
      <c r="G354" s="180" t="s">
        <v>6279</v>
      </c>
      <c r="H354" s="180">
        <v>1</v>
      </c>
      <c r="I354" s="180">
        <v>1</v>
      </c>
      <c r="J354" s="180">
        <v>1</v>
      </c>
      <c r="K354" s="119" t="s">
        <v>7805</v>
      </c>
      <c r="N354" s="180" t="s">
        <v>6388</v>
      </c>
      <c r="O354" s="119" t="s">
        <v>7806</v>
      </c>
      <c r="P354" s="119">
        <v>5</v>
      </c>
      <c r="Q354" s="119" t="s">
        <v>242</v>
      </c>
      <c r="R354" s="180">
        <v>1</v>
      </c>
      <c r="X354" s="180">
        <v>1</v>
      </c>
      <c r="Y354" s="180">
        <v>1</v>
      </c>
      <c r="AA354" s="120" t="s">
        <v>7807</v>
      </c>
      <c r="AB354" s="250" t="str">
        <f t="array" ref="AB354">INDEX(B:B,SMALL(IF($Q$3:$Q$517&lt;&gt;"",ROW($3:$517),518),ROW(B353)))&amp;""</f>
        <v>圣居</v>
      </c>
      <c r="AC354" s="394" t="str">
        <f>IFERROR(IF(AND($Q355&lt;&gt;"",IF(法术查询!$J$4="",1,INDEX($R355:$Z355,1,VLOOKUP(法术查询!$J$4,$AF$2:$AG$10,2,0)))&lt;&gt;"",IF(法术查询!$J$5="",1,$P355=VLOOKUP(法术查询!$J$5,$AH$2:$AI$11,2,0)),IF(法术查询!$J$6="",1,IF(法术查询!$J$6=$E355,1,0)),IF(法术查询!$J$7="",1,SEARCH(法术查询!$J$7,$F355)),IF(法术查询!$J$8="",1,SEARCH(法术查询!$J$8,G355)),IF(法术查询!$J$9="",1,SEARCH(法术查询!$J$9,N355)),IF(法术查询!$J$10="",1,IF(法术查询!$J$10=$AF$11,IF($M355=1,1,0),IF($M355="",1,0))),IF(法术查询!$J$11="",1,IF(法术查询!$J$11=$AF$11,IF($D355=1,1,0),IF($D355="",1,0))),IF(法术查询!$J$12="",1,SEARCH(法术查询!$J$12,$B355&amp;$C355&amp;$O355)),IF(法术查询!$J$13="",1,SEARCH(法术查询!$J$13,$B355&amp;$C355&amp;$O355)),IF(法术查询!$J$14="",1,SEARCH(法术查询!$J$14,$B355&amp;$C355&amp;$O355)),IF(法术查询!$J$16="",1,IF(法术查询!$J$16=$AF$11,IF($H355=1,1,0),IF($H355="",1,0))),IF(法术查询!$J$17="",1,IF(法术查询!$J$17=$AF$11,IF($I355=1,1,0),IF($I355="",1,0))),IF(法术查询!$J$18="",1,IF(法术查询!$J$18=$AF$11,IF($J355&lt;&gt;"",1,0),IF($J355="",1,0))),IF(法术查询!$J$19="",1,IF(法术查询!$J$19=$AF$11,IF($L355&lt;&gt;"",1,0),IF($L355="",1,0)))),$B355,""),"")</f>
        <v/>
      </c>
      <c r="AD354" s="180" t="str">
        <f t="array" ref="AD354">INDEX(AC:AC,SMALL(IF($AC$2:$AC$516&lt;&gt;"",ROW($2:$516),517),ROW(AC353)))&amp;""</f>
        <v/>
      </c>
      <c r="AE354" s="198" t="str">
        <f t="shared" si="9"/>
        <v/>
      </c>
    </row>
    <row r="355" spans="1:31" ht="14.4" customHeight="1" x14ac:dyDescent="0.25">
      <c r="A355" s="250">
        <v>353</v>
      </c>
      <c r="B355" s="119" t="s">
        <v>7808</v>
      </c>
      <c r="C355" s="119" t="s">
        <v>7809</v>
      </c>
      <c r="E355" s="434" t="s">
        <v>6304</v>
      </c>
      <c r="F355" s="180" t="s">
        <v>6282</v>
      </c>
      <c r="G355" s="180" t="s">
        <v>6283</v>
      </c>
      <c r="H355" s="180">
        <v>1</v>
      </c>
      <c r="I355" s="180">
        <v>1</v>
      </c>
      <c r="J355" s="180">
        <v>1</v>
      </c>
      <c r="K355" s="119" t="s">
        <v>7810</v>
      </c>
      <c r="N355" s="180" t="s">
        <v>6284</v>
      </c>
      <c r="O355" s="119" t="s">
        <v>7811</v>
      </c>
      <c r="P355" s="119">
        <v>5</v>
      </c>
      <c r="Q355" s="119" t="s">
        <v>242</v>
      </c>
      <c r="S355" s="180">
        <v>1</v>
      </c>
      <c r="AA355" s="120" t="s">
        <v>7812</v>
      </c>
      <c r="AB355" s="250" t="str">
        <f t="array" ref="AB355">INDEX(B:B,SMALL(IF($Q$3:$Q$517&lt;&gt;"",ROW($3:$517),518),ROW(B354)))&amp;""</f>
        <v>怪物定身术</v>
      </c>
      <c r="AC355" s="394" t="str">
        <f>IFERROR(IF(AND($Q356&lt;&gt;"",IF(法术查询!$J$4="",1,INDEX($R356:$Z356,1,VLOOKUP(法术查询!$J$4,$AF$2:$AG$10,2,0)))&lt;&gt;"",IF(法术查询!$J$5="",1,$P356=VLOOKUP(法术查询!$J$5,$AH$2:$AI$11,2,0)),IF(法术查询!$J$6="",1,IF(法术查询!$J$6=$E356,1,0)),IF(法术查询!$J$7="",1,SEARCH(法术查询!$J$7,$F356)),IF(法术查询!$J$8="",1,SEARCH(法术查询!$J$8,G356)),IF(法术查询!$J$9="",1,SEARCH(法术查询!$J$9,N356)),IF(法术查询!$J$10="",1,IF(法术查询!$J$10=$AF$11,IF($M356=1,1,0),IF($M356="",1,0))),IF(法术查询!$J$11="",1,IF(法术查询!$J$11=$AF$11,IF($D356=1,1,0),IF($D356="",1,0))),IF(法术查询!$J$12="",1,SEARCH(法术查询!$J$12,$B356&amp;$C356&amp;$O356)),IF(法术查询!$J$13="",1,SEARCH(法术查询!$J$13,$B356&amp;$C356&amp;$O356)),IF(法术查询!$J$14="",1,SEARCH(法术查询!$J$14,$B356&amp;$C356&amp;$O356)),IF(法术查询!$J$16="",1,IF(法术查询!$J$16=$AF$11,IF($H356=1,1,0),IF($H356="",1,0))),IF(法术查询!$J$17="",1,IF(法术查询!$J$17=$AF$11,IF($I356=1,1,0),IF($I356="",1,0))),IF(法术查询!$J$18="",1,IF(法术查询!$J$18=$AF$11,IF($J356&lt;&gt;"",1,0),IF($J356="",1,0))),IF(法术查询!$J$19="",1,IF(法术查询!$J$19=$AF$11,IF($L356&lt;&gt;"",1,0),IF($L356="",1,0)))),$B356,""),"")</f>
        <v>指使术</v>
      </c>
      <c r="AD355" s="180" t="str">
        <f t="array" ref="AD355">INDEX(AC:AC,SMALL(IF($AC$2:$AC$516&lt;&gt;"",ROW($2:$516),517),ROW(AC354)))&amp;""</f>
        <v/>
      </c>
      <c r="AE355" s="198" t="str">
        <f t="shared" si="9"/>
        <v/>
      </c>
    </row>
    <row r="356" spans="1:31" ht="14.4" customHeight="1" x14ac:dyDescent="0.25">
      <c r="A356" s="250">
        <v>354</v>
      </c>
      <c r="B356" s="119" t="s">
        <v>7813</v>
      </c>
      <c r="C356" s="119" t="s">
        <v>7814</v>
      </c>
      <c r="E356" s="379" t="s">
        <v>6328</v>
      </c>
      <c r="F356" s="180" t="s">
        <v>6349</v>
      </c>
      <c r="G356" s="180" t="s">
        <v>6283</v>
      </c>
      <c r="H356" s="180">
        <v>1</v>
      </c>
      <c r="N356" s="180" t="s">
        <v>6427</v>
      </c>
      <c r="O356" s="119" t="s">
        <v>7815</v>
      </c>
      <c r="P356" s="119">
        <v>5</v>
      </c>
      <c r="Q356" s="119" t="s">
        <v>242</v>
      </c>
      <c r="R356" s="180">
        <v>1</v>
      </c>
      <c r="S356" s="180">
        <v>1</v>
      </c>
      <c r="T356" s="180">
        <v>1</v>
      </c>
      <c r="U356" s="180">
        <v>1</v>
      </c>
      <c r="X356" s="180">
        <v>1</v>
      </c>
      <c r="AA356" s="120" t="s">
        <v>7816</v>
      </c>
      <c r="AB356" s="250" t="str">
        <f t="array" ref="AB356">INDEX(B:B,SMALL(IF($Q$3:$Q$517&lt;&gt;"",ROW($3:$517),518),ROW(B355)))&amp;""</f>
        <v>疫病虫群</v>
      </c>
      <c r="AC356" s="394" t="str">
        <f>IFERROR(IF(AND($Q357&lt;&gt;"",IF(法术查询!$J$4="",1,INDEX($R357:$Z357,1,VLOOKUP(法术查询!$J$4,$AF$2:$AG$10,2,0)))&lt;&gt;"",IF(法术查询!$J$5="",1,$P357=VLOOKUP(法术查询!$J$5,$AH$2:$AI$11,2,0)),IF(法术查询!$J$6="",1,IF(法术查询!$J$6=$E357,1,0)),IF(法术查询!$J$7="",1,SEARCH(法术查询!$J$7,$F357)),IF(法术查询!$J$8="",1,SEARCH(法术查询!$J$8,G357)),IF(法术查询!$J$9="",1,SEARCH(法术查询!$J$9,N357)),IF(法术查询!$J$10="",1,IF(法术查询!$J$10=$AF$11,IF($M357=1,1,0),IF($M357="",1,0))),IF(法术查询!$J$11="",1,IF(法术查询!$J$11=$AF$11,IF($D357=1,1,0),IF($D357="",1,0))),IF(法术查询!$J$12="",1,SEARCH(法术查询!$J$12,$B357&amp;$C357&amp;$O357)),IF(法术查询!$J$13="",1,SEARCH(法术查询!$J$13,$B357&amp;$C357&amp;$O357)),IF(法术查询!$J$14="",1,SEARCH(法术查询!$J$14,$B357&amp;$C357&amp;$O357)),IF(法术查询!$J$16="",1,IF(法术查询!$J$16=$AF$11,IF($H357=1,1,0),IF($H357="",1,0))),IF(法术查询!$J$17="",1,IF(法术查询!$J$17=$AF$11,IF($I357=1,1,0),IF($I357="",1,0))),IF(法术查询!$J$18="",1,IF(法术查询!$J$18=$AF$11,IF($J357&lt;&gt;"",1,0),IF($J357="",1,0))),IF(法术查询!$J$19="",1,IF(法术查询!$J$19=$AF$11,IF($L357&lt;&gt;"",1,0),IF($L357="",1,0)))),$B357,""),"")</f>
        <v>高等复原术</v>
      </c>
      <c r="AD356" s="180" t="str">
        <f t="array" ref="AD356">INDEX(AC:AC,SMALL(IF($AC$2:$AC$516&lt;&gt;"",ROW($2:$516),517),ROW(AC355)))&amp;""</f>
        <v/>
      </c>
      <c r="AE356" s="198" t="str">
        <f t="shared" si="9"/>
        <v/>
      </c>
    </row>
    <row r="357" spans="1:31" ht="14.4" customHeight="1" x14ac:dyDescent="0.25">
      <c r="A357" s="250">
        <v>355</v>
      </c>
      <c r="B357" s="119" t="s">
        <v>7817</v>
      </c>
      <c r="C357" s="119" t="s">
        <v>7818</v>
      </c>
      <c r="E357" s="440" t="s">
        <v>6290</v>
      </c>
      <c r="F357" s="180" t="s">
        <v>6282</v>
      </c>
      <c r="G357" s="180" t="s">
        <v>3682</v>
      </c>
      <c r="H357" s="180">
        <v>1</v>
      </c>
      <c r="I357" s="180">
        <v>1</v>
      </c>
      <c r="J357" s="180">
        <v>1</v>
      </c>
      <c r="L357" s="119" t="s">
        <v>7819</v>
      </c>
      <c r="N357" s="180" t="s">
        <v>6284</v>
      </c>
      <c r="O357" s="119" t="s">
        <v>7820</v>
      </c>
      <c r="P357" s="119">
        <v>5</v>
      </c>
      <c r="Q357" s="119" t="s">
        <v>242</v>
      </c>
      <c r="R357" s="180">
        <v>1</v>
      </c>
      <c r="S357" s="180">
        <v>1</v>
      </c>
      <c r="T357" s="180">
        <v>1</v>
      </c>
      <c r="V357" s="180" t="str">
        <f>IF(综合数据!$B$14=TRUE,"13","")</f>
        <v>13</v>
      </c>
      <c r="Z357" s="180">
        <v>9</v>
      </c>
      <c r="AA357" s="120" t="s">
        <v>7821</v>
      </c>
      <c r="AB357" s="250" t="str">
        <f t="array" ref="AB357">INDEX(B:B,SMALL(IF($Q$3:$Q$517&lt;&gt;"",ROW($3:$517),518),ROW(B356)))&amp;""</f>
        <v>通晓传奇</v>
      </c>
      <c r="AC357" s="394" t="str">
        <f>IFERROR(IF(AND($Q358&lt;&gt;"",IF(法术查询!$J$4="",1,INDEX($R358:$Z358,1,VLOOKUP(法术查询!$J$4,$AF$2:$AG$10,2,0)))&lt;&gt;"",IF(法术查询!$J$5="",1,$P358=VLOOKUP(法术查询!$J$5,$AH$2:$AI$11,2,0)),IF(法术查询!$J$6="",1,IF(法术查询!$J$6=$E358,1,0)),IF(法术查询!$J$7="",1,SEARCH(法术查询!$J$7,$F358)),IF(法术查询!$J$8="",1,SEARCH(法术查询!$J$8,G358)),IF(法术查询!$J$9="",1,SEARCH(法术查询!$J$9,N358)),IF(法术查询!$J$10="",1,IF(法术查询!$J$10=$AF$11,IF($M358=1,1,0),IF($M358="",1,0))),IF(法术查询!$J$11="",1,IF(法术查询!$J$11=$AF$11,IF($D358=1,1,0),IF($D358="",1,0))),IF(法术查询!$J$12="",1,SEARCH(法术查询!$J$12,$B358&amp;$C358&amp;$O358)),IF(法术查询!$J$13="",1,SEARCH(法术查询!$J$13,$B358&amp;$C358&amp;$O358)),IF(法术查询!$J$14="",1,SEARCH(法术查询!$J$14,$B358&amp;$C358&amp;$O358)),IF(法术查询!$J$16="",1,IF(法术查询!$J$16=$AF$11,IF($H358=1,1,0),IF($H358="",1,0))),IF(法术查询!$J$17="",1,IF(法术查询!$J$17=$AF$11,IF($I358=1,1,0),IF($I358="",1,0))),IF(法术查询!$J$18="",1,IF(法术查询!$J$18=$AF$11,IF($J358&lt;&gt;"",1,0),IF($J358="",1,0))),IF(法术查询!$J$19="",1,IF(法术查询!$J$19=$AF$11,IF($L358&lt;&gt;"",1,0),IF($L358="",1,0)))),$B358,""),"")</f>
        <v/>
      </c>
      <c r="AD357" s="180" t="str">
        <f t="array" ref="AD357">INDEX(AC:AC,SMALL(IF($AC$2:$AC$516&lt;&gt;"",ROW($2:$516),517),ROW(AC356)))&amp;""</f>
        <v/>
      </c>
      <c r="AE357" s="198" t="str">
        <f t="shared" si="9"/>
        <v/>
      </c>
    </row>
    <row r="358" spans="1:31" ht="14.4" customHeight="1" x14ac:dyDescent="0.25">
      <c r="A358" s="250">
        <v>356</v>
      </c>
      <c r="B358" s="119" t="s">
        <v>7822</v>
      </c>
      <c r="C358" s="119" t="s">
        <v>7823</v>
      </c>
      <c r="E358" s="434" t="s">
        <v>6304</v>
      </c>
      <c r="F358" s="180" t="s">
        <v>6399</v>
      </c>
      <c r="G358" s="180" t="s">
        <v>3682</v>
      </c>
      <c r="H358" s="180">
        <v>1</v>
      </c>
      <c r="I358" s="180">
        <v>1</v>
      </c>
      <c r="J358" s="180">
        <v>1</v>
      </c>
      <c r="L358" s="119" t="s">
        <v>7824</v>
      </c>
      <c r="N358" s="180" t="s">
        <v>6434</v>
      </c>
      <c r="O358" s="119" t="s">
        <v>7825</v>
      </c>
      <c r="P358" s="119">
        <v>5</v>
      </c>
      <c r="Q358" s="119" t="s">
        <v>242</v>
      </c>
      <c r="S358" s="180">
        <v>1</v>
      </c>
      <c r="AA358" s="120" t="s">
        <v>7826</v>
      </c>
      <c r="AB358" s="250" t="str">
        <f t="array" ref="AB358">INDEX(B:B,SMALL(IF($Q$3:$Q$517&lt;&gt;"",ROW($3:$517),518),ROW(B357)))&amp;""</f>
        <v>群体疗伤术</v>
      </c>
      <c r="AC358" s="394" t="str">
        <f>IFERROR(IF(AND($Q359&lt;&gt;"",IF(法术查询!$J$4="",1,INDEX($R359:$Z359,1,VLOOKUP(法术查询!$J$4,$AF$2:$AG$10,2,0)))&lt;&gt;"",IF(法术查询!$J$5="",1,$P359=VLOOKUP(法术查询!$J$5,$AH$2:$AI$11,2,0)),IF(法术查询!$J$6="",1,IF(法术查询!$J$6=$E359,1,0)),IF(法术查询!$J$7="",1,SEARCH(法术查询!$J$7,$F359)),IF(法术查询!$J$8="",1,SEARCH(法术查询!$J$8,G359)),IF(法术查询!$J$9="",1,SEARCH(法术查询!$J$9,N359)),IF(法术查询!$J$10="",1,IF(法术查询!$J$10=$AF$11,IF($M359=1,1,0),IF($M359="",1,0))),IF(法术查询!$J$11="",1,IF(法术查询!$J$11=$AF$11,IF($D359=1,1,0),IF($D359="",1,0))),IF(法术查询!$J$12="",1,SEARCH(法术查询!$J$12,$B359&amp;$C359&amp;$O359)),IF(法术查询!$J$13="",1,SEARCH(法术查询!$J$13,$B359&amp;$C359&amp;$O359)),IF(法术查询!$J$14="",1,SEARCH(法术查询!$J$14,$B359&amp;$C359&amp;$O359)),IF(法术查询!$J$16="",1,IF(法术查询!$J$16=$AF$11,IF($H359=1,1,0),IF($H359="",1,0))),IF(法术查询!$J$17="",1,IF(法术查询!$J$17=$AF$11,IF($I359=1,1,0),IF($I359="",1,0))),IF(法术查询!$J$18="",1,IF(法术查询!$J$18=$AF$11,IF($J359&lt;&gt;"",1,0),IF($J359="",1,0))),IF(法术查询!$J$19="",1,IF(法术查询!$J$19=$AF$11,IF($L359&lt;&gt;"",1,0),IF($L359="",1,0)))),$B359,""),"")</f>
        <v/>
      </c>
      <c r="AD358" s="180" t="str">
        <f t="array" ref="AD358">INDEX(AC:AC,SMALL(IF($AC$2:$AC$516&lt;&gt;"",ROW($2:$516),517),ROW(AC357)))&amp;""</f>
        <v/>
      </c>
      <c r="AE358" s="198" t="str">
        <f t="shared" si="9"/>
        <v/>
      </c>
    </row>
    <row r="359" spans="1:31" ht="14.4" customHeight="1" x14ac:dyDescent="0.25">
      <c r="A359" s="250">
        <v>357</v>
      </c>
      <c r="B359" s="119" t="s">
        <v>7827</v>
      </c>
      <c r="C359" s="119" t="s">
        <v>7828</v>
      </c>
      <c r="E359" s="379" t="s">
        <v>6328</v>
      </c>
      <c r="F359" s="180" t="s">
        <v>6282</v>
      </c>
      <c r="G359" s="180" t="s">
        <v>6400</v>
      </c>
      <c r="H359" s="180">
        <v>1</v>
      </c>
      <c r="I359" s="180">
        <v>1</v>
      </c>
      <c r="J359" s="180">
        <v>1</v>
      </c>
      <c r="K359" s="119" t="s">
        <v>6987</v>
      </c>
      <c r="M359" s="180">
        <v>1</v>
      </c>
      <c r="N359" s="180" t="s">
        <v>6306</v>
      </c>
      <c r="O359" s="119" t="s">
        <v>7829</v>
      </c>
      <c r="P359" s="119">
        <v>5</v>
      </c>
      <c r="Q359" s="119" t="s">
        <v>242</v>
      </c>
      <c r="R359" s="180">
        <v>1</v>
      </c>
      <c r="W359" s="180">
        <v>1</v>
      </c>
      <c r="X359" s="180">
        <v>1</v>
      </c>
      <c r="Y359" s="180">
        <v>1</v>
      </c>
      <c r="AA359" s="120" t="s">
        <v>7830</v>
      </c>
      <c r="AB359" s="250" t="str">
        <f t="array" ref="AB359">INDEX(B:B,SMALL(IF($Q$3:$Q$517&lt;&gt;"",ROW($3:$517),518),ROW(B358)))&amp;""</f>
        <v>假象术</v>
      </c>
      <c r="AC359" s="394" t="str">
        <f>IFERROR(IF(AND($Q360&lt;&gt;"",IF(法术查询!$J$4="",1,INDEX($R360:$Z360,1,VLOOKUP(法术查询!$J$4,$AF$2:$AG$10,2,0)))&lt;&gt;"",IF(法术查询!$J$5="",1,$P360=VLOOKUP(法术查询!$J$5,$AH$2:$AI$11,2,0)),IF(法术查询!$J$6="",1,IF(法术查询!$J$6=$E360,1,0)),IF(法术查询!$J$7="",1,SEARCH(法术查询!$J$7,$F360)),IF(法术查询!$J$8="",1,SEARCH(法术查询!$J$8,G360)),IF(法术查询!$J$9="",1,SEARCH(法术查询!$J$9,N360)),IF(法术查询!$J$10="",1,IF(法术查询!$J$10=$AF$11,IF($M360=1,1,0),IF($M360="",1,0))),IF(法术查询!$J$11="",1,IF(法术查询!$J$11=$AF$11,IF($D360=1,1,0),IF($D360="",1,0))),IF(法术查询!$J$12="",1,SEARCH(法术查询!$J$12,$B360&amp;$C360&amp;$O360)),IF(法术查询!$J$13="",1,SEARCH(法术查询!$J$13,$B360&amp;$C360&amp;$O360)),IF(法术查询!$J$14="",1,SEARCH(法术查询!$J$14,$B360&amp;$C360&amp;$O360)),IF(法术查询!$J$16="",1,IF(法术查询!$J$16=$AF$11,IF($H360=1,1,0),IF($H360="",1,0))),IF(法术查询!$J$17="",1,IF(法术查询!$J$17=$AF$11,IF($I360=1,1,0),IF($I360="",1,0))),IF(法术查询!$J$18="",1,IF(法术查询!$J$18=$AF$11,IF($J360&lt;&gt;"",1,0),IF($J360="",1,0))),IF(法术查询!$J$19="",1,IF(法术查询!$J$19=$AF$11,IF($L360&lt;&gt;"",1,0),IF($L360="",1,0)))),$B360,""),"")</f>
        <v>疫病虫群</v>
      </c>
      <c r="AD359" s="180" t="str">
        <f t="array" ref="AD359">INDEX(AC:AC,SMALL(IF($AC$2:$AC$516&lt;&gt;"",ROW($2:$516),517),ROW(AC358)))&amp;""</f>
        <v/>
      </c>
      <c r="AE359" s="198" t="str">
        <f t="shared" si="9"/>
        <v/>
      </c>
    </row>
    <row r="360" spans="1:31" ht="14.4" customHeight="1" x14ac:dyDescent="0.25">
      <c r="A360" s="250">
        <v>358</v>
      </c>
      <c r="B360" s="119" t="s">
        <v>7831</v>
      </c>
      <c r="C360" s="119" t="s">
        <v>7832</v>
      </c>
      <c r="E360" s="378" t="s">
        <v>6281</v>
      </c>
      <c r="F360" s="180" t="s">
        <v>6282</v>
      </c>
      <c r="G360" s="180" t="s">
        <v>6426</v>
      </c>
      <c r="H360" s="180">
        <v>1</v>
      </c>
      <c r="I360" s="180">
        <v>1</v>
      </c>
      <c r="J360" s="180">
        <v>1</v>
      </c>
      <c r="K360" s="119" t="s">
        <v>7833</v>
      </c>
      <c r="M360" s="180">
        <v>1</v>
      </c>
      <c r="N360" s="180" t="s">
        <v>6471</v>
      </c>
      <c r="O360" s="119" t="s">
        <v>7834</v>
      </c>
      <c r="P360" s="119">
        <v>5</v>
      </c>
      <c r="Q360" s="119" t="s">
        <v>242</v>
      </c>
      <c r="S360" s="180">
        <v>1</v>
      </c>
      <c r="T360" s="180">
        <v>1</v>
      </c>
      <c r="W360" s="180">
        <v>1</v>
      </c>
      <c r="AA360" s="120" t="s">
        <v>7835</v>
      </c>
      <c r="AB360" s="250" t="str">
        <f t="array" ref="AB360">INDEX(B:B,SMALL(IF($Q$3:$Q$517&lt;&gt;"",ROW($3:$517),518),ROW(B359)))&amp;""</f>
        <v>篡改记忆</v>
      </c>
      <c r="AC360" s="394" t="str">
        <f>IFERROR(IF(AND($Q361&lt;&gt;"",IF(法术查询!$J$4="",1,INDEX($R361:$Z361,1,VLOOKUP(法术查询!$J$4,$AF$2:$AG$10,2,0)))&lt;&gt;"",IF(法术查询!$J$5="",1,$P361=VLOOKUP(法术查询!$J$5,$AH$2:$AI$11,2,0)),IF(法术查询!$J$6="",1,IF(法术查询!$J$6=$E361,1,0)),IF(法术查询!$J$7="",1,SEARCH(法术查询!$J$7,$F361)),IF(法术查询!$J$8="",1,SEARCH(法术查询!$J$8,G361)),IF(法术查询!$J$9="",1,SEARCH(法术查询!$J$9,N361)),IF(法术查询!$J$10="",1,IF(法术查询!$J$10=$AF$11,IF($M361=1,1,0),IF($M361="",1,0))),IF(法术查询!$J$11="",1,IF(法术查询!$J$11=$AF$11,IF($D361=1,1,0),IF($D361="",1,0))),IF(法术查询!$J$12="",1,SEARCH(法术查询!$J$12,$B361&amp;$C361&amp;$O361)),IF(法术查询!$J$13="",1,SEARCH(法术查询!$J$13,$B361&amp;$C361&amp;$O361)),IF(法术查询!$J$14="",1,SEARCH(法术查询!$J$14,$B361&amp;$C361&amp;$O361)),IF(法术查询!$J$16="",1,IF(法术查询!$J$16=$AF$11,IF($H361=1,1,0),IF($H361="",1,0))),IF(法术查询!$J$17="",1,IF(法术查询!$J$17=$AF$11,IF($I361=1,1,0),IF($I361="",1,0))),IF(法术查询!$J$18="",1,IF(法术查询!$J$18=$AF$11,IF($J361&lt;&gt;"",1,0),IF($J361="",1,0))),IF(法术查询!$J$19="",1,IF(法术查询!$J$19=$AF$11,IF($L361&lt;&gt;"",1,0),IF($L361="",1,0)))),$B361,""),"")</f>
        <v/>
      </c>
      <c r="AD360" s="180" t="str">
        <f t="array" ref="AD360">INDEX(AC:AC,SMALL(IF($AC$2:$AC$516&lt;&gt;"",ROW($2:$516),517),ROW(AC359)))&amp;""</f>
        <v/>
      </c>
      <c r="AE360" s="198" t="str">
        <f t="shared" si="9"/>
        <v/>
      </c>
    </row>
    <row r="361" spans="1:31" ht="14.4" customHeight="1" x14ac:dyDescent="0.25">
      <c r="A361" s="250">
        <v>359</v>
      </c>
      <c r="B361" s="119" t="s">
        <v>7836</v>
      </c>
      <c r="C361" s="119" t="s">
        <v>7837</v>
      </c>
      <c r="E361" s="438" t="s">
        <v>6335</v>
      </c>
      <c r="F361" s="180" t="s">
        <v>6371</v>
      </c>
      <c r="G361" s="180" t="s">
        <v>6291</v>
      </c>
      <c r="H361" s="180">
        <v>1</v>
      </c>
      <c r="I361" s="180">
        <v>1</v>
      </c>
      <c r="J361" s="180">
        <v>1</v>
      </c>
      <c r="K361" s="119" t="s">
        <v>7838</v>
      </c>
      <c r="N361" s="180" t="s">
        <v>6284</v>
      </c>
      <c r="O361" s="119" t="s">
        <v>7839</v>
      </c>
      <c r="P361" s="119">
        <v>5</v>
      </c>
      <c r="Q361" s="119" t="s">
        <v>242</v>
      </c>
      <c r="R361" s="180">
        <v>1</v>
      </c>
      <c r="S361" s="180">
        <v>1</v>
      </c>
      <c r="X361" s="180">
        <v>1</v>
      </c>
      <c r="AA361" s="120" t="s">
        <v>7840</v>
      </c>
      <c r="AB361" s="250" t="str">
        <f t="array" ref="AB361">INDEX(B:B,SMALL(IF($Q$3:$Q$517&lt;&gt;"",ROW($3:$517),518),ROW(B360)))&amp;""</f>
        <v>穿墙术</v>
      </c>
      <c r="AC361" s="394" t="str">
        <f>IFERROR(IF(AND($Q362&lt;&gt;"",IF(法术查询!$J$4="",1,INDEX($R362:$Z362,1,VLOOKUP(法术查询!$J$4,$AF$2:$AG$10,2,0)))&lt;&gt;"",IF(法术查询!$J$5="",1,$P362=VLOOKUP(法术查询!$J$5,$AH$2:$AI$11,2,0)),IF(法术查询!$J$6="",1,IF(法术查询!$J$6=$E362,1,0)),IF(法术查询!$J$7="",1,SEARCH(法术查询!$J$7,$F362)),IF(法术查询!$J$8="",1,SEARCH(法术查询!$J$8,G362)),IF(法术查询!$J$9="",1,SEARCH(法术查询!$J$9,N362)),IF(法术查询!$J$10="",1,IF(法术查询!$J$10=$AF$11,IF($M362=1,1,0),IF($M362="",1,0))),IF(法术查询!$J$11="",1,IF(法术查询!$J$11=$AF$11,IF($D362=1,1,0),IF($D362="",1,0))),IF(法术查询!$J$12="",1,SEARCH(法术查询!$J$12,$B362&amp;$C362&amp;$O362)),IF(法术查询!$J$13="",1,SEARCH(法术查询!$J$13,$B362&amp;$C362&amp;$O362)),IF(法术查询!$J$14="",1,SEARCH(法术查询!$J$14,$B362&amp;$C362&amp;$O362)),IF(法术查询!$J$16="",1,IF(法术查询!$J$16=$AF$11,IF($H362=1,1,0),IF($H362="",1,0))),IF(法术查询!$J$17="",1,IF(法术查询!$J$17=$AF$11,IF($I362=1,1,0),IF($I362="",1,0))),IF(法术查询!$J$18="",1,IF(法术查询!$J$18=$AF$11,IF($J362&lt;&gt;"",1,0),IF($J362="",1,0))),IF(法术查询!$J$19="",1,IF(法术查询!$J$19=$AF$11,IF($L362&lt;&gt;"",1,0),IF($L362="",1,0)))),$B362,""),"")</f>
        <v>群体疗伤术</v>
      </c>
      <c r="AD361" s="180" t="str">
        <f t="array" ref="AD361">INDEX(AC:AC,SMALL(IF($AC$2:$AC$516&lt;&gt;"",ROW($2:$516),517),ROW(AC360)))&amp;""</f>
        <v/>
      </c>
      <c r="AE361" s="198" t="str">
        <f t="shared" si="9"/>
        <v/>
      </c>
    </row>
    <row r="362" spans="1:31" ht="14.4" customHeight="1" x14ac:dyDescent="0.25">
      <c r="A362" s="250">
        <v>360</v>
      </c>
      <c r="B362" s="119" t="s">
        <v>7841</v>
      </c>
      <c r="C362" s="119" t="s">
        <v>7842</v>
      </c>
      <c r="E362" s="434" t="s">
        <v>6304</v>
      </c>
      <c r="F362" s="180" t="s">
        <v>6282</v>
      </c>
      <c r="G362" s="180" t="s">
        <v>6283</v>
      </c>
      <c r="H362" s="180">
        <v>1</v>
      </c>
      <c r="I362" s="180">
        <v>1</v>
      </c>
      <c r="N362" s="180" t="s">
        <v>6284</v>
      </c>
      <c r="O362" s="119" t="s">
        <v>7843</v>
      </c>
      <c r="P362" s="119">
        <v>5</v>
      </c>
      <c r="Q362" s="119" t="s">
        <v>242</v>
      </c>
      <c r="R362" s="180">
        <v>1</v>
      </c>
      <c r="S362" s="180">
        <v>1</v>
      </c>
      <c r="T362" s="180">
        <v>1</v>
      </c>
      <c r="AA362" s="120" t="s">
        <v>7844</v>
      </c>
      <c r="AB362" s="250" t="str">
        <f t="array" ref="AB362">INDEX(B:B,SMALL(IF($Q$3:$Q$517&lt;&gt;"",ROW($3:$517),518),ROW(B361)))&amp;""</f>
        <v>异界誓缚</v>
      </c>
      <c r="AC362" s="394" t="str">
        <f>IFERROR(IF(AND($Q363&lt;&gt;"",IF(法术查询!$J$4="",1,INDEX($R363:$Z363,1,VLOOKUP(法术查询!$J$4,$AF$2:$AG$10,2,0)))&lt;&gt;"",IF(法术查询!$J$5="",1,$P363=VLOOKUP(法术查询!$J$5,$AH$2:$AI$11,2,0)),IF(法术查询!$J$6="",1,IF(法术查询!$J$6=$E363,1,0)),IF(法术查询!$J$7="",1,SEARCH(法术查询!$J$7,$F363)),IF(法术查询!$J$8="",1,SEARCH(法术查询!$J$8,G363)),IF(法术查询!$J$9="",1,SEARCH(法术查询!$J$9,N363)),IF(法术查询!$J$10="",1,IF(法术查询!$J$10=$AF$11,IF($M363=1,1,0),IF($M363="",1,0))),IF(法术查询!$J$11="",1,IF(法术查询!$J$11=$AF$11,IF($D363=1,1,0),IF($D363="",1,0))),IF(法术查询!$J$12="",1,SEARCH(法术查询!$J$12,$B363&amp;$C363&amp;$O363)),IF(法术查询!$J$13="",1,SEARCH(法术查询!$J$13,$B363&amp;$C363&amp;$O363)),IF(法术查询!$J$14="",1,SEARCH(法术查询!$J$14,$B363&amp;$C363&amp;$O363)),IF(法术查询!$J$16="",1,IF(法术查询!$J$16=$AF$11,IF($H363=1,1,0),IF($H363="",1,0))),IF(法术查询!$J$17="",1,IF(法术查询!$J$17=$AF$11,IF($I363=1,1,0),IF($I363="",1,0))),IF(法术查询!$J$18="",1,IF(法术查询!$J$18=$AF$11,IF($J363&lt;&gt;"",1,0),IF($J363="",1,0))),IF(法术查询!$J$19="",1,IF(法术查询!$J$19=$AF$11,IF($L363&lt;&gt;"",1,0),IF($L363="",1,0)))),$B363,""),"")</f>
        <v/>
      </c>
      <c r="AD362" s="180" t="str">
        <f t="array" ref="AD362">INDEX(AC:AC,SMALL(IF($AC$2:$AC$516&lt;&gt;"",ROW($2:$516),517),ROW(AC361)))&amp;""</f>
        <v/>
      </c>
      <c r="AE362" s="198" t="str">
        <f t="shared" si="9"/>
        <v/>
      </c>
    </row>
    <row r="363" spans="1:31" ht="14.4" customHeight="1" x14ac:dyDescent="0.25">
      <c r="A363" s="250">
        <v>361</v>
      </c>
      <c r="B363" s="119" t="s">
        <v>7845</v>
      </c>
      <c r="C363" s="119" t="s">
        <v>7846</v>
      </c>
      <c r="E363" s="285" t="s">
        <v>6366</v>
      </c>
      <c r="F363" s="180" t="s">
        <v>6282</v>
      </c>
      <c r="G363" s="180" t="s">
        <v>6291</v>
      </c>
      <c r="I363" s="180">
        <v>1</v>
      </c>
      <c r="M363" s="180">
        <v>1</v>
      </c>
      <c r="N363" s="180" t="s">
        <v>6379</v>
      </c>
      <c r="O363" s="119" t="s">
        <v>7847</v>
      </c>
      <c r="P363" s="119">
        <v>5</v>
      </c>
      <c r="Q363" s="119" t="s">
        <v>242</v>
      </c>
      <c r="R363" s="180">
        <v>1</v>
      </c>
      <c r="X363" s="180">
        <v>1</v>
      </c>
      <c r="Y363" s="180" t="str">
        <f>IF(综合数据!$B$14=TRUE,"13","")</f>
        <v>13</v>
      </c>
      <c r="AA363" s="120" t="s">
        <v>7848</v>
      </c>
      <c r="AB363" s="250" t="str">
        <f t="array" ref="AB363">INDEX(B:B,SMALL(IF($Q$3:$Q$517&lt;&gt;"",ROW($3:$517),518),ROW(B362)))&amp;""</f>
        <v>死者复活</v>
      </c>
      <c r="AC363" s="394" t="str">
        <f>IFERROR(IF(AND($Q364&lt;&gt;"",IF(法术查询!$J$4="",1,INDEX($R364:$Z364,1,VLOOKUP(法术查询!$J$4,$AF$2:$AG$10,2,0)))&lt;&gt;"",IF(法术查询!$J$5="",1,$P364=VLOOKUP(法术查询!$J$5,$AH$2:$AI$11,2,0)),IF(法术查询!$J$6="",1,IF(法术查询!$J$6=$E364,1,0)),IF(法术查询!$J$7="",1,SEARCH(法术查询!$J$7,$F364)),IF(法术查询!$J$8="",1,SEARCH(法术查询!$J$8,G364)),IF(法术查询!$J$9="",1,SEARCH(法术查询!$J$9,N364)),IF(法术查询!$J$10="",1,IF(法术查询!$J$10=$AF$11,IF($M364=1,1,0),IF($M364="",1,0))),IF(法术查询!$J$11="",1,IF(法术查询!$J$11=$AF$11,IF($D364=1,1,0),IF($D364="",1,0))),IF(法术查询!$J$12="",1,SEARCH(法术查询!$J$12,$B364&amp;$C364&amp;$O364)),IF(法术查询!$J$13="",1,SEARCH(法术查询!$J$13,$B364&amp;$C364&amp;$O364)),IF(法术查询!$J$14="",1,SEARCH(法术查询!$J$14,$B364&amp;$C364&amp;$O364)),IF(法术查询!$J$16="",1,IF(法术查询!$J$16=$AF$11,IF($H364=1,1,0),IF($H364="",1,0))),IF(法术查询!$J$17="",1,IF(法术查询!$J$17=$AF$11,IF($I364=1,1,0),IF($I364="",1,0))),IF(法术查询!$J$18="",1,IF(法术查询!$J$18=$AF$11,IF($J364&lt;&gt;"",1,0),IF($J364="",1,0))),IF(法术查询!$J$19="",1,IF(法术查询!$J$19=$AF$11,IF($L364&lt;&gt;"",1,0),IF($L364="",1,0)))),$B364,""),"")</f>
        <v/>
      </c>
      <c r="AD363" s="180" t="str">
        <f t="array" ref="AD363">INDEX(AC:AC,SMALL(IF($AC$2:$AC$516&lt;&gt;"",ROW($2:$516),517),ROW(AC362)))&amp;""</f>
        <v/>
      </c>
      <c r="AE363" s="198" t="str">
        <f t="shared" si="9"/>
        <v/>
      </c>
    </row>
    <row r="364" spans="1:31" ht="14.4" customHeight="1" x14ac:dyDescent="0.25">
      <c r="A364" s="250">
        <v>362</v>
      </c>
      <c r="B364" s="119" t="s">
        <v>7849</v>
      </c>
      <c r="C364" s="119" t="s">
        <v>7850</v>
      </c>
      <c r="E364" s="379" t="s">
        <v>6328</v>
      </c>
      <c r="F364" s="180" t="s">
        <v>6282</v>
      </c>
      <c r="G364" s="180" t="s">
        <v>6313</v>
      </c>
      <c r="H364" s="180">
        <v>1</v>
      </c>
      <c r="I364" s="180">
        <v>1</v>
      </c>
      <c r="M364" s="180">
        <v>1</v>
      </c>
      <c r="N364" s="180" t="s">
        <v>6306</v>
      </c>
      <c r="O364" s="119" t="s">
        <v>7851</v>
      </c>
      <c r="P364" s="119">
        <v>5</v>
      </c>
      <c r="Q364" s="119" t="s">
        <v>242</v>
      </c>
      <c r="R364" s="180">
        <v>1</v>
      </c>
      <c r="X364" s="180">
        <v>1</v>
      </c>
      <c r="AA364" s="120" t="s">
        <v>7852</v>
      </c>
      <c r="AB364" s="250" t="str">
        <f t="array" ref="AB364">INDEX(B:B,SMALL(IF($Q$3:$Q$517&lt;&gt;"",ROW($3:$517),518),ROW(B363)))&amp;""</f>
        <v>拉瑞心灵联结</v>
      </c>
      <c r="AC364" s="394" t="str">
        <f>IFERROR(IF(AND($Q365&lt;&gt;"",IF(法术查询!$J$4="",1,INDEX($R365:$Z365,1,VLOOKUP(法术查询!$J$4,$AF$2:$AG$10,2,0)))&lt;&gt;"",IF(法术查询!$J$5="",1,$P365=VLOOKUP(法术查询!$J$5,$AH$2:$AI$11,2,0)),IF(法术查询!$J$6="",1,IF(法术查询!$J$6=$E365,1,0)),IF(法术查询!$J$7="",1,SEARCH(法术查询!$J$7,$F365)),IF(法术查询!$J$8="",1,SEARCH(法术查询!$J$8,G365)),IF(法术查询!$J$9="",1,SEARCH(法术查询!$J$9,N365)),IF(法术查询!$J$10="",1,IF(法术查询!$J$10=$AF$11,IF($M365=1,1,0),IF($M365="",1,0))),IF(法术查询!$J$11="",1,IF(法术查询!$J$11=$AF$11,IF($D365=1,1,0),IF($D365="",1,0))),IF(法术查询!$J$12="",1,SEARCH(法术查询!$J$12,$B365&amp;$C365&amp;$O365)),IF(法术查询!$J$13="",1,SEARCH(法术查询!$J$13,$B365&amp;$C365&amp;$O365)),IF(法术查询!$J$14="",1,SEARCH(法术查询!$J$14,$B365&amp;$C365&amp;$O365)),IF(法术查询!$J$16="",1,IF(法术查询!$J$16=$AF$11,IF($H365=1,1,0),IF($H365="",1,0))),IF(法术查询!$J$17="",1,IF(法术查询!$J$17=$AF$11,IF($I365=1,1,0),IF($I365="",1,0))),IF(法术查询!$J$18="",1,IF(法术查询!$J$18=$AF$11,IF($J365&lt;&gt;"",1,0),IF($J365="",1,0))),IF(法术查询!$J$19="",1,IF(法术查询!$J$19=$AF$11,IF($L365&lt;&gt;"",1,0),IF($L365="",1,0)))),$B365,""),"")</f>
        <v/>
      </c>
      <c r="AD364" s="180" t="str">
        <f t="array" ref="AD364">INDEX(AC:AC,SMALL(IF($AC$2:$AC$516&lt;&gt;"",ROW($2:$516),517),ROW(AC363)))&amp;""</f>
        <v/>
      </c>
      <c r="AE364" s="198" t="str">
        <f t="shared" si="9"/>
        <v/>
      </c>
    </row>
    <row r="365" spans="1:31" ht="14.4" customHeight="1" x14ac:dyDescent="0.25">
      <c r="A365" s="250">
        <v>363</v>
      </c>
      <c r="B365" s="119" t="s">
        <v>7853</v>
      </c>
      <c r="C365" s="119" t="s">
        <v>7854</v>
      </c>
      <c r="E365" s="435" t="s">
        <v>6312</v>
      </c>
      <c r="F365" s="180" t="s">
        <v>6282</v>
      </c>
      <c r="G365" s="180" t="s">
        <v>6313</v>
      </c>
      <c r="H365" s="180">
        <v>1</v>
      </c>
      <c r="I365" s="180">
        <v>1</v>
      </c>
      <c r="J365" s="180">
        <v>1</v>
      </c>
      <c r="K365" s="119" t="s">
        <v>7855</v>
      </c>
      <c r="N365" s="180" t="s">
        <v>6344</v>
      </c>
      <c r="O365" s="119" t="s">
        <v>7856</v>
      </c>
      <c r="P365" s="119">
        <v>5</v>
      </c>
      <c r="Q365" s="119" t="s">
        <v>242</v>
      </c>
      <c r="X365" s="180">
        <v>1</v>
      </c>
      <c r="AA365" s="120" t="s">
        <v>7857</v>
      </c>
      <c r="AB365" s="250" t="str">
        <f t="array" ref="AB365">INDEX(B:B,SMALL(IF($Q$3:$Q$517&lt;&gt;"",ROW($3:$517),518),ROW(B364)))&amp;""</f>
        <v>转生术</v>
      </c>
      <c r="AC365" s="394" t="str">
        <f>IFERROR(IF(AND($Q366&lt;&gt;"",IF(法术查询!$J$4="",1,INDEX($R366:$Z366,1,VLOOKUP(法术查询!$J$4,$AF$2:$AG$10,2,0)))&lt;&gt;"",IF(法术查询!$J$5="",1,$P366=VLOOKUP(法术查询!$J$5,$AH$2:$AI$11,2,0)),IF(法术查询!$J$6="",1,IF(法术查询!$J$6=$E366,1,0)),IF(法术查询!$J$7="",1,SEARCH(法术查询!$J$7,$F366)),IF(法术查询!$J$8="",1,SEARCH(法术查询!$J$8,G366)),IF(法术查询!$J$9="",1,SEARCH(法术查询!$J$9,N366)),IF(法术查询!$J$10="",1,IF(法术查询!$J$10=$AF$11,IF($M366=1,1,0),IF($M366="",1,0))),IF(法术查询!$J$11="",1,IF(法术查询!$J$11=$AF$11,IF($D366=1,1,0),IF($D366="",1,0))),IF(法术查询!$J$12="",1,SEARCH(法术查询!$J$12,$B366&amp;$C366&amp;$O366)),IF(法术查询!$J$13="",1,SEARCH(法术查询!$J$13,$B366&amp;$C366&amp;$O366)),IF(法术查询!$J$14="",1,SEARCH(法术查询!$J$14,$B366&amp;$C366&amp;$O366)),IF(法术查询!$J$16="",1,IF(法术查询!$J$16=$AF$11,IF($H366=1,1,0),IF($H366="",1,0))),IF(法术查询!$J$17="",1,IF(法术查询!$J$17=$AF$11,IF($I366=1,1,0),IF($I366="",1,0))),IF(法术查询!$J$18="",1,IF(法术查询!$J$18=$AF$11,IF($J366&lt;&gt;"",1,0),IF($J366="",1,0))),IF(法术查询!$J$19="",1,IF(法术查询!$J$19=$AF$11,IF($L366&lt;&gt;"",1,0),IF($L366="",1,0)))),$B366,""),"")</f>
        <v>异界誓缚</v>
      </c>
      <c r="AD365" s="180" t="str">
        <f t="array" ref="AD365">INDEX(AC:AC,SMALL(IF($AC$2:$AC$516&lt;&gt;"",ROW($2:$516),517),ROW(AC364)))&amp;""</f>
        <v/>
      </c>
      <c r="AE365" s="198" t="str">
        <f t="shared" si="9"/>
        <v/>
      </c>
    </row>
    <row r="366" spans="1:31" ht="14.4" customHeight="1" x14ac:dyDescent="0.25">
      <c r="A366" s="250">
        <v>364</v>
      </c>
      <c r="B366" s="119" t="s">
        <v>7858</v>
      </c>
      <c r="C366" s="119" t="s">
        <v>7859</v>
      </c>
      <c r="E366" s="440" t="s">
        <v>6290</v>
      </c>
      <c r="F366" s="180" t="s">
        <v>6344</v>
      </c>
      <c r="G366" s="180" t="s">
        <v>6283</v>
      </c>
      <c r="H366" s="180">
        <v>1</v>
      </c>
      <c r="I366" s="180">
        <v>1</v>
      </c>
      <c r="J366" s="180">
        <v>1</v>
      </c>
      <c r="L366" s="119" t="s">
        <v>7860</v>
      </c>
      <c r="N366" s="180" t="s">
        <v>6399</v>
      </c>
      <c r="O366" s="119" t="s">
        <v>7861</v>
      </c>
      <c r="P366" s="119">
        <v>5</v>
      </c>
      <c r="Q366" s="119" t="s">
        <v>242</v>
      </c>
      <c r="R366" s="180">
        <v>1</v>
      </c>
      <c r="S366" s="180">
        <v>1</v>
      </c>
      <c r="T366" s="180">
        <v>1</v>
      </c>
      <c r="X366" s="180">
        <v>1</v>
      </c>
      <c r="Y366" s="180" t="str">
        <f>IF(综合数据!$B$14=TRUE,"13","")</f>
        <v>13</v>
      </c>
      <c r="AA366" s="198" t="s">
        <v>1965</v>
      </c>
      <c r="AB366" s="250" t="str">
        <f t="array" ref="AB366">INDEX(B:B,SMALL(IF($Q$3:$Q$517&lt;&gt;"",ROW($3:$517),518),ROW(B365)))&amp;""</f>
        <v>探知</v>
      </c>
      <c r="AC366" s="394" t="str">
        <f>IFERROR(IF(AND($Q367&lt;&gt;"",IF(法术查询!$J$4="",1,INDEX($R367:$Z367,1,VLOOKUP(法术查询!$J$4,$AF$2:$AG$10,2,0)))&lt;&gt;"",IF(法术查询!$J$5="",1,$P367=VLOOKUP(法术查询!$J$5,$AH$2:$AI$11,2,0)),IF(法术查询!$J$6="",1,IF(法术查询!$J$6=$E367,1,0)),IF(法术查询!$J$7="",1,SEARCH(法术查询!$J$7,$F367)),IF(法术查询!$J$8="",1,SEARCH(法术查询!$J$8,G367)),IF(法术查询!$J$9="",1,SEARCH(法术查询!$J$9,N367)),IF(法术查询!$J$10="",1,IF(法术查询!$J$10=$AF$11,IF($M367=1,1,0),IF($M367="",1,0))),IF(法术查询!$J$11="",1,IF(法术查询!$J$11=$AF$11,IF($D367=1,1,0),IF($D367="",1,0))),IF(法术查询!$J$12="",1,SEARCH(法术查询!$J$12,$B367&amp;$C367&amp;$O367)),IF(法术查询!$J$13="",1,SEARCH(法术查询!$J$13,$B367&amp;$C367&amp;$O367)),IF(法术查询!$J$14="",1,SEARCH(法术查询!$J$14,$B367&amp;$C367&amp;$O367)),IF(法术查询!$J$16="",1,IF(法术查询!$J$16=$AF$11,IF($H367=1,1,0),IF($H367="",1,0))),IF(法术查询!$J$17="",1,IF(法术查询!$J$17=$AF$11,IF($I367=1,1,0),IF($I367="",1,0))),IF(法术查询!$J$18="",1,IF(法术查询!$J$18=$AF$11,IF($J367&lt;&gt;"",1,0),IF($J367="",1,0))),IF(法术查询!$J$19="",1,IF(法术查询!$J$19=$AF$11,IF($L367&lt;&gt;"",1,0),IF($L367="",1,0)))),$B367,""),"")</f>
        <v/>
      </c>
      <c r="AD366" s="180" t="str">
        <f t="array" ref="AD366">INDEX(AC:AC,SMALL(IF($AC$2:$AC$516&lt;&gt;"",ROW($2:$516),517),ROW(AC365)))&amp;""</f>
        <v/>
      </c>
      <c r="AE366" s="198" t="str">
        <f t="shared" si="9"/>
        <v/>
      </c>
    </row>
    <row r="367" spans="1:31" ht="14.4" customHeight="1" x14ac:dyDescent="0.25">
      <c r="A367" s="250">
        <v>365</v>
      </c>
      <c r="B367" s="119" t="s">
        <v>7862</v>
      </c>
      <c r="C367" s="119" t="s">
        <v>7863</v>
      </c>
      <c r="E367" s="441" t="s">
        <v>6297</v>
      </c>
      <c r="F367" s="180" t="s">
        <v>6344</v>
      </c>
      <c r="G367" s="180" t="s">
        <v>3682</v>
      </c>
      <c r="H367" s="180">
        <v>1</v>
      </c>
      <c r="I367" s="180">
        <v>1</v>
      </c>
      <c r="J367" s="180">
        <v>1</v>
      </c>
      <c r="L367" s="119" t="s">
        <v>7864</v>
      </c>
      <c r="N367" s="180" t="s">
        <v>6284</v>
      </c>
      <c r="O367" s="119" t="s">
        <v>7865</v>
      </c>
      <c r="P367" s="119">
        <v>5</v>
      </c>
      <c r="Q367" s="119" t="s">
        <v>242</v>
      </c>
      <c r="R367" s="180">
        <v>1</v>
      </c>
      <c r="S367" s="180">
        <v>1</v>
      </c>
      <c r="U367" s="180">
        <v>1</v>
      </c>
      <c r="AA367" s="120" t="s">
        <v>7866</v>
      </c>
      <c r="AB367" s="250" t="str">
        <f t="array" ref="AB367">INDEX(B:B,SMALL(IF($Q$3:$Q$517&lt;&gt;"",ROW($3:$517),518),ROW(B366)))&amp;""</f>
        <v>伪装术</v>
      </c>
      <c r="AC367" s="394" t="str">
        <f>IFERROR(IF(AND($Q368&lt;&gt;"",IF(法术查询!$J$4="",1,INDEX($R368:$Z368,1,VLOOKUP(法术查询!$J$4,$AF$2:$AG$10,2,0)))&lt;&gt;"",IF(法术查询!$J$5="",1,$P368=VLOOKUP(法术查询!$J$5,$AH$2:$AI$11,2,0)),IF(法术查询!$J$6="",1,IF(法术查询!$J$6=$E368,1,0)),IF(法术查询!$J$7="",1,SEARCH(法术查询!$J$7,$F368)),IF(法术查询!$J$8="",1,SEARCH(法术查询!$J$8,G368)),IF(法术查询!$J$9="",1,SEARCH(法术查询!$J$9,N368)),IF(法术查询!$J$10="",1,IF(法术查询!$J$10=$AF$11,IF($M368=1,1,0),IF($M368="",1,0))),IF(法术查询!$J$11="",1,IF(法术查询!$J$11=$AF$11,IF($D368=1,1,0),IF($D368="",1,0))),IF(法术查询!$J$12="",1,SEARCH(法术查询!$J$12,$B368&amp;$C368&amp;$O368)),IF(法术查询!$J$13="",1,SEARCH(法术查询!$J$13,$B368&amp;$C368&amp;$O368)),IF(法术查询!$J$14="",1,SEARCH(法术查询!$J$14,$B368&amp;$C368&amp;$O368)),IF(法术查询!$J$16="",1,IF(法术查询!$J$16=$AF$11,IF($H368=1,1,0),IF($H368="",1,0))),IF(法术查询!$J$17="",1,IF(法术查询!$J$17=$AF$11,IF($I368=1,1,0),IF($I368="",1,0))),IF(法术查询!$J$18="",1,IF(法术查询!$J$18=$AF$11,IF($J368&lt;&gt;"",1,0),IF($J368="",1,0))),IF(法术查询!$J$19="",1,IF(法术查询!$J$19=$AF$11,IF($L368&lt;&gt;"",1,0),IF($L368="",1,0)))),$B368,""),"")</f>
        <v/>
      </c>
      <c r="AD367" s="180" t="str">
        <f t="array" ref="AD367">INDEX(AC:AC,SMALL(IF($AC$2:$AC$516&lt;&gt;"",ROW($2:$516),517),ROW(AC366)))&amp;""</f>
        <v/>
      </c>
      <c r="AE367" s="198" t="str">
        <f t="shared" si="9"/>
        <v/>
      </c>
    </row>
    <row r="368" spans="1:31" ht="14.4" customHeight="1" x14ac:dyDescent="0.25">
      <c r="A368" s="250">
        <v>366</v>
      </c>
      <c r="B368" s="119" t="s">
        <v>7867</v>
      </c>
      <c r="C368" s="119" t="s">
        <v>7868</v>
      </c>
      <c r="D368" s="180">
        <v>1</v>
      </c>
      <c r="E368" s="438" t="s">
        <v>6335</v>
      </c>
      <c r="F368" s="180" t="s">
        <v>6282</v>
      </c>
      <c r="G368" s="180" t="s">
        <v>6313</v>
      </c>
      <c r="H368" s="180">
        <v>1</v>
      </c>
      <c r="I368" s="180">
        <v>1</v>
      </c>
      <c r="J368" s="180">
        <v>1</v>
      </c>
      <c r="K368" s="119" t="s">
        <v>7869</v>
      </c>
      <c r="N368" s="180" t="s">
        <v>6344</v>
      </c>
      <c r="O368" s="119" t="s">
        <v>7870</v>
      </c>
      <c r="P368" s="119">
        <v>5</v>
      </c>
      <c r="Q368" s="119" t="s">
        <v>242</v>
      </c>
      <c r="R368" s="180" t="str">
        <f>IF(综合数据!$B$14=TRUE,"13","")</f>
        <v>13</v>
      </c>
      <c r="X368" s="180">
        <v>1</v>
      </c>
      <c r="AA368" s="120" t="s">
        <v>7871</v>
      </c>
      <c r="AB368" s="250" t="str">
        <f t="array" ref="AB368">INDEX(B:B,SMALL(IF($Q$3:$Q$517&lt;&gt;"",ROW($3:$517),518),ROW(B367)))&amp;""</f>
        <v>迅捷箭袋</v>
      </c>
      <c r="AC368" s="394" t="str">
        <f>IFERROR(IF(AND($Q369&lt;&gt;"",IF(法术查询!$J$4="",1,INDEX($R369:$Z369,1,VLOOKUP(法术查询!$J$4,$AF$2:$AG$10,2,0)))&lt;&gt;"",IF(法术查询!$J$5="",1,$P369=VLOOKUP(法术查询!$J$5,$AH$2:$AI$11,2,0)),IF(法术查询!$J$6="",1,IF(法术查询!$J$6=$E369,1,0)),IF(法术查询!$J$7="",1,SEARCH(法术查询!$J$7,$F369)),IF(法术查询!$J$8="",1,SEARCH(法术查询!$J$8,G369)),IF(法术查询!$J$9="",1,SEARCH(法术查询!$J$9,N369)),IF(法术查询!$J$10="",1,IF(法术查询!$J$10=$AF$11,IF($M369=1,1,0),IF($M369="",1,0))),IF(法术查询!$J$11="",1,IF(法术查询!$J$11=$AF$11,IF($D369=1,1,0),IF($D369="",1,0))),IF(法术查询!$J$12="",1,SEARCH(法术查询!$J$12,$B369&amp;$C369&amp;$O369)),IF(法术查询!$J$13="",1,SEARCH(法术查询!$J$13,$B369&amp;$C369&amp;$O369)),IF(法术查询!$J$14="",1,SEARCH(法术查询!$J$14,$B369&amp;$C369&amp;$O369)),IF(法术查询!$J$16="",1,IF(法术查询!$J$16=$AF$11,IF($H369=1,1,0),IF($H369="",1,0))),IF(法术查询!$J$17="",1,IF(法术查询!$J$17=$AF$11,IF($I369=1,1,0),IF($I369="",1,0))),IF(法术查询!$J$18="",1,IF(法术查询!$J$18=$AF$11,IF($J369&lt;&gt;"",1,0),IF($J369="",1,0))),IF(法术查询!$J$19="",1,IF(法术查询!$J$19=$AF$11,IF($L369&lt;&gt;"",1,0),IF($L369="",1,0)))),$B369,""),"")</f>
        <v>转生术</v>
      </c>
      <c r="AD368" s="180" t="str">
        <f t="array" ref="AD368">INDEX(AC:AC,SMALL(IF($AC$2:$AC$516&lt;&gt;"",ROW($2:$516),517),ROW(AC367)))&amp;""</f>
        <v/>
      </c>
      <c r="AE368" s="198" t="str">
        <f t="shared" si="9"/>
        <v/>
      </c>
    </row>
    <row r="369" spans="1:31" ht="14.4" customHeight="1" x14ac:dyDescent="0.25">
      <c r="A369" s="250">
        <v>367</v>
      </c>
      <c r="B369" s="119" t="s">
        <v>7872</v>
      </c>
      <c r="C369" s="119" t="s">
        <v>7873</v>
      </c>
      <c r="E369" s="435" t="s">
        <v>6312</v>
      </c>
      <c r="F369" s="180" t="s">
        <v>6344</v>
      </c>
      <c r="G369" s="180" t="s">
        <v>3682</v>
      </c>
      <c r="H369" s="180">
        <v>1</v>
      </c>
      <c r="I369" s="180">
        <v>1</v>
      </c>
      <c r="J369" s="180">
        <v>1</v>
      </c>
      <c r="L369" s="119" t="s">
        <v>7874</v>
      </c>
      <c r="N369" s="180" t="s">
        <v>6284</v>
      </c>
      <c r="O369" s="119" t="s">
        <v>7875</v>
      </c>
      <c r="P369" s="119">
        <v>5</v>
      </c>
      <c r="Q369" s="119" t="s">
        <v>242</v>
      </c>
      <c r="T369" s="180">
        <v>1</v>
      </c>
      <c r="AA369" s="198" t="s">
        <v>2368</v>
      </c>
      <c r="AB369" s="250" t="str">
        <f t="array" ref="AB369">INDEX(B:B,SMALL(IF($Q$3:$Q$517&lt;&gt;"",ROW($3:$517),518),ROW(B368)))&amp;""</f>
        <v>心灵遥控</v>
      </c>
      <c r="AC369" s="394" t="str">
        <f>IFERROR(IF(AND($Q370&lt;&gt;"",IF(法术查询!$J$4="",1,INDEX($R370:$Z370,1,VLOOKUP(法术查询!$J$4,$AF$2:$AG$10,2,0)))&lt;&gt;"",IF(法术查询!$J$5="",1,$P370=VLOOKUP(法术查询!$J$5,$AH$2:$AI$11,2,0)),IF(法术查询!$J$6="",1,IF(法术查询!$J$6=$E370,1,0)),IF(法术查询!$J$7="",1,SEARCH(法术查询!$J$7,$F370)),IF(法术查询!$J$8="",1,SEARCH(法术查询!$J$8,G370)),IF(法术查询!$J$9="",1,SEARCH(法术查询!$J$9,N370)),IF(法术查询!$J$10="",1,IF(法术查询!$J$10=$AF$11,IF($M370=1,1,0),IF($M370="",1,0))),IF(法术查询!$J$11="",1,IF(法术查询!$J$11=$AF$11,IF($D370=1,1,0),IF($D370="",1,0))),IF(法术查询!$J$12="",1,SEARCH(法术查询!$J$12,$B370&amp;$C370&amp;$O370)),IF(法术查询!$J$13="",1,SEARCH(法术查询!$J$13,$B370&amp;$C370&amp;$O370)),IF(法术查询!$J$14="",1,SEARCH(法术查询!$J$14,$B370&amp;$C370&amp;$O370)),IF(法术查询!$J$16="",1,IF(法术查询!$J$16=$AF$11,IF($H370=1,1,0),IF($H370="",1,0))),IF(法术查询!$J$17="",1,IF(法术查询!$J$17=$AF$11,IF($I370=1,1,0),IF($I370="",1,0))),IF(法术查询!$J$18="",1,IF(法术查询!$J$18=$AF$11,IF($J370&lt;&gt;"",1,0),IF($J370="",1,0))),IF(法术查询!$J$19="",1,IF(法术查询!$J$19=$AF$11,IF($L370&lt;&gt;"",1,0),IF($L370="",1,0)))),$B370,""),"")</f>
        <v>探知</v>
      </c>
      <c r="AD369" s="180" t="str">
        <f t="array" ref="AD369">INDEX(AC:AC,SMALL(IF($AC$2:$AC$516&lt;&gt;"",ROW($2:$516),517),ROW(AC368)))&amp;""</f>
        <v/>
      </c>
      <c r="AE369" s="198" t="str">
        <f t="shared" si="9"/>
        <v/>
      </c>
    </row>
    <row r="370" spans="1:31" ht="14.4" customHeight="1" x14ac:dyDescent="0.25">
      <c r="A370" s="250">
        <v>368</v>
      </c>
      <c r="B370" s="119" t="s">
        <v>7876</v>
      </c>
      <c r="C370" s="119" t="s">
        <v>7877</v>
      </c>
      <c r="E370" s="438" t="s">
        <v>6335</v>
      </c>
      <c r="F370" s="180" t="s">
        <v>6371</v>
      </c>
      <c r="G370" s="180" t="s">
        <v>6291</v>
      </c>
      <c r="H370" s="180">
        <v>1</v>
      </c>
      <c r="I370" s="180">
        <v>1</v>
      </c>
      <c r="J370" s="180">
        <v>1</v>
      </c>
      <c r="K370" s="119" t="s">
        <v>7878</v>
      </c>
      <c r="M370" s="180">
        <v>1</v>
      </c>
      <c r="N370" s="180" t="s">
        <v>6471</v>
      </c>
      <c r="O370" s="119" t="s">
        <v>7879</v>
      </c>
      <c r="P370" s="119">
        <v>5</v>
      </c>
      <c r="Q370" s="119" t="s">
        <v>242</v>
      </c>
      <c r="R370" s="180">
        <v>1</v>
      </c>
      <c r="S370" s="180">
        <v>1</v>
      </c>
      <c r="T370" s="180">
        <v>1</v>
      </c>
      <c r="X370" s="180">
        <v>1</v>
      </c>
      <c r="Y370" s="180">
        <v>1</v>
      </c>
      <c r="AA370" s="120" t="s">
        <v>7880</v>
      </c>
      <c r="AB370" s="250" t="str">
        <f t="array" ref="AB370">INDEX(B:B,SMALL(IF($Q$3:$Q$517&lt;&gt;"",ROW($3:$517),518),ROW(B369)))&amp;""</f>
        <v>传送法阵</v>
      </c>
      <c r="AC370" s="394" t="str">
        <f>IFERROR(IF(AND($Q371&lt;&gt;"",IF(法术查询!$J$4="",1,INDEX($R371:$Z371,1,VLOOKUP(法术查询!$J$4,$AF$2:$AG$10,2,0)))&lt;&gt;"",IF(法术查询!$J$5="",1,$P371=VLOOKUP(法术查询!$J$5,$AH$2:$AI$11,2,0)),IF(法术查询!$J$6="",1,IF(法术查询!$J$6=$E371,1,0)),IF(法术查询!$J$7="",1,SEARCH(法术查询!$J$7,$F371)),IF(法术查询!$J$8="",1,SEARCH(法术查询!$J$8,G371)),IF(法术查询!$J$9="",1,SEARCH(法术查询!$J$9,N371)),IF(法术查询!$J$10="",1,IF(法术查询!$J$10=$AF$11,IF($M371=1,1,0),IF($M371="",1,0))),IF(法术查询!$J$11="",1,IF(法术查询!$J$11=$AF$11,IF($D371=1,1,0),IF($D371="",1,0))),IF(法术查询!$J$12="",1,SEARCH(法术查询!$J$12,$B371&amp;$C371&amp;$O371)),IF(法术查询!$J$13="",1,SEARCH(法术查询!$J$13,$B371&amp;$C371&amp;$O371)),IF(法术查询!$J$14="",1,SEARCH(法术查询!$J$14,$B371&amp;$C371&amp;$O371)),IF(法术查询!$J$16="",1,IF(法术查询!$J$16=$AF$11,IF($H371=1,1,0),IF($H371="",1,0))),IF(法术查询!$J$17="",1,IF(法术查询!$J$17=$AF$11,IF($I371=1,1,0),IF($I371="",1,0))),IF(法术查询!$J$18="",1,IF(法术查询!$J$18=$AF$11,IF($J371&lt;&gt;"",1,0),IF($J371="",1,0))),IF(法术查询!$J$19="",1,IF(法术查询!$J$19=$AF$11,IF($L371&lt;&gt;"",1,0),IF($L371="",1,0)))),$B371,""),"")</f>
        <v/>
      </c>
      <c r="AD370" s="180" t="str">
        <f t="array" ref="AD370">INDEX(AC:AC,SMALL(IF($AC$2:$AC$516&lt;&gt;"",ROW($2:$516),517),ROW(AC369)))&amp;""</f>
        <v/>
      </c>
      <c r="AE370" s="198" t="str">
        <f t="shared" si="9"/>
        <v/>
      </c>
    </row>
    <row r="371" spans="1:31" ht="14.4" customHeight="1" x14ac:dyDescent="0.25">
      <c r="A371" s="250">
        <v>369</v>
      </c>
      <c r="B371" s="119" t="s">
        <v>7881</v>
      </c>
      <c r="C371" s="119" t="s">
        <v>7882</v>
      </c>
      <c r="E371" s="285" t="s">
        <v>6366</v>
      </c>
      <c r="F371" s="180" t="s">
        <v>6282</v>
      </c>
      <c r="G371" s="180" t="s">
        <v>6313</v>
      </c>
      <c r="H371" s="180">
        <v>1</v>
      </c>
      <c r="I371" s="180">
        <v>1</v>
      </c>
      <c r="N371" s="180" t="s">
        <v>6388</v>
      </c>
      <c r="O371" s="119" t="s">
        <v>7883</v>
      </c>
      <c r="P371" s="119">
        <v>5</v>
      </c>
      <c r="Q371" s="119" t="s">
        <v>242</v>
      </c>
      <c r="R371" s="180">
        <v>1</v>
      </c>
      <c r="W371" s="180">
        <v>1</v>
      </c>
      <c r="X371" s="180">
        <v>1</v>
      </c>
      <c r="AA371" s="120" t="s">
        <v>7884</v>
      </c>
      <c r="AB371" s="250" t="str">
        <f t="array" ref="AB371">INDEX(B:B,SMALL(IF($Q$3:$Q$517&lt;&gt;"",ROW($3:$517),518),ROW(B370)))&amp;""</f>
        <v>树跃术</v>
      </c>
      <c r="AC371" s="394" t="str">
        <f>IFERROR(IF(AND($Q372&lt;&gt;"",IF(法术查询!$J$4="",1,INDEX($R372:$Z372,1,VLOOKUP(法术查询!$J$4,$AF$2:$AG$10,2,0)))&lt;&gt;"",IF(法术查询!$J$5="",1,$P372=VLOOKUP(法术查询!$J$5,$AH$2:$AI$11,2,0)),IF(法术查询!$J$6="",1,IF(法术查询!$J$6=$E372,1,0)),IF(法术查询!$J$7="",1,SEARCH(法术查询!$J$7,$F372)),IF(法术查询!$J$8="",1,SEARCH(法术查询!$J$8,G372)),IF(法术查询!$J$9="",1,SEARCH(法术查询!$J$9,N372)),IF(法术查询!$J$10="",1,IF(法术查询!$J$10=$AF$11,IF($M372=1,1,0),IF($M372="",1,0))),IF(法术查询!$J$11="",1,IF(法术查询!$J$11=$AF$11,IF($D372=1,1,0),IF($D372="",1,0))),IF(法术查询!$J$12="",1,SEARCH(法术查询!$J$12,$B372&amp;$C372&amp;$O372)),IF(法术查询!$J$13="",1,SEARCH(法术查询!$J$13,$B372&amp;$C372&amp;$O372)),IF(法术查询!$J$14="",1,SEARCH(法术查询!$J$14,$B372&amp;$C372&amp;$O372)),IF(法术查询!$J$16="",1,IF(法术查询!$J$16=$AF$11,IF($H372=1,1,0),IF($H372="",1,0))),IF(法术查询!$J$17="",1,IF(法术查询!$J$17=$AF$11,IF($I372=1,1,0),IF($I372="",1,0))),IF(法术查询!$J$18="",1,IF(法术查询!$J$18=$AF$11,IF($J372&lt;&gt;"",1,0),IF($J372="",1,0))),IF(法术查询!$J$19="",1,IF(法术查询!$J$19=$AF$11,IF($L372&lt;&gt;"",1,0),IF($L372="",1,0)))),$B372,""),"")</f>
        <v/>
      </c>
      <c r="AD371" s="180" t="str">
        <f t="array" ref="AD371">INDEX(AC:AC,SMALL(IF($AC$2:$AC$516&lt;&gt;"",ROW($2:$516),517),ROW(AC370)))&amp;""</f>
        <v/>
      </c>
      <c r="AE371" s="198" t="str">
        <f t="shared" si="9"/>
        <v/>
      </c>
    </row>
    <row r="372" spans="1:31" ht="14.4" customHeight="1" x14ac:dyDescent="0.25">
      <c r="A372" s="250">
        <v>370</v>
      </c>
      <c r="B372" s="119" t="s">
        <v>7885</v>
      </c>
      <c r="C372" s="119" t="s">
        <v>7886</v>
      </c>
      <c r="E372" s="435" t="s">
        <v>6312</v>
      </c>
      <c r="F372" s="180" t="s">
        <v>6352</v>
      </c>
      <c r="G372" s="180" t="s">
        <v>3682</v>
      </c>
      <c r="H372" s="180">
        <v>1</v>
      </c>
      <c r="I372" s="180">
        <v>1</v>
      </c>
      <c r="J372" s="180">
        <v>1</v>
      </c>
      <c r="K372" s="119" t="s">
        <v>7887</v>
      </c>
      <c r="M372" s="180">
        <v>1</v>
      </c>
      <c r="N372" s="180" t="s">
        <v>6306</v>
      </c>
      <c r="O372" s="119" t="s">
        <v>7888</v>
      </c>
      <c r="P372" s="119">
        <v>5</v>
      </c>
      <c r="Q372" s="119" t="s">
        <v>242</v>
      </c>
      <c r="V372" s="180">
        <v>1</v>
      </c>
      <c r="AA372" s="198"/>
      <c r="AB372" s="250" t="str">
        <f t="array" ref="AB372">INDEX(B:B,SMALL(IF($Q$3:$Q$517&lt;&gt;"",ROW($3:$517),518),ROW(B371)))&amp;""</f>
        <v>力场墙</v>
      </c>
      <c r="AC372" s="394" t="str">
        <f>IFERROR(IF(AND($Q373&lt;&gt;"",IF(法术查询!$J$4="",1,INDEX($R373:$Z373,1,VLOOKUP(法术查询!$J$4,$AF$2:$AG$10,2,0)))&lt;&gt;"",IF(法术查询!$J$5="",1,$P373=VLOOKUP(法术查询!$J$5,$AH$2:$AI$11,2,0)),IF(法术查询!$J$6="",1,IF(法术查询!$J$6=$E373,1,0)),IF(法术查询!$J$7="",1,SEARCH(法术查询!$J$7,$F373)),IF(法术查询!$J$8="",1,SEARCH(法术查询!$J$8,G373)),IF(法术查询!$J$9="",1,SEARCH(法术查询!$J$9,N373)),IF(法术查询!$J$10="",1,IF(法术查询!$J$10=$AF$11,IF($M373=1,1,0),IF($M373="",1,0))),IF(法术查询!$J$11="",1,IF(法术查询!$J$11=$AF$11,IF($D373=1,1,0),IF($D373="",1,0))),IF(法术查询!$J$12="",1,SEARCH(法术查询!$J$12,$B373&amp;$C373&amp;$O373)),IF(法术查询!$J$13="",1,SEARCH(法术查询!$J$13,$B373&amp;$C373&amp;$O373)),IF(法术查询!$J$14="",1,SEARCH(法术查询!$J$14,$B373&amp;$C373&amp;$O373)),IF(法术查询!$J$16="",1,IF(法术查询!$J$16=$AF$11,IF($H373=1,1,0),IF($H373="",1,0))),IF(法术查询!$J$17="",1,IF(法术查询!$J$17=$AF$11,IF($I373=1,1,0),IF($I373="",1,0))),IF(法术查询!$J$18="",1,IF(法术查询!$J$18=$AF$11,IF($J373&lt;&gt;"",1,0),IF($J373="",1,0))),IF(法术查询!$J$19="",1,IF(法术查询!$J$19=$AF$11,IF($L373&lt;&gt;"",1,0),IF($L373="",1,0)))),$B373,""),"")</f>
        <v/>
      </c>
      <c r="AD372" s="180" t="str">
        <f t="array" ref="AD372">INDEX(AC:AC,SMALL(IF($AC$2:$AC$516&lt;&gt;"",ROW($2:$516),517),ROW(AC371)))&amp;""</f>
        <v/>
      </c>
      <c r="AE372" s="198" t="str">
        <f t="shared" si="9"/>
        <v/>
      </c>
    </row>
    <row r="373" spans="1:31" ht="14.4" customHeight="1" x14ac:dyDescent="0.25">
      <c r="A373" s="250">
        <v>371</v>
      </c>
      <c r="B373" s="119" t="s">
        <v>7889</v>
      </c>
      <c r="C373" s="119" t="s">
        <v>7890</v>
      </c>
      <c r="E373" s="435" t="s">
        <v>6312</v>
      </c>
      <c r="F373" s="180" t="s">
        <v>6282</v>
      </c>
      <c r="G373" s="180" t="s">
        <v>6283</v>
      </c>
      <c r="H373" s="180">
        <v>1</v>
      </c>
      <c r="I373" s="180">
        <v>1</v>
      </c>
      <c r="M373" s="180">
        <v>1</v>
      </c>
      <c r="N373" s="180" t="s">
        <v>6471</v>
      </c>
      <c r="O373" s="119" t="s">
        <v>7891</v>
      </c>
      <c r="P373" s="119">
        <v>5</v>
      </c>
      <c r="Q373" s="119" t="s">
        <v>242</v>
      </c>
      <c r="W373" s="180">
        <v>1</v>
      </c>
      <c r="X373" s="180">
        <v>1</v>
      </c>
      <c r="AA373" s="120" t="s">
        <v>7892</v>
      </c>
      <c r="AB373" s="250" t="str">
        <f t="array" ref="AB373">INDEX(B:B,SMALL(IF($Q$3:$Q$517&lt;&gt;"",ROW($3:$517),518),ROW(B372)))&amp;""</f>
        <v>石墙术</v>
      </c>
      <c r="AC373" s="394" t="str">
        <f>IFERROR(IF(AND($Q374&lt;&gt;"",IF(法术查询!$J$4="",1,INDEX($R374:$Z374,1,VLOOKUP(法术查询!$J$4,$AF$2:$AG$10,2,0)))&lt;&gt;"",IF(法术查询!$J$5="",1,$P374=VLOOKUP(法术查询!$J$5,$AH$2:$AI$11,2,0)),IF(法术查询!$J$6="",1,IF(法术查询!$J$6=$E374,1,0)),IF(法术查询!$J$7="",1,SEARCH(法术查询!$J$7,$F374)),IF(法术查询!$J$8="",1,SEARCH(法术查询!$J$8,G374)),IF(法术查询!$J$9="",1,SEARCH(法术查询!$J$9,N374)),IF(法术查询!$J$10="",1,IF(法术查询!$J$10=$AF$11,IF($M374=1,1,0),IF($M374="",1,0))),IF(法术查询!$J$11="",1,IF(法术查询!$J$11=$AF$11,IF($D374=1,1,0),IF($D374="",1,0))),IF(法术查询!$J$12="",1,SEARCH(法术查询!$J$12,$B374&amp;$C374&amp;$O374)),IF(法术查询!$J$13="",1,SEARCH(法术查询!$J$13,$B374&amp;$C374&amp;$O374)),IF(法术查询!$J$14="",1,SEARCH(法术查询!$J$14,$B374&amp;$C374&amp;$O374)),IF(法术查询!$J$16="",1,IF(法术查询!$J$16=$AF$11,IF($H374=1,1,0),IF($H374="",1,0))),IF(法术查询!$J$17="",1,IF(法术查询!$J$17=$AF$11,IF($I374=1,1,0),IF($I374="",1,0))),IF(法术查询!$J$18="",1,IF(法术查询!$J$18=$AF$11,IF($J374&lt;&gt;"",1,0),IF($J374="",1,0))),IF(法术查询!$J$19="",1,IF(法术查询!$J$19=$AF$11,IF($L374&lt;&gt;"",1,0),IF($L374="",1,0)))),$B374,""),"")</f>
        <v/>
      </c>
      <c r="AD373" s="180" t="str">
        <f t="array" ref="AD373">INDEX(AC:AC,SMALL(IF($AC$2:$AC$516&lt;&gt;"",ROW($2:$516),517),ROW(AC372)))&amp;""</f>
        <v/>
      </c>
      <c r="AE373" s="198" t="str">
        <f t="shared" si="9"/>
        <v/>
      </c>
    </row>
    <row r="374" spans="1:31" ht="14.4" customHeight="1" x14ac:dyDescent="0.25">
      <c r="A374" s="250">
        <v>372</v>
      </c>
      <c r="B374" s="119" t="s">
        <v>7893</v>
      </c>
      <c r="C374" s="119" t="s">
        <v>7894</v>
      </c>
      <c r="E374" s="378" t="s">
        <v>6281</v>
      </c>
      <c r="F374" s="180" t="s">
        <v>6349</v>
      </c>
      <c r="G374" s="180" t="s">
        <v>6370</v>
      </c>
      <c r="H374" s="180">
        <v>1</v>
      </c>
      <c r="J374" s="180">
        <v>1</v>
      </c>
      <c r="L374" s="119" t="s">
        <v>7895</v>
      </c>
      <c r="N374" s="180" t="s">
        <v>6292</v>
      </c>
      <c r="O374" s="119" t="s">
        <v>7896</v>
      </c>
      <c r="P374" s="119">
        <v>5</v>
      </c>
      <c r="Q374" s="119" t="s">
        <v>242</v>
      </c>
      <c r="R374" s="180">
        <v>1</v>
      </c>
      <c r="W374" s="180">
        <v>1</v>
      </c>
      <c r="X374" s="180">
        <v>1</v>
      </c>
      <c r="Y374" s="180" t="str">
        <f>IF(综合数据!$B$14=TRUE,"13","")</f>
        <v>13</v>
      </c>
      <c r="AA374" s="120" t="s">
        <v>7897</v>
      </c>
      <c r="AB374" s="250" t="str">
        <f t="array" ref="AB374">INDEX(B:B,SMALL(IF($Q$3:$Q$517&lt;&gt;"",ROW($3:$517),518),ROW(B373)))&amp;""</f>
        <v>操控风力</v>
      </c>
      <c r="AC374" s="394" t="str">
        <f>IFERROR(IF(AND($Q375&lt;&gt;"",IF(法术查询!$J$4="",1,INDEX($R375:$Z375,1,VLOOKUP(法术查询!$J$4,$AF$2:$AG$10,2,0)))&lt;&gt;"",IF(法术查询!$J$5="",1,$P375=VLOOKUP(法术查询!$J$5,$AH$2:$AI$11,2,0)),IF(法术查询!$J$6="",1,IF(法术查询!$J$6=$E375,1,0)),IF(法术查询!$J$7="",1,SEARCH(法术查询!$J$7,$F375)),IF(法术查询!$J$8="",1,SEARCH(法术查询!$J$8,G375)),IF(法术查询!$J$9="",1,SEARCH(法术查询!$J$9,N375)),IF(法术查询!$J$10="",1,IF(法术查询!$J$10=$AF$11,IF($M375=1,1,0),IF($M375="",1,0))),IF(法术查询!$J$11="",1,IF(法术查询!$J$11=$AF$11,IF($D375=1,1,0),IF($D375="",1,0))),IF(法术查询!$J$12="",1,SEARCH(法术查询!$J$12,$B375&amp;$C375&amp;$O375)),IF(法术查询!$J$13="",1,SEARCH(法术查询!$J$13,$B375&amp;$C375&amp;$O375)),IF(法术查询!$J$14="",1,SEARCH(法术查询!$J$14,$B375&amp;$C375&amp;$O375)),IF(法术查询!$J$16="",1,IF(法术查询!$J$16=$AF$11,IF($H375=1,1,0),IF($H375="",1,0))),IF(法术查询!$J$17="",1,IF(法术查询!$J$17=$AF$11,IF($I375=1,1,0),IF($I375="",1,0))),IF(法术查询!$J$18="",1,IF(法术查询!$J$18=$AF$11,IF($J375&lt;&gt;"",1,0),IF($J375="",1,0))),IF(法术查询!$J$19="",1,IF(法术查询!$J$19=$AF$11,IF($L375&lt;&gt;"",1,0),IF($L375="",1,0)))),$B375,""),"")</f>
        <v>树跃术</v>
      </c>
      <c r="AD374" s="180" t="str">
        <f t="array" ref="AD374">INDEX(AC:AC,SMALL(IF($AC$2:$AC$516&lt;&gt;"",ROW($2:$516),517),ROW(AC373)))&amp;""</f>
        <v/>
      </c>
      <c r="AE374" s="198" t="str">
        <f t="shared" si="9"/>
        <v/>
      </c>
    </row>
    <row r="375" spans="1:31" ht="14.4" customHeight="1" x14ac:dyDescent="0.25">
      <c r="A375" s="250">
        <v>373</v>
      </c>
      <c r="B375" s="119" t="s">
        <v>7898</v>
      </c>
      <c r="C375" s="119" t="s">
        <v>7899</v>
      </c>
      <c r="E375" s="378" t="s">
        <v>6281</v>
      </c>
      <c r="F375" s="180" t="s">
        <v>6282</v>
      </c>
      <c r="G375" s="180" t="s">
        <v>6291</v>
      </c>
      <c r="H375" s="180">
        <v>1</v>
      </c>
      <c r="I375" s="180">
        <v>1</v>
      </c>
      <c r="M375" s="180">
        <v>1</v>
      </c>
      <c r="N375" s="180" t="s">
        <v>6306</v>
      </c>
      <c r="O375" s="119" t="s">
        <v>7900</v>
      </c>
      <c r="P375" s="119">
        <v>5</v>
      </c>
      <c r="Q375" s="119" t="s">
        <v>242</v>
      </c>
      <c r="T375" s="180">
        <v>1</v>
      </c>
      <c r="V375" s="180">
        <v>1</v>
      </c>
      <c r="AA375" s="120" t="s">
        <v>7901</v>
      </c>
      <c r="AB375" s="250" t="str">
        <f t="array" ref="AB375">INDEX(B:B,SMALL(IF($Q$3:$Q$517&lt;&gt;"",ROW($3:$517),518),ROW(B374)))&amp;""</f>
        <v>骷髅之舞</v>
      </c>
      <c r="AC375" s="394" t="str">
        <f>IFERROR(IF(AND($Q376&lt;&gt;"",IF(法术查询!$J$4="",1,INDEX($R376:$Z376,1,VLOOKUP(法术查询!$J$4,$AF$2:$AG$10,2,0)))&lt;&gt;"",IF(法术查询!$J$5="",1,$P376=VLOOKUP(法术查询!$J$5,$AH$2:$AI$11,2,0)),IF(法术查询!$J$6="",1,IF(法术查询!$J$6=$E376,1,0)),IF(法术查询!$J$7="",1,SEARCH(法术查询!$J$7,$F376)),IF(法术查询!$J$8="",1,SEARCH(法术查询!$J$8,G376)),IF(法术查询!$J$9="",1,SEARCH(法术查询!$J$9,N376)),IF(法术查询!$J$10="",1,IF(法术查询!$J$10=$AF$11,IF($M376=1,1,0),IF($M376="",1,0))),IF(法术查询!$J$11="",1,IF(法术查询!$J$11=$AF$11,IF($D376=1,1,0),IF($D376="",1,0))),IF(法术查询!$J$12="",1,SEARCH(法术查询!$J$12,$B376&amp;$C376&amp;$O376)),IF(法术查询!$J$13="",1,SEARCH(法术查询!$J$13,$B376&amp;$C376&amp;$O376)),IF(法术查询!$J$14="",1,SEARCH(法术查询!$J$14,$B376&amp;$C376&amp;$O376)),IF(法术查询!$J$16="",1,IF(法术查询!$J$16=$AF$11,IF($H376=1,1,0),IF($H376="",1,0))),IF(法术查询!$J$17="",1,IF(法术查询!$J$17=$AF$11,IF($I376=1,1,0),IF($I376="",1,0))),IF(法术查询!$J$18="",1,IF(法术查询!$J$18=$AF$11,IF($J376&lt;&gt;"",1,0),IF($J376="",1,0))),IF(法术查询!$J$19="",1,IF(法术查询!$J$19=$AF$11,IF($L376&lt;&gt;"",1,0),IF($L376="",1,0)))),$B376,""),"")</f>
        <v/>
      </c>
      <c r="AD375" s="180" t="str">
        <f t="array" ref="AD375">INDEX(AC:AC,SMALL(IF($AC$2:$AC$516&lt;&gt;"",ROW($2:$516),517),ROW(AC374)))&amp;""</f>
        <v/>
      </c>
      <c r="AE375" s="198" t="str">
        <f t="shared" si="9"/>
        <v/>
      </c>
    </row>
    <row r="376" spans="1:31" ht="14.4" customHeight="1" x14ac:dyDescent="0.25">
      <c r="A376" s="250">
        <v>374</v>
      </c>
      <c r="B376" s="119" t="s">
        <v>7902</v>
      </c>
      <c r="C376" s="119" t="s">
        <v>7903</v>
      </c>
      <c r="E376" s="434" t="s">
        <v>6304</v>
      </c>
      <c r="F376" s="180" t="s">
        <v>6282</v>
      </c>
      <c r="G376" s="180" t="s">
        <v>6298</v>
      </c>
      <c r="H376" s="180">
        <v>1</v>
      </c>
      <c r="I376" s="180">
        <v>1</v>
      </c>
      <c r="J376" s="180">
        <v>1</v>
      </c>
      <c r="K376" s="119" t="s">
        <v>7904</v>
      </c>
      <c r="M376" s="180">
        <v>1</v>
      </c>
      <c r="N376" s="180" t="s">
        <v>6471</v>
      </c>
      <c r="O376" s="119" t="s">
        <v>7905</v>
      </c>
      <c r="P376" s="119">
        <v>5</v>
      </c>
      <c r="Q376" s="119" t="s">
        <v>242</v>
      </c>
      <c r="X376" s="180">
        <v>1</v>
      </c>
      <c r="AA376" s="120" t="s">
        <v>7906</v>
      </c>
      <c r="AB376" s="250" t="str">
        <f t="array" ref="AB376">INDEX(B:B,SMALL(IF($Q$3:$Q$517&lt;&gt;"",ROW($3:$517),518),ROW(B375)))&amp;""</f>
        <v>拂晓</v>
      </c>
      <c r="AC376" s="394" t="str">
        <f>IFERROR(IF(AND($Q377&lt;&gt;"",IF(法术查询!$J$4="",1,INDEX($R377:$Z377,1,VLOOKUP(法术查询!$J$4,$AF$2:$AG$10,2,0)))&lt;&gt;"",IF(法术查询!$J$5="",1,$P377=VLOOKUP(法术查询!$J$5,$AH$2:$AI$11,2,0)),IF(法术查询!$J$6="",1,IF(法术查询!$J$6=$E377,1,0)),IF(法术查询!$J$7="",1,SEARCH(法术查询!$J$7,$F377)),IF(法术查询!$J$8="",1,SEARCH(法术查询!$J$8,G377)),IF(法术查询!$J$9="",1,SEARCH(法术查询!$J$9,N377)),IF(法术查询!$J$10="",1,IF(法术查询!$J$10=$AF$11,IF($M377=1,1,0),IF($M377="",1,0))),IF(法术查询!$J$11="",1,IF(法术查询!$J$11=$AF$11,IF($D377=1,1,0),IF($D377="",1,0))),IF(法术查询!$J$12="",1,SEARCH(法术查询!$J$12,$B377&amp;$C377&amp;$O377)),IF(法术查询!$J$13="",1,SEARCH(法术查询!$J$13,$B377&amp;$C377&amp;$O377)),IF(法术查询!$J$14="",1,SEARCH(法术查询!$J$14,$B377&amp;$C377&amp;$O377)),IF(法术查询!$J$16="",1,IF(法术查询!$J$16=$AF$11,IF($H377=1,1,0),IF($H377="",1,0))),IF(法术查询!$J$17="",1,IF(法术查询!$J$17=$AF$11,IF($I377=1,1,0),IF($I377="",1,0))),IF(法术查询!$J$18="",1,IF(法术查询!$J$18=$AF$11,IF($J377&lt;&gt;"",1,0),IF($J377="",1,0))),IF(法术查询!$J$19="",1,IF(法术查询!$J$19=$AF$11,IF($L377&lt;&gt;"",1,0),IF($L377="",1,0)))),$B377,""),"")</f>
        <v>石墙术</v>
      </c>
      <c r="AD376" s="180" t="str">
        <f t="array" ref="AD376">INDEX(AC:AC,SMALL(IF($AC$2:$AC$516&lt;&gt;"",ROW($2:$516),517),ROW(AC375)))&amp;""</f>
        <v/>
      </c>
      <c r="AE376" s="198" t="str">
        <f t="shared" si="9"/>
        <v/>
      </c>
    </row>
    <row r="377" spans="1:31" ht="14.4" customHeight="1" x14ac:dyDescent="0.25">
      <c r="A377" s="250">
        <v>375</v>
      </c>
      <c r="B377" s="119" t="s">
        <v>7907</v>
      </c>
      <c r="C377" s="119" t="s">
        <v>7908</v>
      </c>
      <c r="E377" s="434" t="s">
        <v>6304</v>
      </c>
      <c r="F377" s="180" t="s">
        <v>6282</v>
      </c>
      <c r="G377" s="180" t="s">
        <v>6298</v>
      </c>
      <c r="H377" s="180">
        <v>1</v>
      </c>
      <c r="I377" s="180">
        <v>1</v>
      </c>
      <c r="J377" s="180">
        <v>1</v>
      </c>
      <c r="K377" s="119" t="s">
        <v>7909</v>
      </c>
      <c r="M377" s="180">
        <v>1</v>
      </c>
      <c r="N377" s="180" t="s">
        <v>6471</v>
      </c>
      <c r="O377" s="119" t="s">
        <v>7910</v>
      </c>
      <c r="P377" s="119">
        <v>5</v>
      </c>
      <c r="Q377" s="119" t="s">
        <v>242</v>
      </c>
      <c r="T377" s="180">
        <v>1</v>
      </c>
      <c r="W377" s="180">
        <v>1</v>
      </c>
      <c r="X377" s="180">
        <v>1</v>
      </c>
      <c r="Z377" s="180">
        <v>9</v>
      </c>
      <c r="AA377" s="120" t="s">
        <v>7911</v>
      </c>
      <c r="AB377" s="250" t="str">
        <f t="array" ref="AB377">INDEX(B:B,SMALL(IF($Q$3:$Q$517&lt;&gt;"",ROW($3:$517),518),ROW(B376)))&amp;""</f>
        <v>汲能术</v>
      </c>
      <c r="AC377" s="394" t="str">
        <f>IFERROR(IF(AND($Q378&lt;&gt;"",IF(法术查询!$J$4="",1,INDEX($R378:$Z378,1,VLOOKUP(法术查询!$J$4,$AF$2:$AG$10,2,0)))&lt;&gt;"",IF(法术查询!$J$5="",1,$P378=VLOOKUP(法术查询!$J$5,$AH$2:$AI$11,2,0)),IF(法术查询!$J$6="",1,IF(法术查询!$J$6=$E378,1,0)),IF(法术查询!$J$7="",1,SEARCH(法术查询!$J$7,$F378)),IF(法术查询!$J$8="",1,SEARCH(法术查询!$J$8,G378)),IF(法术查询!$J$9="",1,SEARCH(法术查询!$J$9,N378)),IF(法术查询!$J$10="",1,IF(法术查询!$J$10=$AF$11,IF($M378=1,1,0),IF($M378="",1,0))),IF(法术查询!$J$11="",1,IF(法术查询!$J$11=$AF$11,IF($D378=1,1,0),IF($D378="",1,0))),IF(法术查询!$J$12="",1,SEARCH(法术查询!$J$12,$B378&amp;$C378&amp;$O378)),IF(法术查询!$J$13="",1,SEARCH(法术查询!$J$13,$B378&amp;$C378&amp;$O378)),IF(法术查询!$J$14="",1,SEARCH(法术查询!$J$14,$B378&amp;$C378&amp;$O378)),IF(法术查询!$J$16="",1,IF(法术查询!$J$16=$AF$11,IF($H378=1,1,0),IF($H378="",1,0))),IF(法术查询!$J$17="",1,IF(法术查询!$J$17=$AF$11,IF($I378=1,1,0),IF($I378="",1,0))),IF(法术查询!$J$18="",1,IF(法术查询!$J$18=$AF$11,IF($J378&lt;&gt;"",1,0),IF($J378="",1,0))),IF(法术查询!$J$19="",1,IF(法术查询!$J$19=$AF$11,IF($L378&lt;&gt;"",1,0),IF($L378="",1,0)))),$B378,""),"")</f>
        <v>操控风力</v>
      </c>
      <c r="AD377" s="180" t="str">
        <f t="array" ref="AD377">INDEX(AC:AC,SMALL(IF($AC$2:$AC$516&lt;&gt;"",ROW($2:$516),517),ROW(AC376)))&amp;""</f>
        <v/>
      </c>
      <c r="AE377" s="198" t="str">
        <f t="shared" si="9"/>
        <v/>
      </c>
    </row>
    <row r="378" spans="1:31" ht="14.4" customHeight="1" x14ac:dyDescent="0.25">
      <c r="A378" s="250">
        <v>376</v>
      </c>
      <c r="B378" s="119" t="s">
        <v>7912</v>
      </c>
      <c r="C378" s="119" t="s">
        <v>7913</v>
      </c>
      <c r="E378" s="435" t="s">
        <v>6312</v>
      </c>
      <c r="F378" s="180" t="s">
        <v>6282</v>
      </c>
      <c r="G378" s="180" t="s">
        <v>6426</v>
      </c>
      <c r="H378" s="180">
        <v>1</v>
      </c>
      <c r="I378" s="180">
        <v>1</v>
      </c>
      <c r="K378" s="119"/>
      <c r="M378" s="180">
        <v>1</v>
      </c>
      <c r="N378" s="180" t="s">
        <v>6379</v>
      </c>
      <c r="O378" s="119" t="s">
        <v>7914</v>
      </c>
      <c r="P378" s="119">
        <v>5</v>
      </c>
      <c r="Q378" s="251" t="str">
        <f>IF(综合数据!$B$7=TRUE,"XGE","")</f>
        <v>XGE</v>
      </c>
      <c r="T378" s="180">
        <v>6</v>
      </c>
      <c r="W378" s="180">
        <v>6</v>
      </c>
      <c r="X378" s="180">
        <v>6</v>
      </c>
      <c r="AA378" s="198"/>
      <c r="AB378" s="250" t="str">
        <f t="array" ref="AB378">INDEX(B:B,SMALL(IF($Q$3:$Q$517&lt;&gt;"",ROW($3:$517),518),ROW(B377)))&amp;""</f>
        <v>渺远步</v>
      </c>
      <c r="AC378" s="394" t="str">
        <f>IFERROR(IF(AND($Q379&lt;&gt;"",IF(法术查询!$J$4="",1,INDEX($R379:$Z379,1,VLOOKUP(法术查询!$J$4,$AF$2:$AG$10,2,0)))&lt;&gt;"",IF(法术查询!$J$5="",1,$P379=VLOOKUP(法术查询!$J$5,$AH$2:$AI$11,2,0)),IF(法术查询!$J$6="",1,IF(法术查询!$J$6=$E379,1,0)),IF(法术查询!$J$7="",1,SEARCH(法术查询!$J$7,$F379)),IF(法术查询!$J$8="",1,SEARCH(法术查询!$J$8,G379)),IF(法术查询!$J$9="",1,SEARCH(法术查询!$J$9,N379)),IF(法术查询!$J$10="",1,IF(法术查询!$J$10=$AF$11,IF($M379=1,1,0),IF($M379="",1,0))),IF(法术查询!$J$11="",1,IF(法术查询!$J$11=$AF$11,IF($D379=1,1,0),IF($D379="",1,0))),IF(法术查询!$J$12="",1,SEARCH(法术查询!$J$12,$B379&amp;$C379&amp;$O379)),IF(法术查询!$J$13="",1,SEARCH(法术查询!$J$13,$B379&amp;$C379&amp;$O379)),IF(法术查询!$J$14="",1,SEARCH(法术查询!$J$14,$B379&amp;$C379&amp;$O379)),IF(法术查询!$J$16="",1,IF(法术查询!$J$16=$AF$11,IF($H379=1,1,0),IF($H379="",1,0))),IF(法术查询!$J$17="",1,IF(法术查询!$J$17=$AF$11,IF($I379=1,1,0),IF($I379="",1,0))),IF(法术查询!$J$18="",1,IF(法术查询!$J$18=$AF$11,IF($J379&lt;&gt;"",1,0),IF($J379="",1,0))),IF(法术查询!$J$19="",1,IF(法术查询!$J$19=$AF$11,IF($L379&lt;&gt;"",1,0),IF($L379="",1,0)))),$B379,""),"")</f>
        <v/>
      </c>
      <c r="AD378" s="180" t="str">
        <f t="array" ref="AD378">INDEX(AC:AC,SMALL(IF($AC$2:$AC$516&lt;&gt;"",ROW($2:$516),517),ROW(AC377)))&amp;""</f>
        <v/>
      </c>
      <c r="AE378" s="198" t="str">
        <f t="shared" si="9"/>
        <v/>
      </c>
    </row>
    <row r="379" spans="1:31" ht="14.4" customHeight="1" x14ac:dyDescent="0.25">
      <c r="A379" s="250">
        <v>377</v>
      </c>
      <c r="B379" s="119" t="s">
        <v>7915</v>
      </c>
      <c r="C379" s="119" t="s">
        <v>7916</v>
      </c>
      <c r="E379" s="441" t="s">
        <v>6297</v>
      </c>
      <c r="F379" s="180" t="s">
        <v>6282</v>
      </c>
      <c r="G379" s="180" t="s">
        <v>6283</v>
      </c>
      <c r="H379" s="180">
        <v>1</v>
      </c>
      <c r="I379" s="180">
        <v>1</v>
      </c>
      <c r="K379" s="119"/>
      <c r="M379" s="180">
        <v>1</v>
      </c>
      <c r="N379" s="180" t="s">
        <v>6379</v>
      </c>
      <c r="O379" s="119" t="s">
        <v>7917</v>
      </c>
      <c r="P379" s="119">
        <v>5</v>
      </c>
      <c r="Q379" s="251" t="str">
        <f>IF(综合数据!$B$7=TRUE,"XGE","")</f>
        <v>XGE</v>
      </c>
      <c r="X379" s="180">
        <v>6</v>
      </c>
      <c r="Y379" s="180">
        <v>6</v>
      </c>
      <c r="AA379" s="198"/>
      <c r="AB379" s="250" t="str">
        <f t="array" ref="AB379">INDEX(B:B,SMALL(IF($Q$3:$Q$517&lt;&gt;"",ROW($3:$517),518),ROW(B378)))&amp;""</f>
        <v>神圣武器</v>
      </c>
      <c r="AC379" s="394" t="str">
        <f>IFERROR(IF(AND($Q380&lt;&gt;"",IF(法术查询!$J$4="",1,INDEX($R380:$Z380,1,VLOOKUP(法术查询!$J$4,$AF$2:$AG$10,2,0)))&lt;&gt;"",IF(法术查询!$J$5="",1,$P380=VLOOKUP(法术查询!$J$5,$AH$2:$AI$11,2,0)),IF(法术查询!$J$6="",1,IF(法术查询!$J$6=$E380,1,0)),IF(法术查询!$J$7="",1,SEARCH(法术查询!$J$7,$F380)),IF(法术查询!$J$8="",1,SEARCH(法术查询!$J$8,G380)),IF(法术查询!$J$9="",1,SEARCH(法术查询!$J$9,N380)),IF(法术查询!$J$10="",1,IF(法术查询!$J$10=$AF$11,IF($M380=1,1,0),IF($M380="",1,0))),IF(法术查询!$J$11="",1,IF(法术查询!$J$11=$AF$11,IF($D380=1,1,0),IF($D380="",1,0))),IF(法术查询!$J$12="",1,SEARCH(法术查询!$J$12,$B380&amp;$C380&amp;$O380)),IF(法术查询!$J$13="",1,SEARCH(法术查询!$J$13,$B380&amp;$C380&amp;$O380)),IF(法术查询!$J$14="",1,SEARCH(法术查询!$J$14,$B380&amp;$C380&amp;$O380)),IF(法术查询!$J$16="",1,IF(法术查询!$J$16=$AF$11,IF($H380=1,1,0),IF($H380="",1,0))),IF(法术查询!$J$17="",1,IF(法术查询!$J$17=$AF$11,IF($I380=1,1,0),IF($I380="",1,0))),IF(法术查询!$J$18="",1,IF(法术查询!$J$18=$AF$11,IF($J380&lt;&gt;"",1,0),IF($J380="",1,0))),IF(法术查询!$J$19="",1,IF(法术查询!$J$19=$AF$11,IF($L380&lt;&gt;"",1,0),IF($L380="",1,0)))),$B380,""),"")</f>
        <v/>
      </c>
      <c r="AD379" s="180" t="str">
        <f t="array" ref="AD379">INDEX(AC:AC,SMALL(IF($AC$2:$AC$516&lt;&gt;"",ROW($2:$516),517),ROW(AC378)))&amp;""</f>
        <v/>
      </c>
      <c r="AE379" s="198" t="str">
        <f t="shared" si="9"/>
        <v/>
      </c>
    </row>
    <row r="380" spans="1:31" ht="14.4" customHeight="1" x14ac:dyDescent="0.25">
      <c r="A380" s="250">
        <v>378</v>
      </c>
      <c r="B380" s="119" t="s">
        <v>7918</v>
      </c>
      <c r="C380" s="119" t="s">
        <v>7919</v>
      </c>
      <c r="E380" s="434" t="s">
        <v>6304</v>
      </c>
      <c r="F380" s="180" t="s">
        <v>6282</v>
      </c>
      <c r="G380" s="180" t="s">
        <v>6283</v>
      </c>
      <c r="H380" s="180">
        <v>1</v>
      </c>
      <c r="I380" s="180">
        <v>1</v>
      </c>
      <c r="J380" s="180">
        <v>1</v>
      </c>
      <c r="K380" s="119" t="s">
        <v>7920</v>
      </c>
      <c r="M380" s="180">
        <v>1</v>
      </c>
      <c r="N380" s="180" t="s">
        <v>6306</v>
      </c>
      <c r="O380" s="119" t="s">
        <v>7921</v>
      </c>
      <c r="P380" s="119">
        <v>5</v>
      </c>
      <c r="Q380" s="251" t="str">
        <f>IF(综合数据!$B$7=TRUE,"XGE","")</f>
        <v>XGE</v>
      </c>
      <c r="S380" s="180">
        <v>6</v>
      </c>
      <c r="X380" s="180">
        <v>6</v>
      </c>
      <c r="AA380" s="198"/>
      <c r="AB380" s="250" t="str">
        <f t="array" ref="AB380">INDEX(B:B,SMALL(IF($Q$3:$Q$517&lt;&gt;"",ROW($3:$517),518),ROW(B379)))&amp;""</f>
        <v>焚烧</v>
      </c>
      <c r="AC380" s="394" t="str">
        <f>IFERROR(IF(AND($Q381&lt;&gt;"",IF(法术查询!$J$4="",1,INDEX($R381:$Z381,1,VLOOKUP(法术查询!$J$4,$AF$2:$AG$10,2,0)))&lt;&gt;"",IF(法术查询!$J$5="",1,$P381=VLOOKUP(法术查询!$J$5,$AH$2:$AI$11,2,0)),IF(法术查询!$J$6="",1,IF(法术查询!$J$6=$E381,1,0)),IF(法术查询!$J$7="",1,SEARCH(法术查询!$J$7,$F381)),IF(法术查询!$J$8="",1,SEARCH(法术查询!$J$8,G381)),IF(法术查询!$J$9="",1,SEARCH(法术查询!$J$9,N381)),IF(法术查询!$J$10="",1,IF(法术查询!$J$10=$AF$11,IF($M381=1,1,0),IF($M381="",1,0))),IF(法术查询!$J$11="",1,IF(法术查询!$J$11=$AF$11,IF($D381=1,1,0),IF($D381="",1,0))),IF(法术查询!$J$12="",1,SEARCH(法术查询!$J$12,$B381&amp;$C381&amp;$O381)),IF(法术查询!$J$13="",1,SEARCH(法术查询!$J$13,$B381&amp;$C381&amp;$O381)),IF(法术查询!$J$14="",1,SEARCH(法术查询!$J$14,$B381&amp;$C381&amp;$O381)),IF(法术查询!$J$16="",1,IF(法术查询!$J$16=$AF$11,IF($H381=1,1,0),IF($H381="",1,0))),IF(法术查询!$J$17="",1,IF(法术查询!$J$17=$AF$11,IF($I381=1,1,0),IF($I381="",1,0))),IF(法术查询!$J$18="",1,IF(法术查询!$J$18=$AF$11,IF($J381&lt;&gt;"",1,0),IF($J381="",1,0))),IF(法术查询!$J$19="",1,IF(法术查询!$J$19=$AF$11,IF($L381&lt;&gt;"",1,0),IF($L381="",1,0)))),$B381,""),"")</f>
        <v/>
      </c>
      <c r="AD380" s="180" t="str">
        <f t="array" ref="AD380">INDEX(AC:AC,SMALL(IF($AC$2:$AC$516&lt;&gt;"",ROW($2:$516),517),ROW(AC379)))&amp;""</f>
        <v/>
      </c>
      <c r="AE380" s="198" t="str">
        <f t="shared" si="9"/>
        <v/>
      </c>
    </row>
    <row r="381" spans="1:31" ht="14.4" customHeight="1" x14ac:dyDescent="0.25">
      <c r="A381" s="250">
        <v>379</v>
      </c>
      <c r="B381" s="119" t="s">
        <v>7922</v>
      </c>
      <c r="C381" s="119" t="s">
        <v>7923</v>
      </c>
      <c r="E381" s="441" t="s">
        <v>6297</v>
      </c>
      <c r="F381" s="180" t="s">
        <v>6282</v>
      </c>
      <c r="G381" s="180" t="s">
        <v>6283</v>
      </c>
      <c r="H381" s="180">
        <v>1</v>
      </c>
      <c r="I381" s="180">
        <v>1</v>
      </c>
      <c r="K381" s="119"/>
      <c r="M381" s="180">
        <v>1</v>
      </c>
      <c r="N381" s="180" t="s">
        <v>6306</v>
      </c>
      <c r="O381" s="119" t="s">
        <v>7924</v>
      </c>
      <c r="P381" s="119">
        <v>5</v>
      </c>
      <c r="Q381" s="251" t="str">
        <f>IF(综合数据!$B$7=TRUE,"XGE","")</f>
        <v>XGE</v>
      </c>
      <c r="W381" s="180">
        <v>6</v>
      </c>
      <c r="X381" s="180">
        <v>6</v>
      </c>
      <c r="Y381" s="180">
        <v>6</v>
      </c>
      <c r="AA381" s="198"/>
      <c r="AB381" s="250" t="str">
        <f t="array" ref="AB381">INDEX(B:B,SMALL(IF($Q$3:$Q$517&lt;&gt;"",ROW($3:$517),518),ROW(B380)))&amp;""</f>
        <v>地狱呼唤</v>
      </c>
      <c r="AC381" s="394" t="str">
        <f>IFERROR(IF(AND($Q382&lt;&gt;"",IF(法术查询!$J$4="",1,INDEX($R382:$Z382,1,VLOOKUP(法术查询!$J$4,$AF$2:$AG$10,2,0)))&lt;&gt;"",IF(法术查询!$J$5="",1,$P382=VLOOKUP(法术查询!$J$5,$AH$2:$AI$11,2,0)),IF(法术查询!$J$6="",1,IF(法术查询!$J$6=$E382,1,0)),IF(法术查询!$J$7="",1,SEARCH(法术查询!$J$7,$F382)),IF(法术查询!$J$8="",1,SEARCH(法术查询!$J$8,G382)),IF(法术查询!$J$9="",1,SEARCH(法术查询!$J$9,N382)),IF(法术查询!$J$10="",1,IF(法术查询!$J$10=$AF$11,IF($M382=1,1,0),IF($M382="",1,0))),IF(法术查询!$J$11="",1,IF(法术查询!$J$11=$AF$11,IF($D382=1,1,0),IF($D382="",1,0))),IF(法术查询!$J$12="",1,SEARCH(法术查询!$J$12,$B382&amp;$C382&amp;$O382)),IF(法术查询!$J$13="",1,SEARCH(法术查询!$J$13,$B382&amp;$C382&amp;$O382)),IF(法术查询!$J$14="",1,SEARCH(法术查询!$J$14,$B382&amp;$C382&amp;$O382)),IF(法术查询!$J$16="",1,IF(法术查询!$J$16=$AF$11,IF($H382=1,1,0),IF($H382="",1,0))),IF(法术查询!$J$17="",1,IF(法术查询!$J$17=$AF$11,IF($I382=1,1,0),IF($I382="",1,0))),IF(法术查询!$J$18="",1,IF(法术查询!$J$18=$AF$11,IF($J382&lt;&gt;"",1,0),IF($J382="",1,0))),IF(法术查询!$J$19="",1,IF(法术查询!$J$19=$AF$11,IF($L382&lt;&gt;"",1,0),IF($L382="",1,0)))),$B382,""),"")</f>
        <v/>
      </c>
      <c r="AD381" s="180" t="str">
        <f t="array" ref="AD381">INDEX(AC:AC,SMALL(IF($AC$2:$AC$516&lt;&gt;"",ROW($2:$516),517),ROW(AC380)))&amp;""</f>
        <v/>
      </c>
      <c r="AE381" s="198" t="str">
        <f t="shared" si="9"/>
        <v/>
      </c>
    </row>
    <row r="382" spans="1:31" ht="14.4" customHeight="1" x14ac:dyDescent="0.25">
      <c r="A382" s="250">
        <v>380</v>
      </c>
      <c r="B382" s="119" t="s">
        <v>7925</v>
      </c>
      <c r="C382" s="119" t="s">
        <v>7926</v>
      </c>
      <c r="E382" s="378" t="s">
        <v>6281</v>
      </c>
      <c r="F382" s="180" t="s">
        <v>6352</v>
      </c>
      <c r="G382" s="180" t="s">
        <v>6291</v>
      </c>
      <c r="H382" s="180">
        <v>1</v>
      </c>
      <c r="K382" s="119"/>
      <c r="M382" s="180">
        <v>1</v>
      </c>
      <c r="N382" s="180" t="s">
        <v>6306</v>
      </c>
      <c r="O382" s="119" t="s">
        <v>7927</v>
      </c>
      <c r="P382" s="119">
        <v>5</v>
      </c>
      <c r="Q382" s="251" t="str">
        <f>IF(综合数据!$B$7=TRUE,"XGE","")</f>
        <v>XGE</v>
      </c>
      <c r="W382" s="180">
        <v>6</v>
      </c>
      <c r="X382" s="180">
        <v>6</v>
      </c>
      <c r="Y382" s="180">
        <v>6</v>
      </c>
      <c r="AA382" s="198"/>
      <c r="AB382" s="250" t="str">
        <f t="array" ref="AB382">INDEX(B:B,SMALL(IF($Q$3:$Q$517&lt;&gt;"",ROW($3:$517),518),ROW(B381)))&amp;""</f>
        <v>大漩涡</v>
      </c>
      <c r="AC382" s="394" t="str">
        <f>IFERROR(IF(AND($Q383&lt;&gt;"",IF(法术查询!$J$4="",1,INDEX($R383:$Z383,1,VLOOKUP(法术查询!$J$4,$AF$2:$AG$10,2,0)))&lt;&gt;"",IF(法术查询!$J$5="",1,$P383=VLOOKUP(法术查询!$J$5,$AH$2:$AI$11,2,0)),IF(法术查询!$J$6="",1,IF(法术查询!$J$6=$E383,1,0)),IF(法术查询!$J$7="",1,SEARCH(法术查询!$J$7,$F383)),IF(法术查询!$J$8="",1,SEARCH(法术查询!$J$8,G383)),IF(法术查询!$J$9="",1,SEARCH(法术查询!$J$9,N383)),IF(法术查询!$J$10="",1,IF(法术查询!$J$10=$AF$11,IF($M383=1,1,0),IF($M383="",1,0))),IF(法术查询!$J$11="",1,IF(法术查询!$J$11=$AF$11,IF($D383=1,1,0),IF($D383="",1,0))),IF(法术查询!$J$12="",1,SEARCH(法术查询!$J$12,$B383&amp;$C383&amp;$O383)),IF(法术查询!$J$13="",1,SEARCH(法术查询!$J$13,$B383&amp;$C383&amp;$O383)),IF(法术查询!$J$14="",1,SEARCH(法术查询!$J$14,$B383&amp;$C383&amp;$O383)),IF(法术查询!$J$16="",1,IF(法术查询!$J$16=$AF$11,IF($H383=1,1,0),IF($H383="",1,0))),IF(法术查询!$J$17="",1,IF(法术查询!$J$17=$AF$11,IF($I383=1,1,0),IF($I383="",1,0))),IF(法术查询!$J$18="",1,IF(法术查询!$J$18=$AF$11,IF($J383&lt;&gt;"",1,0),IF($J383="",1,0))),IF(法术查询!$J$19="",1,IF(法术查询!$J$19=$AF$11,IF($L383&lt;&gt;"",1,0),IF($L383="",1,0)))),$B383,""),"")</f>
        <v/>
      </c>
      <c r="AD382" s="180" t="str">
        <f t="array" ref="AD382">INDEX(AC:AC,SMALL(IF($AC$2:$AC$516&lt;&gt;"",ROW($2:$516),517),ROW(AC381)))&amp;""</f>
        <v/>
      </c>
      <c r="AE382" s="198" t="str">
        <f t="shared" si="9"/>
        <v/>
      </c>
    </row>
    <row r="383" spans="1:31" ht="14.4" customHeight="1" x14ac:dyDescent="0.25">
      <c r="A383" s="250">
        <v>381</v>
      </c>
      <c r="B383" s="119" t="s">
        <v>7928</v>
      </c>
      <c r="C383" s="119" t="s">
        <v>7929</v>
      </c>
      <c r="E383" s="434" t="s">
        <v>6304</v>
      </c>
      <c r="F383" s="180" t="s">
        <v>6352</v>
      </c>
      <c r="G383" s="180" t="s">
        <v>3682</v>
      </c>
      <c r="H383" s="180">
        <v>1</v>
      </c>
      <c r="I383" s="180">
        <v>1</v>
      </c>
      <c r="K383" s="119"/>
      <c r="M383" s="180">
        <v>1</v>
      </c>
      <c r="N383" s="180" t="s">
        <v>6379</v>
      </c>
      <c r="O383" s="119" t="s">
        <v>7930</v>
      </c>
      <c r="P383" s="119">
        <v>5</v>
      </c>
      <c r="Q383" s="251" t="str">
        <f>IF(综合数据!$B$7=TRUE,"XGE","")</f>
        <v>XGE</v>
      </c>
      <c r="S383" s="180">
        <v>6</v>
      </c>
      <c r="U383" s="180">
        <v>6</v>
      </c>
      <c r="AA383" s="198"/>
      <c r="AB383" s="250" t="str">
        <f t="array" ref="AB383">INDEX(B:B,SMALL(IF($Q$3:$Q$517&lt;&gt;"",ROW($3:$517),518),ROW(B382)))&amp;""</f>
        <v>负能量洪流</v>
      </c>
      <c r="AC383" s="394" t="str">
        <f>IFERROR(IF(AND($Q384&lt;&gt;"",IF(法术查询!$J$4="",1,INDEX($R384:$Z384,1,VLOOKUP(法术查询!$J$4,$AF$2:$AG$10,2,0)))&lt;&gt;"",IF(法术查询!$J$5="",1,$P384=VLOOKUP(法术查询!$J$5,$AH$2:$AI$11,2,0)),IF(法术查询!$J$6="",1,IF(法术查询!$J$6=$E384,1,0)),IF(法术查询!$J$7="",1,SEARCH(法术查询!$J$7,$F384)),IF(法术查询!$J$8="",1,SEARCH(法术查询!$J$8,G384)),IF(法术查询!$J$9="",1,SEARCH(法术查询!$J$9,N384)),IF(法术查询!$J$10="",1,IF(法术查询!$J$10=$AF$11,IF($M384=1,1,0),IF($M384="",1,0))),IF(法术查询!$J$11="",1,IF(法术查询!$J$11=$AF$11,IF($D384=1,1,0),IF($D384="",1,0))),IF(法术查询!$J$12="",1,SEARCH(法术查询!$J$12,$B384&amp;$C384&amp;$O384)),IF(法术查询!$J$13="",1,SEARCH(法术查询!$J$13,$B384&amp;$C384&amp;$O384)),IF(法术查询!$J$14="",1,SEARCH(法术查询!$J$14,$B384&amp;$C384&amp;$O384)),IF(法术查询!$J$16="",1,IF(法术查询!$J$16=$AF$11,IF($H384=1,1,0),IF($H384="",1,0))),IF(法术查询!$J$17="",1,IF(法术查询!$J$17=$AF$11,IF($I384=1,1,0),IF($I384="",1,0))),IF(法术查询!$J$18="",1,IF(法术查询!$J$18=$AF$11,IF($J384&lt;&gt;"",1,0),IF($J384="",1,0))),IF(法术查询!$J$19="",1,IF(法术查询!$J$19=$AF$11,IF($L384&lt;&gt;"",1,0),IF($L384="",1,0)))),$B384,""),"")</f>
        <v/>
      </c>
      <c r="AD383" s="180" t="str">
        <f t="array" ref="AD383">INDEX(AC:AC,SMALL(IF($AC$2:$AC$516&lt;&gt;"",ROW($2:$516),517),ROW(AC382)))&amp;""</f>
        <v/>
      </c>
      <c r="AE383" s="198" t="str">
        <f t="shared" si="9"/>
        <v/>
      </c>
    </row>
    <row r="384" spans="1:31" ht="14.4" customHeight="1" x14ac:dyDescent="0.25">
      <c r="A384" s="250">
        <v>382</v>
      </c>
      <c r="B384" s="119" t="s">
        <v>7931</v>
      </c>
      <c r="C384" s="119" t="s">
        <v>7932</v>
      </c>
      <c r="E384" s="434" t="s">
        <v>6304</v>
      </c>
      <c r="F384" s="180" t="s">
        <v>6282</v>
      </c>
      <c r="G384" s="180" t="s">
        <v>6400</v>
      </c>
      <c r="H384" s="180">
        <v>1</v>
      </c>
      <c r="K384" s="119"/>
      <c r="M384" s="180">
        <v>1</v>
      </c>
      <c r="N384" s="180" t="s">
        <v>6306</v>
      </c>
      <c r="O384" s="119" t="s">
        <v>7933</v>
      </c>
      <c r="P384" s="119">
        <v>5</v>
      </c>
      <c r="Q384" s="251" t="str">
        <f>IF(综合数据!$B$7=TRUE,"XGE","")</f>
        <v>XGE</v>
      </c>
      <c r="W384" s="180">
        <v>6</v>
      </c>
      <c r="X384" s="180">
        <v>6</v>
      </c>
      <c r="AA384" s="198"/>
      <c r="AB384" s="250" t="str">
        <f t="array" ref="AB384">INDEX(B:B,SMALL(IF($Q$3:$Q$517&lt;&gt;"",ROW($3:$517),518),ROW(B383)))&amp;""</f>
        <v>授予技能</v>
      </c>
      <c r="AC384" s="394" t="str">
        <f>IFERROR(IF(AND($Q385&lt;&gt;"",IF(法术查询!$J$4="",1,INDEX($R385:$Z385,1,VLOOKUP(法术查询!$J$4,$AF$2:$AG$10,2,0)))&lt;&gt;"",IF(法术查询!$J$5="",1,$P385=VLOOKUP(法术查询!$J$5,$AH$2:$AI$11,2,0)),IF(法术查询!$J$6="",1,IF(法术查询!$J$6=$E385,1,0)),IF(法术查询!$J$7="",1,SEARCH(法术查询!$J$7,$F385)),IF(法术查询!$J$8="",1,SEARCH(法术查询!$J$8,G385)),IF(法术查询!$J$9="",1,SEARCH(法术查询!$J$9,N385)),IF(法术查询!$J$10="",1,IF(法术查询!$J$10=$AF$11,IF($M385=1,1,0),IF($M385="",1,0))),IF(法术查询!$J$11="",1,IF(法术查询!$J$11=$AF$11,IF($D385=1,1,0),IF($D385="",1,0))),IF(法术查询!$J$12="",1,SEARCH(法术查询!$J$12,$B385&amp;$C385&amp;$O385)),IF(法术查询!$J$13="",1,SEARCH(法术查询!$J$13,$B385&amp;$C385&amp;$O385)),IF(法术查询!$J$14="",1,SEARCH(法术查询!$J$14,$B385&amp;$C385&amp;$O385)),IF(法术查询!$J$16="",1,IF(法术查询!$J$16=$AF$11,IF($H385=1,1,0),IF($H385="",1,0))),IF(法术查询!$J$17="",1,IF(法术查询!$J$17=$AF$11,IF($I385=1,1,0),IF($I385="",1,0))),IF(法术查询!$J$18="",1,IF(法术查询!$J$18=$AF$11,IF($J385&lt;&gt;"",1,0),IF($J385="",1,0))),IF(法术查询!$J$19="",1,IF(法术查询!$J$19=$AF$11,IF($L385&lt;&gt;"",1,0),IF($L385="",1,0)))),$B385,""),"")</f>
        <v/>
      </c>
      <c r="AD384" s="180" t="str">
        <f t="array" ref="AD384">INDEX(AC:AC,SMALL(IF($AC$2:$AC$516&lt;&gt;"",ROW($2:$516),517),ROW(AC383)))&amp;""</f>
        <v/>
      </c>
      <c r="AE384" s="198" t="str">
        <f t="shared" si="9"/>
        <v/>
      </c>
    </row>
    <row r="385" spans="1:31" ht="14.4" customHeight="1" x14ac:dyDescent="0.25">
      <c r="A385" s="250">
        <v>383</v>
      </c>
      <c r="B385" s="119" t="s">
        <v>7934</v>
      </c>
      <c r="C385" s="119" t="s">
        <v>7935</v>
      </c>
      <c r="E385" s="378" t="s">
        <v>6281</v>
      </c>
      <c r="F385" s="180" t="s">
        <v>6349</v>
      </c>
      <c r="G385" s="180" t="s">
        <v>6400</v>
      </c>
      <c r="H385" s="180">
        <v>1</v>
      </c>
      <c r="I385" s="180">
        <v>1</v>
      </c>
      <c r="J385" s="180">
        <v>1</v>
      </c>
      <c r="K385" s="119" t="s">
        <v>7936</v>
      </c>
      <c r="M385" s="180">
        <v>1</v>
      </c>
      <c r="N385" s="180" t="s">
        <v>6379</v>
      </c>
      <c r="O385" s="119" t="s">
        <v>7937</v>
      </c>
      <c r="P385" s="119">
        <v>5</v>
      </c>
      <c r="Q385" s="251" t="str">
        <f>IF(综合数据!$B$7=TRUE,"XGE","")</f>
        <v>XGE</v>
      </c>
      <c r="X385" s="180">
        <v>6</v>
      </c>
      <c r="Y385" s="180">
        <v>6</v>
      </c>
      <c r="AA385" s="198"/>
      <c r="AB385" s="250" t="str">
        <f t="array" ref="AB385">INDEX(B:B,SMALL(IF($Q$3:$Q$517&lt;&gt;"",ROW($3:$517),518),ROW(B384)))&amp;""</f>
        <v>钢风斩</v>
      </c>
      <c r="AC385" s="394" t="str">
        <f>IFERROR(IF(AND($Q386&lt;&gt;"",IF(法术查询!$J$4="",1,INDEX($R386:$Z386,1,VLOOKUP(法术查询!$J$4,$AF$2:$AG$10,2,0)))&lt;&gt;"",IF(法术查询!$J$5="",1,$P386=VLOOKUP(法术查询!$J$5,$AH$2:$AI$11,2,0)),IF(法术查询!$J$6="",1,IF(法术查询!$J$6=$E386,1,0)),IF(法术查询!$J$7="",1,SEARCH(法术查询!$J$7,$F386)),IF(法术查询!$J$8="",1,SEARCH(法术查询!$J$8,G386)),IF(法术查询!$J$9="",1,SEARCH(法术查询!$J$9,N386)),IF(法术查询!$J$10="",1,IF(法术查询!$J$10=$AF$11,IF($M386=1,1,0),IF($M386="",1,0))),IF(法术查询!$J$11="",1,IF(法术查询!$J$11=$AF$11,IF($D386=1,1,0),IF($D386="",1,0))),IF(法术查询!$J$12="",1,SEARCH(法术查询!$J$12,$B386&amp;$C386&amp;$O386)),IF(法术查询!$J$13="",1,SEARCH(法术查询!$J$13,$B386&amp;$C386&amp;$O386)),IF(法术查询!$J$14="",1,SEARCH(法术查询!$J$14,$B386&amp;$C386&amp;$O386)),IF(法术查询!$J$16="",1,IF(法术查询!$J$16=$AF$11,IF($H386=1,1,0),IF($H386="",1,0))),IF(法术查询!$J$17="",1,IF(法术查询!$J$17=$AF$11,IF($I386=1,1,0),IF($I386="",1,0))),IF(法术查询!$J$18="",1,IF(法术查询!$J$18=$AF$11,IF($J386&lt;&gt;"",1,0),IF($J386="",1,0))),IF(法术查询!$J$19="",1,IF(法术查询!$J$19=$AF$11,IF($L386&lt;&gt;"",1,0),IF($L386="",1,0)))),$B386,""),"")</f>
        <v>大漩涡</v>
      </c>
      <c r="AD385" s="180" t="str">
        <f t="array" ref="AD385">INDEX(AC:AC,SMALL(IF($AC$2:$AC$516&lt;&gt;"",ROW($2:$516),517),ROW(AC384)))&amp;""</f>
        <v/>
      </c>
      <c r="AE385" s="198" t="str">
        <f t="shared" si="9"/>
        <v/>
      </c>
    </row>
    <row r="386" spans="1:31" ht="14.4" customHeight="1" x14ac:dyDescent="0.25">
      <c r="A386" s="250">
        <v>384</v>
      </c>
      <c r="B386" s="119" t="s">
        <v>7938</v>
      </c>
      <c r="C386" s="119" t="s">
        <v>7939</v>
      </c>
      <c r="E386" s="434" t="s">
        <v>6304</v>
      </c>
      <c r="F386" s="180" t="s">
        <v>6282</v>
      </c>
      <c r="G386" s="180" t="s">
        <v>6298</v>
      </c>
      <c r="H386" s="180">
        <v>1</v>
      </c>
      <c r="I386" s="180">
        <v>1</v>
      </c>
      <c r="J386" s="180">
        <v>1</v>
      </c>
      <c r="K386" s="119" t="s">
        <v>7940</v>
      </c>
      <c r="M386" s="180">
        <v>1</v>
      </c>
      <c r="N386" s="180" t="s">
        <v>6306</v>
      </c>
      <c r="O386" s="119" t="s">
        <v>7941</v>
      </c>
      <c r="P386" s="119">
        <v>5</v>
      </c>
      <c r="Q386" s="251" t="str">
        <f>IF(综合数据!$B$7=TRUE,"XGE","")</f>
        <v>XGE</v>
      </c>
      <c r="T386" s="180">
        <v>6</v>
      </c>
      <c r="AA386" s="198"/>
      <c r="AB386" s="250" t="str">
        <f t="array" ref="AB386">INDEX(B:B,SMALL(IF($Q$3:$Q$517&lt;&gt;"",ROW($3:$517),518),ROW(B385)))&amp;""</f>
        <v>突触静止</v>
      </c>
      <c r="AC386" s="394" t="str">
        <f>IFERROR(IF(AND($Q387&lt;&gt;"",IF(法术查询!$J$4="",1,INDEX($R387:$Z387,1,VLOOKUP(法术查询!$J$4,$AF$2:$AG$10,2,0)))&lt;&gt;"",IF(法术查询!$J$5="",1,$P387=VLOOKUP(法术查询!$J$5,$AH$2:$AI$11,2,0)),IF(法术查询!$J$6="",1,IF(法术查询!$J$6=$E387,1,0)),IF(法术查询!$J$7="",1,SEARCH(法术查询!$J$7,$F387)),IF(法术查询!$J$8="",1,SEARCH(法术查询!$J$8,G387)),IF(法术查询!$J$9="",1,SEARCH(法术查询!$J$9,N387)),IF(法术查询!$J$10="",1,IF(法术查询!$J$10=$AF$11,IF($M387=1,1,0),IF($M387="",1,0))),IF(法术查询!$J$11="",1,IF(法术查询!$J$11=$AF$11,IF($D387=1,1,0),IF($D387="",1,0))),IF(法术查询!$J$12="",1,SEARCH(法术查询!$J$12,$B387&amp;$C387&amp;$O387)),IF(法术查询!$J$13="",1,SEARCH(法术查询!$J$13,$B387&amp;$C387&amp;$O387)),IF(法术查询!$J$14="",1,SEARCH(法术查询!$J$14,$B387&amp;$C387&amp;$O387)),IF(法术查询!$J$16="",1,IF(法术查询!$J$16=$AF$11,IF($H387=1,1,0),IF($H387="",1,0))),IF(法术查询!$J$17="",1,IF(法术查询!$J$17=$AF$11,IF($I387=1,1,0),IF($I387="",1,0))),IF(法术查询!$J$18="",1,IF(法术查询!$J$18=$AF$11,IF($J387&lt;&gt;"",1,0),IF($J387="",1,0))),IF(法术查询!$J$19="",1,IF(法术查询!$J$19=$AF$11,IF($L387&lt;&gt;"",1,0),IF($L387="",1,0)))),$B387,""),"")</f>
        <v/>
      </c>
      <c r="AD386" s="180" t="str">
        <f t="array" ref="AD386">INDEX(AC:AC,SMALL(IF($AC$2:$AC$516&lt;&gt;"",ROW($2:$516),517),ROW(AC385)))&amp;""</f>
        <v/>
      </c>
      <c r="AE386" s="198" t="str">
        <f t="shared" si="9"/>
        <v/>
      </c>
    </row>
    <row r="387" spans="1:31" ht="14.4" customHeight="1" x14ac:dyDescent="0.25">
      <c r="A387" s="250">
        <v>385</v>
      </c>
      <c r="B387" s="119" t="s">
        <v>7942</v>
      </c>
      <c r="C387" s="119" t="s">
        <v>7943</v>
      </c>
      <c r="E387" s="441" t="s">
        <v>6297</v>
      </c>
      <c r="F387" s="180" t="s">
        <v>6282</v>
      </c>
      <c r="G387" s="180" t="s">
        <v>6283</v>
      </c>
      <c r="H387" s="180">
        <v>1</v>
      </c>
      <c r="J387" s="180">
        <v>1</v>
      </c>
      <c r="K387" s="119" t="s">
        <v>7944</v>
      </c>
      <c r="N387" s="180" t="s">
        <v>6284</v>
      </c>
      <c r="O387" s="119" t="s">
        <v>7945</v>
      </c>
      <c r="P387" s="119">
        <v>5</v>
      </c>
      <c r="Q387" s="251" t="str">
        <f>IF(综合数据!$B$7=TRUE,"XGE","")</f>
        <v>XGE</v>
      </c>
      <c r="X387" s="180">
        <v>6</v>
      </c>
      <c r="Y387" s="180">
        <v>6</v>
      </c>
      <c r="AA387" s="198"/>
      <c r="AB387" s="250" t="str">
        <f t="array" ref="AB387">INDEX(B:B,SMALL(IF($Q$3:$Q$517&lt;&gt;"",ROW($3:$517),518),ROW(B386)))&amp;""</f>
        <v>转化岩石</v>
      </c>
      <c r="AC387" s="394" t="str">
        <f>IFERROR(IF(AND($Q388&lt;&gt;"",IF(法术查询!$J$4="",1,INDEX($R388:$Z388,1,VLOOKUP(法术查询!$J$4,$AF$2:$AG$10,2,0)))&lt;&gt;"",IF(法术查询!$J$5="",1,$P388=VLOOKUP(法术查询!$J$5,$AH$2:$AI$11,2,0)),IF(法术查询!$J$6="",1,IF(法术查询!$J$6=$E388,1,0)),IF(法术查询!$J$7="",1,SEARCH(法术查询!$J$7,$F388)),IF(法术查询!$J$8="",1,SEARCH(法术查询!$J$8,G388)),IF(法术查询!$J$9="",1,SEARCH(法术查询!$J$9,N388)),IF(法术查询!$J$10="",1,IF(法术查询!$J$10=$AF$11,IF($M388=1,1,0),IF($M388="",1,0))),IF(法术查询!$J$11="",1,IF(法术查询!$J$11=$AF$11,IF($D388=1,1,0),IF($D388="",1,0))),IF(法术查询!$J$12="",1,SEARCH(法术查询!$J$12,$B388&amp;$C388&amp;$O388)),IF(法术查询!$J$13="",1,SEARCH(法术查询!$J$13,$B388&amp;$C388&amp;$O388)),IF(法术查询!$J$14="",1,SEARCH(法术查询!$J$14,$B388&amp;$C388&amp;$O388)),IF(法术查询!$J$16="",1,IF(法术查询!$J$16=$AF$11,IF($H388=1,1,0),IF($H388="",1,0))),IF(法术查询!$J$17="",1,IF(法术查询!$J$17=$AF$11,IF($I388=1,1,0),IF($I388="",1,0))),IF(法术查询!$J$18="",1,IF(法术查询!$J$18=$AF$11,IF($J388&lt;&gt;"",1,0),IF($J388="",1,0))),IF(法术查询!$J$19="",1,IF(法术查询!$J$19=$AF$11,IF($L388&lt;&gt;"",1,0),IF($L388="",1,0)))),$B388,""),"")</f>
        <v/>
      </c>
      <c r="AD387" s="180" t="str">
        <f t="array" ref="AD387">INDEX(AC:AC,SMALL(IF($AC$2:$AC$516&lt;&gt;"",ROW($2:$516),517),ROW(AC386)))&amp;""</f>
        <v/>
      </c>
      <c r="AE387" s="198" t="str">
        <f t="shared" ref="AE387:AE450" si="10">IF(AD387="","",VLOOKUP(AD387,B:C,2,0))</f>
        <v/>
      </c>
    </row>
    <row r="388" spans="1:31" ht="14.4" customHeight="1" x14ac:dyDescent="0.25">
      <c r="A388" s="250">
        <v>386</v>
      </c>
      <c r="B388" s="119" t="s">
        <v>7946</v>
      </c>
      <c r="C388" s="119" t="s">
        <v>7947</v>
      </c>
      <c r="E388" s="435" t="s">
        <v>6312</v>
      </c>
      <c r="F388" s="180" t="s">
        <v>6282</v>
      </c>
      <c r="G388" s="180" t="s">
        <v>3682</v>
      </c>
      <c r="H388" s="180">
        <v>1</v>
      </c>
      <c r="I388" s="180">
        <v>1</v>
      </c>
      <c r="K388" s="119"/>
      <c r="M388" s="180">
        <v>1</v>
      </c>
      <c r="N388" s="180" t="s">
        <v>6379</v>
      </c>
      <c r="O388" s="119" t="s">
        <v>7948</v>
      </c>
      <c r="P388" s="119">
        <v>5</v>
      </c>
      <c r="Q388" s="251" t="str">
        <f>IF(综合数据!$B$7=TRUE,"XGE","")</f>
        <v>XGE</v>
      </c>
      <c r="R388" s="180">
        <v>6</v>
      </c>
      <c r="W388" s="180">
        <v>6</v>
      </c>
      <c r="X388" s="180">
        <v>6</v>
      </c>
      <c r="Z388" s="180">
        <v>9</v>
      </c>
      <c r="AA388" s="198"/>
      <c r="AB388" s="250" t="str">
        <f t="array" ref="AB388">INDEX(B:B,SMALL(IF($Q$3:$Q$517&lt;&gt;"",ROW($3:$517),518),ROW(B387)))&amp;""</f>
        <v>光墙术</v>
      </c>
      <c r="AC388" s="394" t="str">
        <f>IFERROR(IF(AND($Q389&lt;&gt;"",IF(法术查询!$J$4="",1,INDEX($R389:$Z389,1,VLOOKUP(法术查询!$J$4,$AF$2:$AG$10,2,0)))&lt;&gt;"",IF(法术查询!$J$5="",1,$P389=VLOOKUP(法术查询!$J$5,$AH$2:$AI$11,2,0)),IF(法术查询!$J$6="",1,IF(法术查询!$J$6=$E389,1,0)),IF(法术查询!$J$7="",1,SEARCH(法术查询!$J$7,$F389)),IF(法术查询!$J$8="",1,SEARCH(法术查询!$J$8,G389)),IF(法术查询!$J$9="",1,SEARCH(法术查询!$J$9,N389)),IF(法术查询!$J$10="",1,IF(法术查询!$J$10=$AF$11,IF($M389=1,1,0),IF($M389="",1,0))),IF(法术查询!$J$11="",1,IF(法术查询!$J$11=$AF$11,IF($D389=1,1,0),IF($D389="",1,0))),IF(法术查询!$J$12="",1,SEARCH(法术查询!$J$12,$B389&amp;$C389&amp;$O389)),IF(法术查询!$J$13="",1,SEARCH(法术查询!$J$13,$B389&amp;$C389&amp;$O389)),IF(法术查询!$J$14="",1,SEARCH(法术查询!$J$14,$B389&amp;$C389&amp;$O389)),IF(法术查询!$J$16="",1,IF(法术查询!$J$16=$AF$11,IF($H389=1,1,0),IF($H389="",1,0))),IF(法术查询!$J$17="",1,IF(法术查询!$J$17=$AF$11,IF($I389=1,1,0),IF($I389="",1,0))),IF(法术查询!$J$18="",1,IF(法术查询!$J$18=$AF$11,IF($J389&lt;&gt;"",1,0),IF($J389="",1,0))),IF(法术查询!$J$19="",1,IF(法术查询!$J$19=$AF$11,IF($L389&lt;&gt;"",1,0),IF($L389="",1,0)))),$B389,""),"")</f>
        <v/>
      </c>
      <c r="AD388" s="180" t="str">
        <f t="array" ref="AD388">INDEX(AC:AC,SMALL(IF($AC$2:$AC$516&lt;&gt;"",ROW($2:$516),517),ROW(AC387)))&amp;""</f>
        <v/>
      </c>
      <c r="AE388" s="198" t="str">
        <f t="shared" si="10"/>
        <v/>
      </c>
    </row>
    <row r="389" spans="1:31" ht="14.4" customHeight="1" x14ac:dyDescent="0.25">
      <c r="A389" s="250">
        <v>387</v>
      </c>
      <c r="B389" s="119" t="s">
        <v>7949</v>
      </c>
      <c r="C389" s="119" t="s">
        <v>7950</v>
      </c>
      <c r="E389" s="378" t="s">
        <v>6281</v>
      </c>
      <c r="F389" s="180" t="s">
        <v>6282</v>
      </c>
      <c r="G389" s="180" t="s">
        <v>6313</v>
      </c>
      <c r="I389" s="180">
        <v>1</v>
      </c>
      <c r="J389" s="180">
        <v>1</v>
      </c>
      <c r="K389" s="119" t="s">
        <v>7951</v>
      </c>
      <c r="N389" s="180" t="s">
        <v>6284</v>
      </c>
      <c r="O389" s="119" t="s">
        <v>7952</v>
      </c>
      <c r="P389" s="119">
        <v>5</v>
      </c>
      <c r="Q389" s="251" t="str">
        <f>IF(综合数据!$B$7=TRUE,"XGE","")</f>
        <v>XGE</v>
      </c>
      <c r="V389" s="180">
        <v>6</v>
      </c>
      <c r="X389" s="180">
        <v>6</v>
      </c>
      <c r="AA389" s="198"/>
      <c r="AB389" s="250" t="str">
        <f t="array" ref="AB389">INDEX(B:B,SMALL(IF($Q$3:$Q$517&lt;&gt;"",ROW($3:$517),518),ROW(B388)))&amp;""</f>
        <v>自然之怒</v>
      </c>
      <c r="AC389" s="394" t="str">
        <f>IFERROR(IF(AND($Q390&lt;&gt;"",IF(法术查询!$J$4="",1,INDEX($R390:$Z390,1,VLOOKUP(法术查询!$J$4,$AF$2:$AG$10,2,0)))&lt;&gt;"",IF(法术查询!$J$5="",1,$P390=VLOOKUP(法术查询!$J$5,$AH$2:$AI$11,2,0)),IF(法术查询!$J$6="",1,IF(法术查询!$J$6=$E390,1,0)),IF(法术查询!$J$7="",1,SEARCH(法术查询!$J$7,$F390)),IF(法术查询!$J$8="",1,SEARCH(法术查询!$J$8,G390)),IF(法术查询!$J$9="",1,SEARCH(法术查询!$J$9,N390)),IF(法术查询!$J$10="",1,IF(法术查询!$J$10=$AF$11,IF($M390=1,1,0),IF($M390="",1,0))),IF(法术查询!$J$11="",1,IF(法术查询!$J$11=$AF$11,IF($D390=1,1,0),IF($D390="",1,0))),IF(法术查询!$J$12="",1,SEARCH(法术查询!$J$12,$B390&amp;$C390&amp;$O390)),IF(法术查询!$J$13="",1,SEARCH(法术查询!$J$13,$B390&amp;$C390&amp;$O390)),IF(法术查询!$J$14="",1,SEARCH(法术查询!$J$14,$B390&amp;$C390&amp;$O390)),IF(法术查询!$J$16="",1,IF(法术查询!$J$16=$AF$11,IF($H390=1,1,0),IF($H390="",1,0))),IF(法术查询!$J$17="",1,IF(法术查询!$J$17=$AF$11,IF($I390=1,1,0),IF($I390="",1,0))),IF(法术查询!$J$18="",1,IF(法术查询!$J$18=$AF$11,IF($J390&lt;&gt;"",1,0),IF($J390="",1,0))),IF(法术查询!$J$19="",1,IF(法术查询!$J$19=$AF$11,IF($L390&lt;&gt;"",1,0),IF($L390="",1,0)))),$B390,""),"")</f>
        <v/>
      </c>
      <c r="AD389" s="180" t="str">
        <f t="array" ref="AD389">INDEX(AC:AC,SMALL(IF($AC$2:$AC$516&lt;&gt;"",ROW($2:$516),517),ROW(AC388)))&amp;""</f>
        <v/>
      </c>
      <c r="AE389" s="198" t="str">
        <f t="shared" si="10"/>
        <v/>
      </c>
    </row>
    <row r="390" spans="1:31" ht="14.4" customHeight="1" x14ac:dyDescent="0.25">
      <c r="A390" s="250">
        <v>388</v>
      </c>
      <c r="B390" s="119" t="s">
        <v>7953</v>
      </c>
      <c r="C390" s="119" t="s">
        <v>7954</v>
      </c>
      <c r="E390" s="379" t="s">
        <v>6328</v>
      </c>
      <c r="F390" s="180" t="s">
        <v>6282</v>
      </c>
      <c r="G390" s="180" t="s">
        <v>6298</v>
      </c>
      <c r="H390" s="180">
        <v>1</v>
      </c>
      <c r="I390" s="180">
        <v>1</v>
      </c>
      <c r="K390" s="119"/>
      <c r="N390" s="180" t="s">
        <v>6284</v>
      </c>
      <c r="O390" s="119" t="s">
        <v>7955</v>
      </c>
      <c r="P390" s="119">
        <v>5</v>
      </c>
      <c r="Q390" s="251" t="str">
        <f>IF(综合数据!$B$7=TRUE,"XGE","")</f>
        <v>XGE</v>
      </c>
      <c r="R390" s="180">
        <v>6</v>
      </c>
      <c r="W390" s="180">
        <v>6</v>
      </c>
      <c r="X390" s="180">
        <v>6</v>
      </c>
      <c r="Y390" s="180">
        <v>6</v>
      </c>
      <c r="AA390" s="198"/>
      <c r="AB390" s="250" t="str">
        <f t="array" ref="AB390">INDEX(B:B,SMALL(IF($Q$3:$Q$517&lt;&gt;"",ROW($3:$517),518),ROW(B389)))&amp;""</f>
        <v>时流刹转</v>
      </c>
      <c r="AC390" s="394" t="str">
        <f>IFERROR(IF(AND($Q391&lt;&gt;"",IF(法术查询!$J$4="",1,INDEX($R391:$Z391,1,VLOOKUP(法术查询!$J$4,$AF$2:$AG$10,2,0)))&lt;&gt;"",IF(法术查询!$J$5="",1,$P391=VLOOKUP(法术查询!$J$5,$AH$2:$AI$11,2,0)),IF(法术查询!$J$6="",1,IF(法术查询!$J$6=$E391,1,0)),IF(法术查询!$J$7="",1,SEARCH(法术查询!$J$7,$F391)),IF(法术查询!$J$8="",1,SEARCH(法术查询!$J$8,G391)),IF(法术查询!$J$9="",1,SEARCH(法术查询!$J$9,N391)),IF(法术查询!$J$10="",1,IF(法术查询!$J$10=$AF$11,IF($M391=1,1,0),IF($M391="",1,0))),IF(法术查询!$J$11="",1,IF(法术查询!$J$11=$AF$11,IF($D391=1,1,0),IF($D391="",1,0))),IF(法术查询!$J$12="",1,SEARCH(法术查询!$J$12,$B391&amp;$C391&amp;$O391)),IF(法术查询!$J$13="",1,SEARCH(法术查询!$J$13,$B391&amp;$C391&amp;$O391)),IF(法术查询!$J$14="",1,SEARCH(法术查询!$J$14,$B391&amp;$C391&amp;$O391)),IF(法术查询!$J$16="",1,IF(法术查询!$J$16=$AF$11,IF($H391=1,1,0),IF($H391="",1,0))),IF(法术查询!$J$17="",1,IF(法术查询!$J$17=$AF$11,IF($I391=1,1,0),IF($I391="",1,0))),IF(法术查询!$J$18="",1,IF(法术查询!$J$18=$AF$11,IF($J391&lt;&gt;"",1,0),IF($J391="",1,0))),IF(法术查询!$J$19="",1,IF(法术查询!$J$19=$AF$11,IF($L391&lt;&gt;"",1,0),IF($L391="",1,0)))),$B391,""),"")</f>
        <v>转化岩石</v>
      </c>
      <c r="AD390" s="180" t="str">
        <f t="array" ref="AD390">INDEX(AC:AC,SMALL(IF($AC$2:$AC$516&lt;&gt;"",ROW($2:$516),517),ROW(AC389)))&amp;""</f>
        <v/>
      </c>
      <c r="AE390" s="198" t="str">
        <f t="shared" si="10"/>
        <v/>
      </c>
    </row>
    <row r="391" spans="1:31" ht="14.4" customHeight="1" x14ac:dyDescent="0.25">
      <c r="A391" s="250">
        <v>389</v>
      </c>
      <c r="B391" s="119" t="s">
        <v>7956</v>
      </c>
      <c r="C391" s="119" t="s">
        <v>7957</v>
      </c>
      <c r="E391" s="435" t="s">
        <v>6312</v>
      </c>
      <c r="F391" s="180" t="s">
        <v>6282</v>
      </c>
      <c r="G391" s="180" t="s">
        <v>6298</v>
      </c>
      <c r="H391" s="180">
        <v>1</v>
      </c>
      <c r="I391" s="180">
        <v>1</v>
      </c>
      <c r="J391" s="180">
        <v>1</v>
      </c>
      <c r="K391" s="119" t="s">
        <v>7958</v>
      </c>
      <c r="N391" s="180" t="s">
        <v>6434</v>
      </c>
      <c r="O391" s="119" t="s">
        <v>7959</v>
      </c>
      <c r="P391" s="119">
        <v>5</v>
      </c>
      <c r="Q391" s="251" t="str">
        <f>IF(综合数据!$B$7=TRUE,"XGE","")</f>
        <v>XGE</v>
      </c>
      <c r="T391" s="180">
        <v>6</v>
      </c>
      <c r="X391" s="180">
        <v>6</v>
      </c>
      <c r="Z391" s="180">
        <v>9</v>
      </c>
      <c r="AA391" s="198"/>
      <c r="AB391" s="250" t="str">
        <f t="array" ref="AB391">INDEX(B:B,SMALL(IF($Q$3:$Q$517&lt;&gt;"",ROW($3:$517),518),ROW(B390)))&amp;""</f>
        <v>天界召唤术</v>
      </c>
      <c r="AC391" s="394" t="str">
        <f>IFERROR(IF(AND($Q392&lt;&gt;"",IF(法术查询!$J$4="",1,INDEX($R392:$Z392,1,VLOOKUP(法术查询!$J$4,$AF$2:$AG$10,2,0)))&lt;&gt;"",IF(法术查询!$J$5="",1,$P392=VLOOKUP(法术查询!$J$5,$AH$2:$AI$11,2,0)),IF(法术查询!$J$6="",1,IF(法术查询!$J$6=$E392,1,0)),IF(法术查询!$J$7="",1,SEARCH(法术查询!$J$7,$F392)),IF(法术查询!$J$8="",1,SEARCH(法术查询!$J$8,G392)),IF(法术查询!$J$9="",1,SEARCH(法术查询!$J$9,N392)),IF(法术查询!$J$10="",1,IF(法术查询!$J$10=$AF$11,IF($M392=1,1,0),IF($M392="",1,0))),IF(法术查询!$J$11="",1,IF(法术查询!$J$11=$AF$11,IF($D392=1,1,0),IF($D392="",1,0))),IF(法术查询!$J$12="",1,SEARCH(法术查询!$J$12,$B392&amp;$C392&amp;$O392)),IF(法术查询!$J$13="",1,SEARCH(法术查询!$J$13,$B392&amp;$C392&amp;$O392)),IF(法术查询!$J$14="",1,SEARCH(法术查询!$J$14,$B392&amp;$C392&amp;$O392)),IF(法术查询!$J$16="",1,IF(法术查询!$J$16=$AF$11,IF($H392=1,1,0),IF($H392="",1,0))),IF(法术查询!$J$17="",1,IF(法术查询!$J$17=$AF$11,IF($I392=1,1,0),IF($I392="",1,0))),IF(法术查询!$J$18="",1,IF(法术查询!$J$18=$AF$11,IF($J392&lt;&gt;"",1,0),IF($J392="",1,0))),IF(法术查询!$J$19="",1,IF(法术查询!$J$19=$AF$11,IF($L392&lt;&gt;"",1,0),IF($L392="",1,0)))),$B392,""),"")</f>
        <v/>
      </c>
      <c r="AD391" s="180" t="str">
        <f t="array" ref="AD391">INDEX(AC:AC,SMALL(IF($AC$2:$AC$516&lt;&gt;"",ROW($2:$516),517),ROW(AC390)))&amp;""</f>
        <v/>
      </c>
      <c r="AE391" s="198" t="str">
        <f t="shared" si="10"/>
        <v/>
      </c>
    </row>
    <row r="392" spans="1:31" ht="14.4" customHeight="1" x14ac:dyDescent="0.25">
      <c r="A392" s="250">
        <v>390</v>
      </c>
      <c r="B392" s="119" t="s">
        <v>7960</v>
      </c>
      <c r="C392" s="119" t="s">
        <v>7961</v>
      </c>
      <c r="E392" s="434" t="s">
        <v>6304</v>
      </c>
      <c r="F392" s="180" t="s">
        <v>6282</v>
      </c>
      <c r="G392" s="180" t="s">
        <v>6298</v>
      </c>
      <c r="H392" s="180">
        <v>1</v>
      </c>
      <c r="I392" s="180">
        <v>1</v>
      </c>
      <c r="J392" s="180">
        <v>1</v>
      </c>
      <c r="K392" s="119" t="s">
        <v>7962</v>
      </c>
      <c r="M392" s="180">
        <v>1</v>
      </c>
      <c r="N392" s="180" t="s">
        <v>6471</v>
      </c>
      <c r="O392" s="119" t="s">
        <v>7963</v>
      </c>
      <c r="P392" s="119">
        <v>5</v>
      </c>
      <c r="Q392" s="251" t="str">
        <f>IF(综合数据!$B$7=TRUE,"XGE","")</f>
        <v>XGE</v>
      </c>
      <c r="W392" s="180">
        <v>6</v>
      </c>
      <c r="X392" s="180">
        <v>6</v>
      </c>
      <c r="Y392" s="180">
        <v>6</v>
      </c>
      <c r="AA392" s="198"/>
      <c r="AB392" s="250" t="str">
        <f t="array" ref="AB392">INDEX(B:B,SMALL(IF($Q$3:$Q$517&lt;&gt;"",ROW($3:$517),518),ROW(B391)))&amp;""</f>
        <v>龙类精魂召唤术</v>
      </c>
      <c r="AC392" s="394" t="str">
        <f>IFERROR(IF(AND($Q393&lt;&gt;"",IF(法术查询!$J$4="",1,INDEX($R393:$Z393,1,VLOOKUP(法术查询!$J$4,$AF$2:$AG$10,2,0)))&lt;&gt;"",IF(法术查询!$J$5="",1,$P393=VLOOKUP(法术查询!$J$5,$AH$2:$AI$11,2,0)),IF(法术查询!$J$6="",1,IF(法术查询!$J$6=$E393,1,0)),IF(法术查询!$J$7="",1,SEARCH(法术查询!$J$7,$F393)),IF(法术查询!$J$8="",1,SEARCH(法术查询!$J$8,G393)),IF(法术查询!$J$9="",1,SEARCH(法术查询!$J$9,N393)),IF(法术查询!$J$10="",1,IF(法术查询!$J$10=$AF$11,IF($M393=1,1,0),IF($M393="",1,0))),IF(法术查询!$J$11="",1,IF(法术查询!$J$11=$AF$11,IF($D393=1,1,0),IF($D393="",1,0))),IF(法术查询!$J$12="",1,SEARCH(法术查询!$J$12,$B393&amp;$C393&amp;$O393)),IF(法术查询!$J$13="",1,SEARCH(法术查询!$J$13,$B393&amp;$C393&amp;$O393)),IF(法术查询!$J$14="",1,SEARCH(法术查询!$J$14,$B393&amp;$C393&amp;$O393)),IF(法术查询!$J$16="",1,IF(法术查询!$J$16=$AF$11,IF($H393=1,1,0),IF($H393="",1,0))),IF(法术查询!$J$17="",1,IF(法术查询!$J$17=$AF$11,IF($I393=1,1,0),IF($I393="",1,0))),IF(法术查询!$J$18="",1,IF(法术查询!$J$18=$AF$11,IF($J393&lt;&gt;"",1,0),IF($J393="",1,0))),IF(法术查询!$J$19="",1,IF(法术查询!$J$19=$AF$11,IF($L393&lt;&gt;"",1,0),IF($L393="",1,0)))),$B393,""),"")</f>
        <v>自然之怒</v>
      </c>
      <c r="AD392" s="180" t="str">
        <f t="array" ref="AD392">INDEX(AC:AC,SMALL(IF($AC$2:$AC$516&lt;&gt;"",ROW($2:$516),517),ROW(AC391)))&amp;""</f>
        <v/>
      </c>
      <c r="AE392" s="198" t="str">
        <f t="shared" si="10"/>
        <v/>
      </c>
    </row>
    <row r="393" spans="1:31" ht="14.4" customHeight="1" x14ac:dyDescent="0.25">
      <c r="A393" s="250">
        <v>391</v>
      </c>
      <c r="B393" s="119" t="s">
        <v>7964</v>
      </c>
      <c r="C393" s="119" t="s">
        <v>7965</v>
      </c>
      <c r="E393" s="434" t="s">
        <v>6304</v>
      </c>
      <c r="F393" s="180" t="s">
        <v>6282</v>
      </c>
      <c r="G393" s="180" t="s">
        <v>6298</v>
      </c>
      <c r="H393" s="180">
        <v>1</v>
      </c>
      <c r="I393" s="180">
        <v>1</v>
      </c>
      <c r="K393" s="119"/>
      <c r="M393" s="180">
        <v>1</v>
      </c>
      <c r="N393" s="180" t="s">
        <v>6306</v>
      </c>
      <c r="O393" s="119" t="s">
        <v>7966</v>
      </c>
      <c r="P393" s="119">
        <v>5</v>
      </c>
      <c r="Q393" s="251" t="str">
        <f>IF(综合数据!$B$7=TRUE,"XGE","")</f>
        <v>XGE</v>
      </c>
      <c r="T393" s="180">
        <v>6</v>
      </c>
      <c r="V393" s="180">
        <v>6</v>
      </c>
      <c r="AA393" s="198"/>
      <c r="AB393" s="250" t="str">
        <f t="array" ref="AB393">INDEX(B:B,SMALL(IF($Q$3:$Q$517&lt;&gt;"",ROW($3:$517),518),ROW(B392)))&amp;""</f>
        <v>秘法门</v>
      </c>
      <c r="AC393" s="394" t="str">
        <f>IFERROR(IF(AND($Q394&lt;&gt;"",IF(法术查询!$J$4="",1,INDEX($R394:$Z394,1,VLOOKUP(法术查询!$J$4,$AF$2:$AG$10,2,0)))&lt;&gt;"",IF(法术查询!$J$5="",1,$P394=VLOOKUP(法术查询!$J$5,$AH$2:$AI$11,2,0)),IF(法术查询!$J$6="",1,IF(法术查询!$J$6=$E394,1,0)),IF(法术查询!$J$7="",1,SEARCH(法术查询!$J$7,$F394)),IF(法术查询!$J$8="",1,SEARCH(法术查询!$J$8,G394)),IF(法术查询!$J$9="",1,SEARCH(法术查询!$J$9,N394)),IF(法术查询!$J$10="",1,IF(法术查询!$J$10=$AF$11,IF($M394=1,1,0),IF($M394="",1,0))),IF(法术查询!$J$11="",1,IF(法术查询!$J$11=$AF$11,IF($D394=1,1,0),IF($D394="",1,0))),IF(法术查询!$J$12="",1,SEARCH(法术查询!$J$12,$B394&amp;$C394&amp;$O394)),IF(法术查询!$J$13="",1,SEARCH(法术查询!$J$13,$B394&amp;$C394&amp;$O394)),IF(法术查询!$J$14="",1,SEARCH(法术查询!$J$14,$B394&amp;$C394&amp;$O394)),IF(法术查询!$J$16="",1,IF(法术查询!$J$16=$AF$11,IF($H394=1,1,0),IF($H394="",1,0))),IF(法术查询!$J$17="",1,IF(法术查询!$J$17=$AF$11,IF($I394=1,1,0),IF($I394="",1,0))),IF(法术查询!$J$18="",1,IF(法术查询!$J$18=$AF$11,IF($J394&lt;&gt;"",1,0),IF($J394="",1,0))),IF(法术查询!$J$19="",1,IF(法术查询!$J$19=$AF$11,IF($L394&lt;&gt;"",1,0),IF($L394="",1,0)))),$B394,""),"")</f>
        <v/>
      </c>
      <c r="AD393" s="180" t="str">
        <f t="array" ref="AD393">INDEX(AC:AC,SMALL(IF($AC$2:$AC$516&lt;&gt;"",ROW($2:$516),517),ROW(AC392)))&amp;""</f>
        <v/>
      </c>
      <c r="AE393" s="198" t="str">
        <f t="shared" si="10"/>
        <v/>
      </c>
    </row>
    <row r="394" spans="1:31" ht="14.4" customHeight="1" x14ac:dyDescent="0.25">
      <c r="A394" s="250">
        <v>392</v>
      </c>
      <c r="B394" s="119" t="s">
        <v>7967</v>
      </c>
      <c r="C394" s="119" t="s">
        <v>7968</v>
      </c>
      <c r="E394" s="435" t="s">
        <v>6312</v>
      </c>
      <c r="F394" s="180" t="s">
        <v>6446</v>
      </c>
      <c r="G394" s="180" t="s">
        <v>6298</v>
      </c>
      <c r="H394" s="180">
        <v>1</v>
      </c>
      <c r="I394" s="180">
        <v>1</v>
      </c>
      <c r="K394" s="119"/>
      <c r="N394" s="180" t="s">
        <v>6292</v>
      </c>
      <c r="O394" s="119" t="s">
        <v>7969</v>
      </c>
      <c r="P394" s="119">
        <v>5</v>
      </c>
      <c r="Q394" s="257" t="str">
        <f>IF(综合数据!$B$11=TRUE,"EGtW","")</f>
        <v>EGtW</v>
      </c>
      <c r="AA394" s="120" t="s">
        <v>3551</v>
      </c>
      <c r="AB394" s="250" t="str">
        <f t="array" ref="AB394">INDEX(B:B,SMALL(IF($Q$3:$Q$517&lt;&gt;"",ROW($3:$517),518),ROW(B393)))&amp;""</f>
        <v>剑刃护壁</v>
      </c>
      <c r="AC394" s="394" t="str">
        <f>IFERROR(IF(AND($Q395&lt;&gt;"",IF(法术查询!$J$4="",1,INDEX($R395:$Z395,1,VLOOKUP(法术查询!$J$4,$AF$2:$AG$10,2,0)))&lt;&gt;"",IF(法术查询!$J$5="",1,$P395=VLOOKUP(法术查询!$J$5,$AH$2:$AI$11,2,0)),IF(法术查询!$J$6="",1,IF(法术查询!$J$6=$E395,1,0)),IF(法术查询!$J$7="",1,SEARCH(法术查询!$J$7,$F395)),IF(法术查询!$J$8="",1,SEARCH(法术查询!$J$8,G395)),IF(法术查询!$J$9="",1,SEARCH(法术查询!$J$9,N395)),IF(法术查询!$J$10="",1,IF(法术查询!$J$10=$AF$11,IF($M395=1,1,0),IF($M395="",1,0))),IF(法术查询!$J$11="",1,IF(法术查询!$J$11=$AF$11,IF($D395=1,1,0),IF($D395="",1,0))),IF(法术查询!$J$12="",1,SEARCH(法术查询!$J$12,$B395&amp;$C395&amp;$O395)),IF(法术查询!$J$13="",1,SEARCH(法术查询!$J$13,$B395&amp;$C395&amp;$O395)),IF(法术查询!$J$14="",1,SEARCH(法术查询!$J$14,$B395&amp;$C395&amp;$O395)),IF(法术查询!$J$16="",1,IF(法术查询!$J$16=$AF$11,IF($H395=1,1,0),IF($H395="",1,0))),IF(法术查询!$J$17="",1,IF(法术查询!$J$17=$AF$11,IF($I395=1,1,0),IF($I395="",1,0))),IF(法术查询!$J$18="",1,IF(法术查询!$J$18=$AF$11,IF($J395&lt;&gt;"",1,0),IF($J395="",1,0))),IF(法术查询!$J$19="",1,IF(法术查询!$J$19=$AF$11,IF($L395&lt;&gt;"",1,0),IF($L395="",1,0)))),$B395,""),"")</f>
        <v/>
      </c>
      <c r="AD394" s="180" t="str">
        <f t="array" ref="AD394">INDEX(AC:AC,SMALL(IF($AC$2:$AC$516&lt;&gt;"",ROW($2:$516),517),ROW(AC393)))&amp;""</f>
        <v/>
      </c>
      <c r="AE394" s="198" t="str">
        <f t="shared" si="10"/>
        <v/>
      </c>
    </row>
    <row r="395" spans="1:31" ht="14.4" customHeight="1" x14ac:dyDescent="0.25">
      <c r="A395" s="250">
        <v>393</v>
      </c>
      <c r="B395" s="119" t="s">
        <v>7970</v>
      </c>
      <c r="C395" s="119" t="s">
        <v>7971</v>
      </c>
      <c r="E395" s="378" t="s">
        <v>6281</v>
      </c>
      <c r="F395" s="180" t="s">
        <v>6282</v>
      </c>
      <c r="G395" s="180" t="s">
        <v>6400</v>
      </c>
      <c r="H395" s="180">
        <v>1</v>
      </c>
      <c r="I395" s="180">
        <v>1</v>
      </c>
      <c r="J395" s="180">
        <v>1</v>
      </c>
      <c r="K395" s="119" t="s">
        <v>7972</v>
      </c>
      <c r="M395" s="180">
        <v>1</v>
      </c>
      <c r="N395" s="180" t="s">
        <v>6379</v>
      </c>
      <c r="O395" s="119" t="s">
        <v>7973</v>
      </c>
      <c r="P395" s="119">
        <v>5</v>
      </c>
      <c r="Q395" s="443" t="str">
        <f>IF(综合数据!$B$14=TRUE,"TCE","")</f>
        <v>TCE</v>
      </c>
      <c r="S395" s="180">
        <v>13</v>
      </c>
      <c r="U395" s="180">
        <v>13</v>
      </c>
      <c r="AA395" s="120"/>
      <c r="AB395" s="250" t="str">
        <f t="array" ref="AB395">INDEX(B:B,SMALL(IF($Q$3:$Q$517&lt;&gt;"",ROW($3:$517),518),ROW(B394)))&amp;""</f>
        <v>连锁闪电</v>
      </c>
      <c r="AC395" s="394" t="str">
        <f>IFERROR(IF(AND($Q396&lt;&gt;"",IF(法术查询!$J$4="",1,INDEX($R396:$Z396,1,VLOOKUP(法术查询!$J$4,$AF$2:$AG$10,2,0)))&lt;&gt;"",IF(法术查询!$J$5="",1,$P396=VLOOKUP(法术查询!$J$5,$AH$2:$AI$11,2,0)),IF(法术查询!$J$6="",1,IF(法术查询!$J$6=$E396,1,0)),IF(法术查询!$J$7="",1,SEARCH(法术查询!$J$7,$F396)),IF(法术查询!$J$8="",1,SEARCH(法术查询!$J$8,G396)),IF(法术查询!$J$9="",1,SEARCH(法术查询!$J$9,N396)),IF(法术查询!$J$10="",1,IF(法术查询!$J$10=$AF$11,IF($M396=1,1,0),IF($M396="",1,0))),IF(法术查询!$J$11="",1,IF(法术查询!$J$11=$AF$11,IF($D396=1,1,0),IF($D396="",1,0))),IF(法术查询!$J$12="",1,SEARCH(法术查询!$J$12,$B396&amp;$C396&amp;$O396)),IF(法术查询!$J$13="",1,SEARCH(法术查询!$J$13,$B396&amp;$C396&amp;$O396)),IF(法术查询!$J$14="",1,SEARCH(法术查询!$J$14,$B396&amp;$C396&amp;$O396)),IF(法术查询!$J$16="",1,IF(法术查询!$J$16=$AF$11,IF($H396=1,1,0),IF($H396="",1,0))),IF(法术查询!$J$17="",1,IF(法术查询!$J$17=$AF$11,IF($I396=1,1,0),IF($I396="",1,0))),IF(法术查询!$J$18="",1,IF(法术查询!$J$18=$AF$11,IF($J396&lt;&gt;"",1,0),IF($J396="",1,0))),IF(法术查询!$J$19="",1,IF(法术查询!$J$19=$AF$11,IF($L396&lt;&gt;"",1,0),IF($L396="",1,0)))),$B396,""),"")</f>
        <v>龙类精魂召唤术</v>
      </c>
      <c r="AD395" s="180" t="str">
        <f t="array" ref="AD395">INDEX(AC:AC,SMALL(IF($AC$2:$AC$516&lt;&gt;"",ROW($2:$516),517),ROW(AC394)))&amp;""</f>
        <v/>
      </c>
      <c r="AE395" s="198" t="str">
        <f t="shared" si="10"/>
        <v/>
      </c>
    </row>
    <row r="396" spans="1:31" ht="14.4" customHeight="1" x14ac:dyDescent="0.25">
      <c r="A396" s="250">
        <v>394</v>
      </c>
      <c r="B396" s="119" t="s">
        <v>7974</v>
      </c>
      <c r="C396" s="119" t="s">
        <v>7975</v>
      </c>
      <c r="E396" s="378" t="s">
        <v>6281</v>
      </c>
      <c r="F396" s="180" t="s">
        <v>6282</v>
      </c>
      <c r="G396" s="180" t="s">
        <v>6283</v>
      </c>
      <c r="H396" s="180">
        <v>1</v>
      </c>
      <c r="I396" s="180">
        <v>1</v>
      </c>
      <c r="J396" s="180">
        <v>1</v>
      </c>
      <c r="K396" s="119" t="s">
        <v>7976</v>
      </c>
      <c r="M396" s="180">
        <v>1</v>
      </c>
      <c r="N396" s="180" t="s">
        <v>6379</v>
      </c>
      <c r="O396" s="119" t="s">
        <v>7977</v>
      </c>
      <c r="P396" s="180">
        <v>5</v>
      </c>
      <c r="Q396" s="445" t="str">
        <f>IF(综合数据!$B$16=TRUE,"FTD","")</f>
        <v>FTD</v>
      </c>
      <c r="T396" s="180">
        <v>15</v>
      </c>
      <c r="W396" s="180">
        <v>15</v>
      </c>
      <c r="X396" s="180">
        <v>15</v>
      </c>
      <c r="AA396" s="198"/>
      <c r="AB396" s="250" t="str">
        <f t="array" ref="AB396">INDEX(B:B,SMALL(IF($Q$3:$Q$517&lt;&gt;"",ROW($3:$517),518),ROW(B395)))&amp;""</f>
        <v>死亡法阵</v>
      </c>
      <c r="AC396" s="394" t="str">
        <f>IFERROR(IF(AND($Q397&lt;&gt;"",IF(法术查询!$J$4="",1,INDEX($R397:$Z397,1,VLOOKUP(法术查询!$J$4,$AF$2:$AG$10,2,0)))&lt;&gt;"",IF(法术查询!$J$5="",1,$P397=VLOOKUP(法术查询!$J$5,$AH$2:$AI$11,2,0)),IF(法术查询!$J$6="",1,IF(法术查询!$J$6=$E397,1,0)),IF(法术查询!$J$7="",1,SEARCH(法术查询!$J$7,$F397)),IF(法术查询!$J$8="",1,SEARCH(法术查询!$J$8,G397)),IF(法术查询!$J$9="",1,SEARCH(法术查询!$J$9,N397)),IF(法术查询!$J$10="",1,IF(法术查询!$J$10=$AF$11,IF($M397=1,1,0),IF($M397="",1,0))),IF(法术查询!$J$11="",1,IF(法术查询!$J$11=$AF$11,IF($D397=1,1,0),IF($D397="",1,0))),IF(法术查询!$J$12="",1,SEARCH(法术查询!$J$12,$B397&amp;$C397&amp;$O397)),IF(法术查询!$J$13="",1,SEARCH(法术查询!$J$13,$B397&amp;$C397&amp;$O397)),IF(法术查询!$J$14="",1,SEARCH(法术查询!$J$14,$B397&amp;$C397&amp;$O397)),IF(法术查询!$J$16="",1,IF(法术查询!$J$16=$AF$11,IF($H397=1,1,0),IF($H397="",1,0))),IF(法术查询!$J$17="",1,IF(法术查询!$J$17=$AF$11,IF($I397=1,1,0),IF($I397="",1,0))),IF(法术查询!$J$18="",1,IF(法术查询!$J$18=$AF$11,IF($J397&lt;&gt;"",1,0),IF($J397="",1,0))),IF(法术查询!$J$19="",1,IF(法术查询!$J$19=$AF$11,IF($L397&lt;&gt;"",1,0),IF($L397="",1,0)))),$B397,""),"")</f>
        <v/>
      </c>
      <c r="AD396" s="180" t="str">
        <f t="array" ref="AD396">INDEX(AC:AC,SMALL(IF($AC$2:$AC$516&lt;&gt;"",ROW($2:$516),517),ROW(AC395)))&amp;""</f>
        <v/>
      </c>
      <c r="AE396" s="198" t="str">
        <f t="shared" si="10"/>
        <v/>
      </c>
    </row>
    <row r="397" spans="1:31" ht="14.4" customHeight="1" x14ac:dyDescent="0.25">
      <c r="A397" s="250">
        <v>395</v>
      </c>
      <c r="B397" s="119" t="s">
        <v>7978</v>
      </c>
      <c r="C397" s="119" t="s">
        <v>7979</v>
      </c>
      <c r="E397" s="378" t="s">
        <v>6281</v>
      </c>
      <c r="F397" s="180" t="s">
        <v>6282</v>
      </c>
      <c r="G397" s="180" t="s">
        <v>6433</v>
      </c>
      <c r="H397" s="180">
        <v>1</v>
      </c>
      <c r="I397" s="180">
        <v>1</v>
      </c>
      <c r="M397" s="180">
        <v>1</v>
      </c>
      <c r="N397" s="180" t="s">
        <v>6471</v>
      </c>
      <c r="O397" s="119" t="s">
        <v>7980</v>
      </c>
      <c r="P397" s="119">
        <v>6</v>
      </c>
      <c r="Q397" s="119" t="s">
        <v>242</v>
      </c>
      <c r="W397" s="180">
        <v>1</v>
      </c>
      <c r="X397" s="180">
        <v>1</v>
      </c>
      <c r="Y397" s="180">
        <v>1</v>
      </c>
      <c r="AA397" s="198"/>
      <c r="AB397" s="250" t="str">
        <f t="array" ref="AB397">INDEX(B:B,SMALL(IF($Q$3:$Q$517&lt;&gt;"",ROW($3:$517),518),ROW(B396)))&amp;""</f>
        <v>召唤精类生物</v>
      </c>
      <c r="AC397" s="394" t="str">
        <f>IFERROR(IF(AND($Q398&lt;&gt;"",IF(法术查询!$J$4="",1,INDEX($R398:$Z398,1,VLOOKUP(法术查询!$J$4,$AF$2:$AG$10,2,0)))&lt;&gt;"",IF(法术查询!$J$5="",1,$P398=VLOOKUP(法术查询!$J$5,$AH$2:$AI$11,2,0)),IF(法术查询!$J$6="",1,IF(法术查询!$J$6=$E398,1,0)),IF(法术查询!$J$7="",1,SEARCH(法术查询!$J$7,$F398)),IF(法术查询!$J$8="",1,SEARCH(法术查询!$J$8,G398)),IF(法术查询!$J$9="",1,SEARCH(法术查询!$J$9,N398)),IF(法术查询!$J$10="",1,IF(法术查询!$J$10=$AF$11,IF($M398=1,1,0),IF($M398="",1,0))),IF(法术查询!$J$11="",1,IF(法术查询!$J$11=$AF$11,IF($D398=1,1,0),IF($D398="",1,0))),IF(法术查询!$J$12="",1,SEARCH(法术查询!$J$12,$B398&amp;$C398&amp;$O398)),IF(法术查询!$J$13="",1,SEARCH(法术查询!$J$13,$B398&amp;$C398&amp;$O398)),IF(法术查询!$J$14="",1,SEARCH(法术查询!$J$14,$B398&amp;$C398&amp;$O398)),IF(法术查询!$J$16="",1,IF(法术查询!$J$16=$AF$11,IF($H398=1,1,0),IF($H398="",1,0))),IF(法术查询!$J$17="",1,IF(法术查询!$J$17=$AF$11,IF($I398=1,1,0),IF($I398="",1,0))),IF(法术查询!$J$18="",1,IF(法术查询!$J$18=$AF$11,IF($J398&lt;&gt;"",1,0),IF($J398="",1,0))),IF(法术查询!$J$19="",1,IF(法术查询!$J$19=$AF$11,IF($L398&lt;&gt;"",1,0),IF($L398="",1,0)))),$B398,""),"")</f>
        <v/>
      </c>
      <c r="AD397" s="180" t="str">
        <f t="array" ref="AD397">INDEX(AC:AC,SMALL(IF($AC$2:$AC$516&lt;&gt;"",ROW($2:$516),517),ROW(AC396)))&amp;""</f>
        <v/>
      </c>
      <c r="AE397" s="198" t="str">
        <f t="shared" si="10"/>
        <v/>
      </c>
    </row>
    <row r="398" spans="1:31" ht="14.4" customHeight="1" x14ac:dyDescent="0.25">
      <c r="A398" s="250">
        <v>396</v>
      </c>
      <c r="B398" s="119" t="s">
        <v>7981</v>
      </c>
      <c r="C398" s="119" t="s">
        <v>7982</v>
      </c>
      <c r="E398" s="434" t="s">
        <v>6304</v>
      </c>
      <c r="F398" s="180" t="s">
        <v>6282</v>
      </c>
      <c r="G398" s="180" t="s">
        <v>6400</v>
      </c>
      <c r="H398" s="180">
        <v>1</v>
      </c>
      <c r="I398" s="180">
        <v>1</v>
      </c>
      <c r="M398" s="180">
        <v>1</v>
      </c>
      <c r="N398" s="180" t="s">
        <v>6471</v>
      </c>
      <c r="O398" s="119" t="s">
        <v>7983</v>
      </c>
      <c r="P398" s="119">
        <v>6</v>
      </c>
      <c r="Q398" s="119" t="s">
        <v>242</v>
      </c>
      <c r="S398" s="180">
        <v>1</v>
      </c>
      <c r="AA398" s="198"/>
      <c r="AB398" s="250" t="str">
        <f t="array" ref="AB398">INDEX(B:B,SMALL(IF($Q$3:$Q$517&lt;&gt;"",ROW($3:$517),518),ROW(B397)))&amp;""</f>
        <v>触发术</v>
      </c>
      <c r="AC398" s="394" t="str">
        <f>IFERROR(IF(AND($Q399&lt;&gt;"",IF(法术查询!$J$4="",1,INDEX($R399:$Z399,1,VLOOKUP(法术查询!$J$4,$AF$2:$AG$10,2,0)))&lt;&gt;"",IF(法术查询!$J$5="",1,$P399=VLOOKUP(法术查询!$J$5,$AH$2:$AI$11,2,0)),IF(法术查询!$J$6="",1,IF(法术查询!$J$6=$E399,1,0)),IF(法术查询!$J$7="",1,SEARCH(法术查询!$J$7,$F399)),IF(法术查询!$J$8="",1,SEARCH(法术查询!$J$8,G399)),IF(法术查询!$J$9="",1,SEARCH(法术查询!$J$9,N399)),IF(法术查询!$J$10="",1,IF(法术查询!$J$10=$AF$11,IF($M399=1,1,0),IF($M399="",1,0))),IF(法术查询!$J$11="",1,IF(法术查询!$J$11=$AF$11,IF($D399=1,1,0),IF($D399="",1,0))),IF(法术查询!$J$12="",1,SEARCH(法术查询!$J$12,$B399&amp;$C399&amp;$O399)),IF(法术查询!$J$13="",1,SEARCH(法术查询!$J$13,$B399&amp;$C399&amp;$O399)),IF(法术查询!$J$14="",1,SEARCH(法术查询!$J$14,$B399&amp;$C399&amp;$O399)),IF(法术查询!$J$16="",1,IF(法术查询!$J$16=$AF$11,IF($H399=1,1,0),IF($H399="",1,0))),IF(法术查询!$J$17="",1,IF(法术查询!$J$17=$AF$11,IF($I399=1,1,0),IF($I399="",1,0))),IF(法术查询!$J$18="",1,IF(法术查询!$J$18=$AF$11,IF($J399&lt;&gt;"",1,0),IF($J399="",1,0))),IF(法术查询!$J$19="",1,IF(法术查询!$J$19=$AF$11,IF($L399&lt;&gt;"",1,0),IF($L399="",1,0)))),$B399,""),"")</f>
        <v/>
      </c>
      <c r="AD398" s="180" t="str">
        <f t="array" ref="AD398">INDEX(AC:AC,SMALL(IF($AC$2:$AC$516&lt;&gt;"",ROW($2:$516),517),ROW(AC397)))&amp;""</f>
        <v/>
      </c>
      <c r="AE398" s="198" t="str">
        <f t="shared" si="10"/>
        <v/>
      </c>
    </row>
    <row r="399" spans="1:31" ht="14.4" customHeight="1" x14ac:dyDescent="0.25">
      <c r="A399" s="250">
        <v>397</v>
      </c>
      <c r="B399" s="119" t="s">
        <v>7984</v>
      </c>
      <c r="C399" s="119" t="s">
        <v>7985</v>
      </c>
      <c r="E399" s="434" t="s">
        <v>6304</v>
      </c>
      <c r="F399" s="180" t="s">
        <v>6282</v>
      </c>
      <c r="G399" s="180" t="s">
        <v>6419</v>
      </c>
      <c r="H399" s="180">
        <v>1</v>
      </c>
      <c r="I399" s="180">
        <v>1</v>
      </c>
      <c r="J399" s="180">
        <v>1</v>
      </c>
      <c r="K399" s="119" t="s">
        <v>7986</v>
      </c>
      <c r="N399" s="180" t="s">
        <v>6284</v>
      </c>
      <c r="O399" s="119" t="s">
        <v>7987</v>
      </c>
      <c r="P399" s="119">
        <v>6</v>
      </c>
      <c r="Q399" s="119" t="s">
        <v>242</v>
      </c>
      <c r="W399" s="180">
        <v>1</v>
      </c>
      <c r="X399" s="180">
        <v>1</v>
      </c>
      <c r="AA399" s="198"/>
      <c r="AB399" s="250" t="str">
        <f t="array" ref="AB399">INDEX(B:B,SMALL(IF($Q$3:$Q$517&lt;&gt;"",ROW($3:$517),518),ROW(B398)))&amp;""</f>
        <v>唤起死灵</v>
      </c>
      <c r="AC399" s="394" t="str">
        <f>IFERROR(IF(AND($Q400&lt;&gt;"",IF(法术查询!$J$4="",1,INDEX($R400:$Z400,1,VLOOKUP(法术查询!$J$4,$AF$2:$AG$10,2,0)))&lt;&gt;"",IF(法术查询!$J$5="",1,$P400=VLOOKUP(法术查询!$J$5,$AH$2:$AI$11,2,0)),IF(法术查询!$J$6="",1,IF(法术查询!$J$6=$E400,1,0)),IF(法术查询!$J$7="",1,SEARCH(法术查询!$J$7,$F400)),IF(法术查询!$J$8="",1,SEARCH(法术查询!$J$8,G400)),IF(法术查询!$J$9="",1,SEARCH(法术查询!$J$9,N400)),IF(法术查询!$J$10="",1,IF(法术查询!$J$10=$AF$11,IF($M400=1,1,0),IF($M400="",1,0))),IF(法术查询!$J$11="",1,IF(法术查询!$J$11=$AF$11,IF($D400=1,1,0),IF($D400="",1,0))),IF(法术查询!$J$12="",1,SEARCH(法术查询!$J$12,$B400&amp;$C400&amp;$O400)),IF(法术查询!$J$13="",1,SEARCH(法术查询!$J$13,$B400&amp;$C400&amp;$O400)),IF(法术查询!$J$14="",1,SEARCH(法术查询!$J$14,$B400&amp;$C400&amp;$O400)),IF(法术查询!$J$16="",1,IF(法术查询!$J$16=$AF$11,IF($H400=1,1,0),IF($H400="",1,0))),IF(法术查询!$J$17="",1,IF(法术查询!$J$17=$AF$11,IF($I400=1,1,0),IF($I400="",1,0))),IF(法术查询!$J$18="",1,IF(法术查询!$J$18=$AF$11,IF($J400&lt;&gt;"",1,0),IF($J400="",1,0))),IF(法术查询!$J$19="",1,IF(法术查询!$J$19=$AF$11,IF($L400&lt;&gt;"",1,0),IF($L400="",1,0)))),$B400,""),"")</f>
        <v/>
      </c>
      <c r="AD399" s="180" t="str">
        <f t="array" ref="AD399">INDEX(AC:AC,SMALL(IF($AC$2:$AC$516&lt;&gt;"",ROW($2:$516),517),ROW(AC398)))&amp;""</f>
        <v/>
      </c>
      <c r="AE399" s="198" t="str">
        <f t="shared" si="10"/>
        <v/>
      </c>
    </row>
    <row r="400" spans="1:31" ht="14.4" customHeight="1" x14ac:dyDescent="0.25">
      <c r="A400" s="250">
        <v>398</v>
      </c>
      <c r="B400" s="119" t="s">
        <v>7988</v>
      </c>
      <c r="C400" s="119" t="s">
        <v>7989</v>
      </c>
      <c r="E400" s="441" t="s">
        <v>6297</v>
      </c>
      <c r="F400" s="180" t="s">
        <v>6282</v>
      </c>
      <c r="G400" s="180" t="s">
        <v>6419</v>
      </c>
      <c r="H400" s="180">
        <v>1</v>
      </c>
      <c r="I400" s="180">
        <v>1</v>
      </c>
      <c r="J400" s="180">
        <v>1</v>
      </c>
      <c r="K400" s="119" t="s">
        <v>7990</v>
      </c>
      <c r="N400" s="180" t="s">
        <v>6284</v>
      </c>
      <c r="O400" s="119" t="s">
        <v>7991</v>
      </c>
      <c r="P400" s="119">
        <v>6</v>
      </c>
      <c r="Q400" s="119" t="s">
        <v>242</v>
      </c>
      <c r="W400" s="180">
        <v>1</v>
      </c>
      <c r="X400" s="180">
        <v>1</v>
      </c>
      <c r="Y400" s="180">
        <v>1</v>
      </c>
      <c r="AA400" s="198"/>
      <c r="AB400" s="250" t="str">
        <f t="array" ref="AB400">INDEX(B:B,SMALL(IF($Q$3:$Q$517&lt;&gt;"",ROW($3:$517),518),ROW(B399)))&amp;""</f>
        <v>解离术</v>
      </c>
      <c r="AC400" s="394" t="str">
        <f>IFERROR(IF(AND($Q401&lt;&gt;"",IF(法术查询!$J$4="",1,INDEX($R401:$Z401,1,VLOOKUP(法术查询!$J$4,$AF$2:$AG$10,2,0)))&lt;&gt;"",IF(法术查询!$J$5="",1,$P401=VLOOKUP(法术查询!$J$5,$AH$2:$AI$11,2,0)),IF(法术查询!$J$6="",1,IF(法术查询!$J$6=$E401,1,0)),IF(法术查询!$J$7="",1,SEARCH(法术查询!$J$7,$F401)),IF(法术查询!$J$8="",1,SEARCH(法术查询!$J$8,G401)),IF(法术查询!$J$9="",1,SEARCH(法术查询!$J$9,N401)),IF(法术查询!$J$10="",1,IF(法术查询!$J$10=$AF$11,IF($M401=1,1,0),IF($M401="",1,0))),IF(法术查询!$J$11="",1,IF(法术查询!$J$11=$AF$11,IF($D401=1,1,0),IF($D401="",1,0))),IF(法术查询!$J$12="",1,SEARCH(法术查询!$J$12,$B401&amp;$C401&amp;$O401)),IF(法术查询!$J$13="",1,SEARCH(法术查询!$J$13,$B401&amp;$C401&amp;$O401)),IF(法术查询!$J$14="",1,SEARCH(法术查询!$J$14,$B401&amp;$C401&amp;$O401)),IF(法术查询!$J$16="",1,IF(法术查询!$J$16=$AF$11,IF($H401=1,1,0),IF($H401="",1,0))),IF(法术查询!$J$17="",1,IF(法术查询!$J$17=$AF$11,IF($I401=1,1,0),IF($I401="",1,0))),IF(法术查询!$J$18="",1,IF(法术查询!$J$18=$AF$11,IF($J401&lt;&gt;"",1,0),IF($J401="",1,0))),IF(法术查询!$J$19="",1,IF(法术查询!$J$19=$AF$11,IF($L401&lt;&gt;"",1,0),IF($L401="",1,0)))),$B401,""),"")</f>
        <v/>
      </c>
      <c r="AD400" s="180" t="str">
        <f t="array" ref="AD400">INDEX(AC:AC,SMALL(IF($AC$2:$AC$516&lt;&gt;"",ROW($2:$516),517),ROW(AC399)))&amp;""</f>
        <v/>
      </c>
      <c r="AE400" s="198" t="str">
        <f t="shared" si="10"/>
        <v/>
      </c>
    </row>
    <row r="401" spans="1:31" ht="14.4" customHeight="1" x14ac:dyDescent="0.25">
      <c r="A401" s="250">
        <v>399</v>
      </c>
      <c r="B401" s="119" t="s">
        <v>7992</v>
      </c>
      <c r="C401" s="119" t="s">
        <v>7993</v>
      </c>
      <c r="E401" s="378" t="s">
        <v>6281</v>
      </c>
      <c r="F401" s="180" t="s">
        <v>6349</v>
      </c>
      <c r="G401" s="180" t="s">
        <v>6400</v>
      </c>
      <c r="H401" s="180">
        <v>1</v>
      </c>
      <c r="I401" s="180">
        <v>1</v>
      </c>
      <c r="M401" s="180">
        <v>1</v>
      </c>
      <c r="N401" s="180" t="s">
        <v>6379</v>
      </c>
      <c r="O401" s="119" t="s">
        <v>7994</v>
      </c>
      <c r="P401" s="119">
        <v>6</v>
      </c>
      <c r="Q401" s="119" t="s">
        <v>242</v>
      </c>
      <c r="T401" s="180">
        <v>1</v>
      </c>
      <c r="Y401" s="180">
        <v>1</v>
      </c>
      <c r="AA401" s="198"/>
      <c r="AB401" s="250" t="str">
        <f t="array" ref="AB401">INDEX(B:B,SMALL(IF($Q$3:$Q$517&lt;&gt;"",ROW($3:$517),518),ROW(B400)))&amp;""</f>
        <v>卓姆吉瞬间召唤</v>
      </c>
      <c r="AC401" s="394" t="str">
        <f>IFERROR(IF(AND($Q402&lt;&gt;"",IF(法术查询!$J$4="",1,INDEX($R402:$Z402,1,VLOOKUP(法术查询!$J$4,$AF$2:$AG$10,2,0)))&lt;&gt;"",IF(法术查询!$J$5="",1,$P402=VLOOKUP(法术查询!$J$5,$AH$2:$AI$11,2,0)),IF(法术查询!$J$6="",1,IF(法术查询!$J$6=$E402,1,0)),IF(法术查询!$J$7="",1,SEARCH(法术查询!$J$7,$F402)),IF(法术查询!$J$8="",1,SEARCH(法术查询!$J$8,G402)),IF(法术查询!$J$9="",1,SEARCH(法术查询!$J$9,N402)),IF(法术查询!$J$10="",1,IF(法术查询!$J$10=$AF$11,IF($M402=1,1,0),IF($M402="",1,0))),IF(法术查询!$J$11="",1,IF(法术查询!$J$11=$AF$11,IF($D402=1,1,0),IF($D402="",1,0))),IF(法术查询!$J$12="",1,SEARCH(法术查询!$J$12,$B402&amp;$C402&amp;$O402)),IF(法术查询!$J$13="",1,SEARCH(法术查询!$J$13,$B402&amp;$C402&amp;$O402)),IF(法术查询!$J$14="",1,SEARCH(法术查询!$J$14,$B402&amp;$C402&amp;$O402)),IF(法术查询!$J$16="",1,IF(法术查询!$J$16=$AF$11,IF($H402=1,1,0),IF($H402="",1,0))),IF(法术查询!$J$17="",1,IF(法术查询!$J$17=$AF$11,IF($I402=1,1,0),IF($I402="",1,0))),IF(法术查询!$J$18="",1,IF(法术查询!$J$18=$AF$11,IF($J402&lt;&gt;"",1,0),IF($J402="",1,0))),IF(法术查询!$J$19="",1,IF(法术查询!$J$19=$AF$11,IF($L402&lt;&gt;"",1,0),IF($L402="",1,0)))),$B402,""),"")</f>
        <v/>
      </c>
      <c r="AD401" s="180" t="str">
        <f t="array" ref="AD401">INDEX(AC:AC,SMALL(IF($AC$2:$AC$516&lt;&gt;"",ROW($2:$516),517),ROW(AC400)))&amp;""</f>
        <v/>
      </c>
      <c r="AE401" s="198" t="str">
        <f t="shared" si="10"/>
        <v/>
      </c>
    </row>
    <row r="402" spans="1:31" ht="14.4" customHeight="1" x14ac:dyDescent="0.25">
      <c r="A402" s="250">
        <v>400</v>
      </c>
      <c r="B402" s="119" t="s">
        <v>7995</v>
      </c>
      <c r="C402" s="119" t="s">
        <v>7996</v>
      </c>
      <c r="E402" s="434" t="s">
        <v>6304</v>
      </c>
      <c r="F402" s="180" t="s">
        <v>6371</v>
      </c>
      <c r="G402" s="180" t="s">
        <v>6291</v>
      </c>
      <c r="H402" s="180">
        <v>1</v>
      </c>
      <c r="I402" s="180">
        <v>1</v>
      </c>
      <c r="J402" s="180">
        <v>1</v>
      </c>
      <c r="K402" s="119" t="s">
        <v>7997</v>
      </c>
      <c r="N402" s="180" t="s">
        <v>6420</v>
      </c>
      <c r="O402" s="119" t="s">
        <v>7998</v>
      </c>
      <c r="P402" s="119">
        <v>6</v>
      </c>
      <c r="Q402" s="119" t="s">
        <v>242</v>
      </c>
      <c r="X402" s="180">
        <v>1</v>
      </c>
      <c r="AA402" s="198"/>
      <c r="AB402" s="250" t="str">
        <f t="array" ref="AB402">INDEX(B:B,SMALL(IF($Q$3:$Q$517&lt;&gt;"",ROW($3:$517),518),ROW(B401)))&amp;""</f>
        <v>摄心目光</v>
      </c>
      <c r="AC402" s="394" t="str">
        <f>IFERROR(IF(AND($Q403&lt;&gt;"",IF(法术查询!$J$4="",1,INDEX($R403:$Z403,1,VLOOKUP(法术查询!$J$4,$AF$2:$AG$10,2,0)))&lt;&gt;"",IF(法术查询!$J$5="",1,$P403=VLOOKUP(法术查询!$J$5,$AH$2:$AI$11,2,0)),IF(法术查询!$J$6="",1,IF(法术查询!$J$6=$E403,1,0)),IF(法术查询!$J$7="",1,SEARCH(法术查询!$J$7,$F403)),IF(法术查询!$J$8="",1,SEARCH(法术查询!$J$8,G403)),IF(法术查询!$J$9="",1,SEARCH(法术查询!$J$9,N403)),IF(法术查询!$J$10="",1,IF(法术查询!$J$10=$AF$11,IF($M403=1,1,0),IF($M403="",1,0))),IF(法术查询!$J$11="",1,IF(法术查询!$J$11=$AF$11,IF($D403=1,1,0),IF($D403="",1,0))),IF(法术查询!$J$12="",1,SEARCH(法术查询!$J$12,$B403&amp;$C403&amp;$O403)),IF(法术查询!$J$13="",1,SEARCH(法术查询!$J$13,$B403&amp;$C403&amp;$O403)),IF(法术查询!$J$14="",1,SEARCH(法术查询!$J$14,$B403&amp;$C403&amp;$O403)),IF(法术查询!$J$16="",1,IF(法术查询!$J$16=$AF$11,IF($H403=1,1,0),IF($H403="",1,0))),IF(法术查询!$J$17="",1,IF(法术查询!$J$17=$AF$11,IF($I403=1,1,0),IF($I403="",1,0))),IF(法术查询!$J$18="",1,IF(法术查询!$J$18=$AF$11,IF($J403&lt;&gt;"",1,0),IF($J403="",1,0))),IF(法术查询!$J$19="",1,IF(法术查询!$J$19=$AF$11,IF($L403&lt;&gt;"",1,0),IF($L403="",1,0)))),$B403,""),"")</f>
        <v/>
      </c>
      <c r="AD402" s="180" t="str">
        <f t="array" ref="AD402">INDEX(AC:AC,SMALL(IF($AC$2:$AC$516&lt;&gt;"",ROW($2:$516),517),ROW(AC401)))&amp;""</f>
        <v/>
      </c>
      <c r="AE402" s="198" t="str">
        <f t="shared" si="10"/>
        <v/>
      </c>
    </row>
    <row r="403" spans="1:31" ht="14.4" customHeight="1" x14ac:dyDescent="0.25">
      <c r="A403" s="250">
        <v>401</v>
      </c>
      <c r="B403" s="119" t="s">
        <v>7999</v>
      </c>
      <c r="C403" s="119" t="s">
        <v>8000</v>
      </c>
      <c r="E403" s="441" t="s">
        <v>6297</v>
      </c>
      <c r="F403" s="180" t="s">
        <v>6349</v>
      </c>
      <c r="G403" s="180" t="s">
        <v>6370</v>
      </c>
      <c r="H403" s="180">
        <v>1</v>
      </c>
      <c r="I403" s="180">
        <v>1</v>
      </c>
      <c r="J403" s="180">
        <v>1</v>
      </c>
      <c r="K403" s="119" t="s">
        <v>8001</v>
      </c>
      <c r="N403" s="180" t="s">
        <v>6284</v>
      </c>
      <c r="O403" s="119" t="s">
        <v>8002</v>
      </c>
      <c r="P403" s="119">
        <v>6</v>
      </c>
      <c r="Q403" s="119" t="s">
        <v>242</v>
      </c>
      <c r="S403" s="180">
        <v>1</v>
      </c>
      <c r="X403" s="180">
        <v>1</v>
      </c>
      <c r="Y403" s="180">
        <v>1</v>
      </c>
      <c r="AA403" s="198"/>
      <c r="AB403" s="250" t="str">
        <f t="array" ref="AB403">INDEX(B:B,SMALL(IF($Q$3:$Q$517&lt;&gt;"",ROW($3:$517),518),ROW(B402)))&amp;""</f>
        <v>寻路术</v>
      </c>
      <c r="AC403" s="394" t="str">
        <f>IFERROR(IF(AND($Q404&lt;&gt;"",IF(法术查询!$J$4="",1,INDEX($R404:$Z404,1,VLOOKUP(法术查询!$J$4,$AF$2:$AG$10,2,0)))&lt;&gt;"",IF(法术查询!$J$5="",1,$P404=VLOOKUP(法术查询!$J$5,$AH$2:$AI$11,2,0)),IF(法术查询!$J$6="",1,IF(法术查询!$J$6=$E404,1,0)),IF(法术查询!$J$7="",1,SEARCH(法术查询!$J$7,$F404)),IF(法术查询!$J$8="",1,SEARCH(法术查询!$J$8,G404)),IF(法术查询!$J$9="",1,SEARCH(法术查询!$J$9,N404)),IF(法术查询!$J$10="",1,IF(法术查询!$J$10=$AF$11,IF($M404=1,1,0),IF($M404="",1,0))),IF(法术查询!$J$11="",1,IF(法术查询!$J$11=$AF$11,IF($D404=1,1,0),IF($D404="",1,0))),IF(法术查询!$J$12="",1,SEARCH(法术查询!$J$12,$B404&amp;$C404&amp;$O404)),IF(法术查询!$J$13="",1,SEARCH(法术查询!$J$13,$B404&amp;$C404&amp;$O404)),IF(法术查询!$J$14="",1,SEARCH(法术查询!$J$14,$B404&amp;$C404&amp;$O404)),IF(法术查询!$J$16="",1,IF(法术查询!$J$16=$AF$11,IF($H404=1,1,0),IF($H404="",1,0))),IF(法术查询!$J$17="",1,IF(法术查询!$J$17=$AF$11,IF($I404=1,1,0),IF($I404="",1,0))),IF(法术查询!$J$18="",1,IF(法术查询!$J$18=$AF$11,IF($J404&lt;&gt;"",1,0),IF($J404="",1,0))),IF(法术查询!$J$19="",1,IF(法术查询!$J$19=$AF$11,IF($L404&lt;&gt;"",1,0),IF($L404="",1,0)))),$B404,""),"")</f>
        <v/>
      </c>
      <c r="AD403" s="180" t="str">
        <f t="array" ref="AD403">INDEX(AC:AC,SMALL(IF($AC$2:$AC$516&lt;&gt;"",ROW($2:$516),517),ROW(AC402)))&amp;""</f>
        <v/>
      </c>
      <c r="AE403" s="198" t="str">
        <f t="shared" si="10"/>
        <v/>
      </c>
    </row>
    <row r="404" spans="1:31" ht="14.4" customHeight="1" x14ac:dyDescent="0.25">
      <c r="A404" s="250">
        <v>402</v>
      </c>
      <c r="B404" s="119" t="s">
        <v>8003</v>
      </c>
      <c r="C404" s="119" t="s">
        <v>8004</v>
      </c>
      <c r="E404" s="435" t="s">
        <v>6312</v>
      </c>
      <c r="F404" s="180" t="s">
        <v>6282</v>
      </c>
      <c r="G404" s="180" t="s">
        <v>6283</v>
      </c>
      <c r="H404" s="180">
        <v>1</v>
      </c>
      <c r="I404" s="180">
        <v>1</v>
      </c>
      <c r="J404" s="180">
        <v>1</v>
      </c>
      <c r="K404" s="119" t="s">
        <v>8005</v>
      </c>
      <c r="N404" s="180" t="s">
        <v>6284</v>
      </c>
      <c r="O404" s="119" t="s">
        <v>8006</v>
      </c>
      <c r="P404" s="119">
        <v>6</v>
      </c>
      <c r="Q404" s="119" t="s">
        <v>242</v>
      </c>
      <c r="W404" s="180">
        <v>1</v>
      </c>
      <c r="X404" s="180">
        <v>1</v>
      </c>
      <c r="AA404" s="198"/>
      <c r="AB404" s="250" t="str">
        <f t="array" ref="AB404">INDEX(B:B,SMALL(IF($Q$3:$Q$517&lt;&gt;"",ROW($3:$517),518),ROW(B403)))&amp;""</f>
        <v>石化术</v>
      </c>
      <c r="AC404" s="394" t="str">
        <f>IFERROR(IF(AND($Q405&lt;&gt;"",IF(法术查询!$J$4="",1,INDEX($R405:$Z405,1,VLOOKUP(法术查询!$J$4,$AF$2:$AG$10,2,0)))&lt;&gt;"",IF(法术查询!$J$5="",1,$P405=VLOOKUP(法术查询!$J$5,$AH$2:$AI$11,2,0)),IF(法术查询!$J$6="",1,IF(法术查询!$J$6=$E405,1,0)),IF(法术查询!$J$7="",1,SEARCH(法术查询!$J$7,$F405)),IF(法术查询!$J$8="",1,SEARCH(法术查询!$J$8,G405)),IF(法术查询!$J$9="",1,SEARCH(法术查询!$J$9,N405)),IF(法术查询!$J$10="",1,IF(法术查询!$J$10=$AF$11,IF($M405=1,1,0),IF($M405="",1,0))),IF(法术查询!$J$11="",1,IF(法术查询!$J$11=$AF$11,IF($D405=1,1,0),IF($D405="",1,0))),IF(法术查询!$J$12="",1,SEARCH(法术查询!$J$12,$B405&amp;$C405&amp;$O405)),IF(法术查询!$J$13="",1,SEARCH(法术查询!$J$13,$B405&amp;$C405&amp;$O405)),IF(法术查询!$J$14="",1,SEARCH(法术查询!$J$14,$B405&amp;$C405&amp;$O405)),IF(法术查询!$J$16="",1,IF(法术查询!$J$16=$AF$11,IF($H405=1,1,0),IF($H405="",1,0))),IF(法术查询!$J$17="",1,IF(法术查询!$J$17=$AF$11,IF($I405=1,1,0),IF($I405="",1,0))),IF(法术查询!$J$18="",1,IF(法术查询!$J$18=$AF$11,IF($J405&lt;&gt;"",1,0),IF($J405="",1,0))),IF(法术查询!$J$19="",1,IF(法术查询!$J$19=$AF$11,IF($L405&lt;&gt;"",1,0),IF($L405="",1,0)))),$B405,""),"")</f>
        <v/>
      </c>
      <c r="AD404" s="180" t="str">
        <f t="array" ref="AD404">INDEX(AC:AC,SMALL(IF($AC$2:$AC$516&lt;&gt;"",ROW($2:$516),517),ROW(AC403)))&amp;""</f>
        <v/>
      </c>
      <c r="AE404" s="198" t="str">
        <f t="shared" si="10"/>
        <v/>
      </c>
    </row>
    <row r="405" spans="1:31" ht="14.4" customHeight="1" x14ac:dyDescent="0.25">
      <c r="A405" s="250">
        <v>403</v>
      </c>
      <c r="B405" s="119" t="s">
        <v>8007</v>
      </c>
      <c r="C405" s="119" t="s">
        <v>8008</v>
      </c>
      <c r="D405" s="180">
        <v>1</v>
      </c>
      <c r="E405" s="378" t="s">
        <v>6281</v>
      </c>
      <c r="F405" s="180" t="s">
        <v>6349</v>
      </c>
      <c r="G405" s="180" t="s">
        <v>3682</v>
      </c>
      <c r="H405" s="180">
        <v>1</v>
      </c>
      <c r="I405" s="180">
        <v>1</v>
      </c>
      <c r="J405" s="180">
        <v>1</v>
      </c>
      <c r="K405" s="119" t="s">
        <v>8009</v>
      </c>
      <c r="N405" s="180" t="s">
        <v>6434</v>
      </c>
      <c r="O405" s="119" t="s">
        <v>8010</v>
      </c>
      <c r="P405" s="119">
        <v>6</v>
      </c>
      <c r="Q405" s="119" t="s">
        <v>242</v>
      </c>
      <c r="X405" s="180">
        <v>1</v>
      </c>
      <c r="AA405" s="198"/>
      <c r="AB405" s="250" t="str">
        <f t="array" ref="AB405">INDEX(B:B,SMALL(IF($Q$3:$Q$517&lt;&gt;"",ROW($3:$517),518),ROW(B404)))&amp;""</f>
        <v>禁制术</v>
      </c>
      <c r="AC405" s="394" t="str">
        <f>IFERROR(IF(AND($Q406&lt;&gt;"",IF(法术查询!$J$4="",1,INDEX($R406:$Z406,1,VLOOKUP(法术查询!$J$4,$AF$2:$AG$10,2,0)))&lt;&gt;"",IF(法术查询!$J$5="",1,$P406=VLOOKUP(法术查询!$J$5,$AH$2:$AI$11,2,0)),IF(法术查询!$J$6="",1,IF(法术查询!$J$6=$E406,1,0)),IF(法术查询!$J$7="",1,SEARCH(法术查询!$J$7,$F406)),IF(法术查询!$J$8="",1,SEARCH(法术查询!$J$8,G406)),IF(法术查询!$J$9="",1,SEARCH(法术查询!$J$9,N406)),IF(法术查询!$J$10="",1,IF(法术查询!$J$10=$AF$11,IF($M406=1,1,0),IF($M406="",1,0))),IF(法术查询!$J$11="",1,IF(法术查询!$J$11=$AF$11,IF($D406=1,1,0),IF($D406="",1,0))),IF(法术查询!$J$12="",1,SEARCH(法术查询!$J$12,$B406&amp;$C406&amp;$O406)),IF(法术查询!$J$13="",1,SEARCH(法术查询!$J$13,$B406&amp;$C406&amp;$O406)),IF(法术查询!$J$14="",1,SEARCH(法术查询!$J$14,$B406&amp;$C406&amp;$O406)),IF(法术查询!$J$16="",1,IF(法术查询!$J$16=$AF$11,IF($H406=1,1,0),IF($H406="",1,0))),IF(法术查询!$J$17="",1,IF(法术查询!$J$17=$AF$11,IF($I406=1,1,0),IF($I406="",1,0))),IF(法术查询!$J$18="",1,IF(法术查询!$J$18=$AF$11,IF($J406&lt;&gt;"",1,0),IF($J406="",1,0))),IF(法术查询!$J$19="",1,IF(法术查询!$J$19=$AF$11,IF($L406&lt;&gt;"",1,0),IF($L406="",1,0)))),$B406,""),"")</f>
        <v/>
      </c>
      <c r="AD405" s="180" t="str">
        <f t="array" ref="AD405">INDEX(AC:AC,SMALL(IF($AC$2:$AC$516&lt;&gt;"",ROW($2:$516),517),ROW(AC404)))&amp;""</f>
        <v/>
      </c>
      <c r="AE405" s="198" t="str">
        <f t="shared" si="10"/>
        <v/>
      </c>
    </row>
    <row r="406" spans="1:31" ht="14.4" customHeight="1" x14ac:dyDescent="0.25">
      <c r="A406" s="250">
        <v>404</v>
      </c>
      <c r="B406" s="119" t="s">
        <v>8011</v>
      </c>
      <c r="C406" s="119" t="s">
        <v>8012</v>
      </c>
      <c r="E406" s="441" t="s">
        <v>6297</v>
      </c>
      <c r="F406" s="180" t="s">
        <v>6282</v>
      </c>
      <c r="G406" s="180" t="s">
        <v>6291</v>
      </c>
      <c r="H406" s="180">
        <v>1</v>
      </c>
      <c r="I406" s="180">
        <v>1</v>
      </c>
      <c r="M406" s="180">
        <v>1</v>
      </c>
      <c r="N406" s="180" t="s">
        <v>6306</v>
      </c>
      <c r="O406" s="119" t="s">
        <v>8013</v>
      </c>
      <c r="P406" s="119">
        <v>6</v>
      </c>
      <c r="Q406" s="119" t="s">
        <v>242</v>
      </c>
      <c r="R406" s="180">
        <v>1</v>
      </c>
      <c r="W406" s="180">
        <v>1</v>
      </c>
      <c r="X406" s="180">
        <v>1</v>
      </c>
      <c r="Y406" s="180">
        <v>1</v>
      </c>
      <c r="AA406" s="198"/>
      <c r="AB406" s="250" t="str">
        <f t="array" ref="AB406">INDEX(B:B,SMALL(IF($Q$3:$Q$517&lt;&gt;"",ROW($3:$517),518),ROW(B405)))&amp;""</f>
        <v>法术无效结界</v>
      </c>
      <c r="AC406" s="394" t="str">
        <f>IFERROR(IF(AND($Q407&lt;&gt;"",IF(法术查询!$J$4="",1,INDEX($R407:$Z407,1,VLOOKUP(法术查询!$J$4,$AF$2:$AG$10,2,0)))&lt;&gt;"",IF(法术查询!$J$5="",1,$P407=VLOOKUP(法术查询!$J$5,$AH$2:$AI$11,2,0)),IF(法术查询!$J$6="",1,IF(法术查询!$J$6=$E407,1,0)),IF(法术查询!$J$7="",1,SEARCH(法术查询!$J$7,$F407)),IF(法术查询!$J$8="",1,SEARCH(法术查询!$J$8,G407)),IF(法术查询!$J$9="",1,SEARCH(法术查询!$J$9,N407)),IF(法术查询!$J$10="",1,IF(法术查询!$J$10=$AF$11,IF($M407=1,1,0),IF($M407="",1,0))),IF(法术查询!$J$11="",1,IF(法术查询!$J$11=$AF$11,IF($D407=1,1,0),IF($D407="",1,0))),IF(法术查询!$J$12="",1,SEARCH(法术查询!$J$12,$B407&amp;$C407&amp;$O407)),IF(法术查询!$J$13="",1,SEARCH(法术查询!$J$13,$B407&amp;$C407&amp;$O407)),IF(法术查询!$J$14="",1,SEARCH(法术查询!$J$14,$B407&amp;$C407&amp;$O407)),IF(法术查询!$J$16="",1,IF(法术查询!$J$16=$AF$11,IF($H407=1,1,0),IF($H407="",1,0))),IF(法术查询!$J$17="",1,IF(法术查询!$J$17=$AF$11,IF($I407=1,1,0),IF($I407="",1,0))),IF(法术查询!$J$18="",1,IF(法术查询!$J$18=$AF$11,IF($J407&lt;&gt;"",1,0),IF($J407="",1,0))),IF(法术查询!$J$19="",1,IF(法术查询!$J$19=$AF$11,IF($L407&lt;&gt;"",1,0),IF($L407="",1,0)))),$B407,""),"")</f>
        <v/>
      </c>
      <c r="AD406" s="180" t="str">
        <f t="array" ref="AD406">INDEX(AC:AC,SMALL(IF($AC$2:$AC$516&lt;&gt;"",ROW($2:$516),517),ROW(AC405)))&amp;""</f>
        <v/>
      </c>
      <c r="AE406" s="198" t="str">
        <f t="shared" si="10"/>
        <v/>
      </c>
    </row>
    <row r="407" spans="1:31" ht="14.4" customHeight="1" x14ac:dyDescent="0.25">
      <c r="A407" s="250">
        <v>405</v>
      </c>
      <c r="B407" s="119" t="s">
        <v>8014</v>
      </c>
      <c r="C407" s="119" t="s">
        <v>8015</v>
      </c>
      <c r="E407" s="438" t="s">
        <v>6335</v>
      </c>
      <c r="F407" s="180" t="s">
        <v>6349</v>
      </c>
      <c r="G407" s="180" t="s">
        <v>6291</v>
      </c>
      <c r="H407" s="180">
        <v>1</v>
      </c>
      <c r="I407" s="180">
        <v>1</v>
      </c>
      <c r="J407" s="180">
        <v>1</v>
      </c>
      <c r="K407" s="119" t="s">
        <v>8016</v>
      </c>
      <c r="M407" s="180">
        <v>1</v>
      </c>
      <c r="N407" s="180" t="s">
        <v>6495</v>
      </c>
      <c r="O407" s="119" t="s">
        <v>8017</v>
      </c>
      <c r="P407" s="119">
        <v>6</v>
      </c>
      <c r="Q407" s="119" t="s">
        <v>242</v>
      </c>
      <c r="R407" s="180">
        <v>1</v>
      </c>
      <c r="S407" s="180">
        <v>1</v>
      </c>
      <c r="T407" s="180">
        <v>1</v>
      </c>
      <c r="AA407" s="198"/>
      <c r="AB407" s="250" t="str">
        <f t="array" ref="AB407">INDEX(B:B,SMALL(IF($Q$3:$Q$517&lt;&gt;"",ROW($3:$517),518),ROW(B406)))&amp;""</f>
        <v>铜墙铁壁</v>
      </c>
      <c r="AC407" s="394" t="str">
        <f>IFERROR(IF(AND($Q408&lt;&gt;"",IF(法术查询!$J$4="",1,INDEX($R408:$Z408,1,VLOOKUP(法术查询!$J$4,$AF$2:$AG$10,2,0)))&lt;&gt;"",IF(法术查询!$J$5="",1,$P408=VLOOKUP(法术查询!$J$5,$AH$2:$AI$11,2,0)),IF(法术查询!$J$6="",1,IF(法术查询!$J$6=$E408,1,0)),IF(法术查询!$J$7="",1,SEARCH(法术查询!$J$7,$F408)),IF(法术查询!$J$8="",1,SEARCH(法术查询!$J$8,G408)),IF(法术查询!$J$9="",1,SEARCH(法术查询!$J$9,N408)),IF(法术查询!$J$10="",1,IF(法术查询!$J$10=$AF$11,IF($M408=1,1,0),IF($M408="",1,0))),IF(法术查询!$J$11="",1,IF(法术查询!$J$11=$AF$11,IF($D408=1,1,0),IF($D408="",1,0))),IF(法术查询!$J$12="",1,SEARCH(法术查询!$J$12,$B408&amp;$C408&amp;$O408)),IF(法术查询!$J$13="",1,SEARCH(法术查询!$J$13,$B408&amp;$C408&amp;$O408)),IF(法术查询!$J$14="",1,SEARCH(法术查询!$J$14,$B408&amp;$C408&amp;$O408)),IF(法术查询!$J$16="",1,IF(法术查询!$J$16=$AF$11,IF($H408=1,1,0),IF($H408="",1,0))),IF(法术查询!$J$17="",1,IF(法术查询!$J$17=$AF$11,IF($I408=1,1,0),IF($I408="",1,0))),IF(法术查询!$J$18="",1,IF(法术查询!$J$18=$AF$11,IF($J408&lt;&gt;"",1,0),IF($J408="",1,0))),IF(法术查询!$J$19="",1,IF(法术查询!$J$19=$AF$11,IF($L408&lt;&gt;"",1,0),IF($L408="",1,0)))),$B408,""),"")</f>
        <v/>
      </c>
      <c r="AD407" s="180" t="str">
        <f t="array" ref="AD407">INDEX(AC:AC,SMALL(IF($AC$2:$AC$516&lt;&gt;"",ROW($2:$516),517),ROW(AC406)))&amp;""</f>
        <v/>
      </c>
      <c r="AE407" s="198" t="str">
        <f t="shared" si="10"/>
        <v/>
      </c>
    </row>
    <row r="408" spans="1:31" ht="14.4" customHeight="1" x14ac:dyDescent="0.25">
      <c r="A408" s="250">
        <v>406</v>
      </c>
      <c r="B408" s="119" t="s">
        <v>8018</v>
      </c>
      <c r="C408" s="119" t="s">
        <v>8019</v>
      </c>
      <c r="E408" s="435" t="s">
        <v>6312</v>
      </c>
      <c r="F408" s="180" t="s">
        <v>6282</v>
      </c>
      <c r="G408" s="180" t="s">
        <v>6283</v>
      </c>
      <c r="H408" s="180">
        <v>1</v>
      </c>
      <c r="I408" s="180">
        <v>1</v>
      </c>
      <c r="J408" s="180">
        <v>1</v>
      </c>
      <c r="K408" s="119" t="s">
        <v>8020</v>
      </c>
      <c r="M408" s="180">
        <v>1</v>
      </c>
      <c r="N408" s="180" t="s">
        <v>6306</v>
      </c>
      <c r="O408" s="119" t="s">
        <v>8021</v>
      </c>
      <c r="P408" s="119">
        <v>6</v>
      </c>
      <c r="Q408" s="119" t="s">
        <v>242</v>
      </c>
      <c r="T408" s="180" t="str">
        <f>IF(综合数据!$B$14=TRUE,"13","")</f>
        <v>13</v>
      </c>
      <c r="W408" s="180" t="str">
        <f>IF(综合数据!$B$14=TRUE,"13","")</f>
        <v>13</v>
      </c>
      <c r="X408" s="180">
        <v>1</v>
      </c>
      <c r="Y408" s="180">
        <v>1</v>
      </c>
      <c r="AA408" s="198"/>
      <c r="AB408" s="250" t="str">
        <f t="array" ref="AB408">INDEX(B:B,SMALL(IF($Q$3:$Q$517&lt;&gt;"",ROW($3:$517),518),ROW(B407)))&amp;""</f>
        <v>重伤术</v>
      </c>
      <c r="AC408" s="394" t="str">
        <f>IFERROR(IF(AND($Q409&lt;&gt;"",IF(法术查询!$J$4="",1,INDEX($R409:$Z409,1,VLOOKUP(法术查询!$J$4,$AF$2:$AG$10,2,0)))&lt;&gt;"",IF(法术查询!$J$5="",1,$P409=VLOOKUP(法术查询!$J$5,$AH$2:$AI$11,2,0)),IF(法术查询!$J$6="",1,IF(法术查询!$J$6=$E409,1,0)),IF(法术查询!$J$7="",1,SEARCH(法术查询!$J$7,$F409)),IF(法术查询!$J$8="",1,SEARCH(法术查询!$J$8,G409)),IF(法术查询!$J$9="",1,SEARCH(法术查询!$J$9,N409)),IF(法术查询!$J$10="",1,IF(法术查询!$J$10=$AF$11,IF($M409=1,1,0),IF($M409="",1,0))),IF(法术查询!$J$11="",1,IF(法术查询!$J$11=$AF$11,IF($D409=1,1,0),IF($D409="",1,0))),IF(法术查询!$J$12="",1,SEARCH(法术查询!$J$12,$B409&amp;$C409&amp;$O409)),IF(法术查询!$J$13="",1,SEARCH(法术查询!$J$13,$B409&amp;$C409&amp;$O409)),IF(法术查询!$J$14="",1,SEARCH(法术查询!$J$14,$B409&amp;$C409&amp;$O409)),IF(法术查询!$J$16="",1,IF(法术查询!$J$16=$AF$11,IF($H409=1,1,0),IF($H409="",1,0))),IF(法术查询!$J$17="",1,IF(法术查询!$J$17=$AF$11,IF($I409=1,1,0),IF($I409="",1,0))),IF(法术查询!$J$18="",1,IF(法术查询!$J$18=$AF$11,IF($J409&lt;&gt;"",1,0),IF($J409="",1,0))),IF(法术查询!$J$19="",1,IF(法术查询!$J$19=$AF$11,IF($L409&lt;&gt;"",1,0),IF($L409="",1,0)))),$B409,""),"")</f>
        <v/>
      </c>
      <c r="AD408" s="180" t="str">
        <f t="array" ref="AD408">INDEX(AC:AC,SMALL(IF($AC$2:$AC$516&lt;&gt;"",ROW($2:$516),517),ROW(AC407)))&amp;""</f>
        <v/>
      </c>
      <c r="AE408" s="198" t="str">
        <f t="shared" si="10"/>
        <v/>
      </c>
    </row>
    <row r="409" spans="1:31" ht="14.4" customHeight="1" x14ac:dyDescent="0.25">
      <c r="A409" s="250">
        <v>407</v>
      </c>
      <c r="B409" s="119" t="s">
        <v>8022</v>
      </c>
      <c r="C409" s="119" t="s">
        <v>8023</v>
      </c>
      <c r="D409" s="180">
        <v>1</v>
      </c>
      <c r="E409" s="440" t="s">
        <v>6290</v>
      </c>
      <c r="F409" s="180" t="s">
        <v>6371</v>
      </c>
      <c r="G409" s="180" t="s">
        <v>3682</v>
      </c>
      <c r="H409" s="180">
        <v>1</v>
      </c>
      <c r="I409" s="180">
        <v>1</v>
      </c>
      <c r="J409" s="180">
        <v>1</v>
      </c>
      <c r="K409" s="119" t="s">
        <v>8024</v>
      </c>
      <c r="N409" s="180" t="s">
        <v>6407</v>
      </c>
      <c r="O409" s="119" t="s">
        <v>8025</v>
      </c>
      <c r="P409" s="119">
        <v>6</v>
      </c>
      <c r="Q409" s="119" t="s">
        <v>242</v>
      </c>
      <c r="S409" s="180">
        <v>1</v>
      </c>
      <c r="AA409" s="198"/>
      <c r="AB409" s="250" t="str">
        <f t="array" ref="AB409">INDEX(B:B,SMALL(IF($Q$3:$Q$517&lt;&gt;"",ROW($3:$517),518),ROW(B408)))&amp;""</f>
        <v>医疗术</v>
      </c>
      <c r="AC409" s="394" t="str">
        <f>IFERROR(IF(AND($Q410&lt;&gt;"",IF(法术查询!$J$4="",1,INDEX($R410:$Z410,1,VLOOKUP(法术查询!$J$4,$AF$2:$AG$10,2,0)))&lt;&gt;"",IF(法术查询!$J$5="",1,$P410=VLOOKUP(法术查询!$J$5,$AH$2:$AI$11,2,0)),IF(法术查询!$J$6="",1,IF(法术查询!$J$6=$E410,1,0)),IF(法术查询!$J$7="",1,SEARCH(法术查询!$J$7,$F410)),IF(法术查询!$J$8="",1,SEARCH(法术查询!$J$8,G410)),IF(法术查询!$J$9="",1,SEARCH(法术查询!$J$9,N410)),IF(法术查询!$J$10="",1,IF(法术查询!$J$10=$AF$11,IF($M410=1,1,0),IF($M410="",1,0))),IF(法术查询!$J$11="",1,IF(法术查询!$J$11=$AF$11,IF($D410=1,1,0),IF($D410="",1,0))),IF(法术查询!$J$12="",1,SEARCH(法术查询!$J$12,$B410&amp;$C410&amp;$O410)),IF(法术查询!$J$13="",1,SEARCH(法术查询!$J$13,$B410&amp;$C410&amp;$O410)),IF(法术查询!$J$14="",1,SEARCH(法术查询!$J$14,$B410&amp;$C410&amp;$O410)),IF(法术查询!$J$16="",1,IF(法术查询!$J$16=$AF$11,IF($H410=1,1,0),IF($H410="",1,0))),IF(法术查询!$J$17="",1,IF(法术查询!$J$17=$AF$11,IF($I410=1,1,0),IF($I410="",1,0))),IF(法术查询!$J$18="",1,IF(法术查询!$J$18=$AF$11,IF($J410&lt;&gt;"",1,0),IF($J410="",1,0))),IF(法术查询!$J$19="",1,IF(法术查询!$J$19=$AF$11,IF($L410&lt;&gt;"",1,0),IF($L410="",1,0)))),$B410,""),"")</f>
        <v/>
      </c>
      <c r="AD409" s="180" t="str">
        <f t="array" ref="AD409">INDEX(AC:AC,SMALL(IF($AC$2:$AC$516&lt;&gt;"",ROW($2:$516),517),ROW(AC408)))&amp;""</f>
        <v/>
      </c>
      <c r="AE409" s="198" t="str">
        <f t="shared" si="10"/>
        <v/>
      </c>
    </row>
    <row r="410" spans="1:31" ht="14.4" customHeight="1" x14ac:dyDescent="0.25">
      <c r="A410" s="250">
        <v>408</v>
      </c>
      <c r="B410" s="119" t="s">
        <v>8026</v>
      </c>
      <c r="C410" s="119" t="s">
        <v>8027</v>
      </c>
      <c r="E410" s="440" t="s">
        <v>6290</v>
      </c>
      <c r="F410" s="180" t="s">
        <v>6282</v>
      </c>
      <c r="G410" s="180" t="s">
        <v>6479</v>
      </c>
      <c r="H410" s="180">
        <v>1</v>
      </c>
      <c r="I410" s="180">
        <v>1</v>
      </c>
      <c r="J410" s="180">
        <v>1</v>
      </c>
      <c r="K410" s="119" t="s">
        <v>8028</v>
      </c>
      <c r="M410" s="180">
        <v>1</v>
      </c>
      <c r="N410" s="180" t="s">
        <v>6379</v>
      </c>
      <c r="O410" s="119" t="s">
        <v>8029</v>
      </c>
      <c r="P410" s="119">
        <v>6</v>
      </c>
      <c r="Q410" s="119" t="s">
        <v>242</v>
      </c>
      <c r="W410" s="180">
        <v>1</v>
      </c>
      <c r="X410" s="180">
        <v>1</v>
      </c>
      <c r="AA410" s="198"/>
      <c r="AB410" s="250" t="str">
        <f t="array" ref="AB410">INDEX(B:B,SMALL(IF($Q$3:$Q$517&lt;&gt;"",ROW($3:$517),518),ROW(B409)))&amp;""</f>
        <v>英雄宴</v>
      </c>
      <c r="AC410" s="394" t="str">
        <f>IFERROR(IF(AND($Q411&lt;&gt;"",IF(法术查询!$J$4="",1,INDEX($R411:$Z411,1,VLOOKUP(法术查询!$J$4,$AF$2:$AG$10,2,0)))&lt;&gt;"",IF(法术查询!$J$5="",1,$P411=VLOOKUP(法术查询!$J$5,$AH$2:$AI$11,2,0)),IF(法术查询!$J$6="",1,IF(法术查询!$J$6=$E411,1,0)),IF(法术查询!$J$7="",1,SEARCH(法术查询!$J$7,$F411)),IF(法术查询!$J$8="",1,SEARCH(法术查询!$J$8,G411)),IF(法术查询!$J$9="",1,SEARCH(法术查询!$J$9,N411)),IF(法术查询!$J$10="",1,IF(法术查询!$J$10=$AF$11,IF($M411=1,1,0),IF($M411="",1,0))),IF(法术查询!$J$11="",1,IF(法术查询!$J$11=$AF$11,IF($D411=1,1,0),IF($D411="",1,0))),IF(法术查询!$J$12="",1,SEARCH(法术查询!$J$12,$B411&amp;$C411&amp;$O411)),IF(法术查询!$J$13="",1,SEARCH(法术查询!$J$13,$B411&amp;$C411&amp;$O411)),IF(法术查询!$J$14="",1,SEARCH(法术查询!$J$14,$B411&amp;$C411&amp;$O411)),IF(法术查询!$J$16="",1,IF(法术查询!$J$16=$AF$11,IF($H411=1,1,0),IF($H411="",1,0))),IF(法术查询!$J$17="",1,IF(法术查询!$J$17=$AF$11,IF($I411=1,1,0),IF($I411="",1,0))),IF(法术查询!$J$18="",1,IF(法术查询!$J$18=$AF$11,IF($J411&lt;&gt;"",1,0),IF($J411="",1,0))),IF(法术查询!$J$19="",1,IF(法术查询!$J$19=$AF$11,IF($L411&lt;&gt;"",1,0),IF($L411="",1,0)))),$B411,""),"")</f>
        <v/>
      </c>
      <c r="AD410" s="180" t="str">
        <f t="array" ref="AD410">INDEX(AC:AC,SMALL(IF($AC$2:$AC$516&lt;&gt;"",ROW($2:$516),517),ROW(AC409)))&amp;""</f>
        <v/>
      </c>
      <c r="AE410" s="198" t="str">
        <f t="shared" si="10"/>
        <v/>
      </c>
    </row>
    <row r="411" spans="1:31" ht="14.4" customHeight="1" x14ac:dyDescent="0.25">
      <c r="A411" s="250">
        <v>409</v>
      </c>
      <c r="B411" s="119" t="s">
        <v>8030</v>
      </c>
      <c r="C411" s="119" t="s">
        <v>8031</v>
      </c>
      <c r="E411" s="440" t="s">
        <v>6290</v>
      </c>
      <c r="F411" s="180" t="s">
        <v>6371</v>
      </c>
      <c r="G411" s="180" t="s">
        <v>3682</v>
      </c>
      <c r="H411" s="180">
        <v>1</v>
      </c>
      <c r="I411" s="180">
        <v>1</v>
      </c>
      <c r="J411" s="180">
        <v>1</v>
      </c>
      <c r="K411" s="119" t="s">
        <v>8032</v>
      </c>
      <c r="N411" s="180" t="s">
        <v>6399</v>
      </c>
      <c r="O411" s="119" t="s">
        <v>8033</v>
      </c>
      <c r="P411" s="119">
        <v>6</v>
      </c>
      <c r="Q411" s="119" t="s">
        <v>242</v>
      </c>
      <c r="R411" s="180">
        <v>1</v>
      </c>
      <c r="X411" s="180">
        <v>1</v>
      </c>
      <c r="AA411" s="198"/>
      <c r="AB411" s="250" t="str">
        <f t="array" ref="AB411">INDEX(B:B,SMALL(IF($Q$3:$Q$517&lt;&gt;"",ROW($3:$517),518),ROW(B410)))&amp;""</f>
        <v>魔魂壶</v>
      </c>
      <c r="AC411" s="394" t="str">
        <f>IFERROR(IF(AND($Q412&lt;&gt;"",IF(法术查询!$J$4="",1,INDEX($R412:$Z412,1,VLOOKUP(法术查询!$J$4,$AF$2:$AG$10,2,0)))&lt;&gt;"",IF(法术查询!$J$5="",1,$P412=VLOOKUP(法术查询!$J$5,$AH$2:$AI$11,2,0)),IF(法术查询!$J$6="",1,IF(法术查询!$J$6=$E412,1,0)),IF(法术查询!$J$7="",1,SEARCH(法术查询!$J$7,$F412)),IF(法术查询!$J$8="",1,SEARCH(法术查询!$J$8,G412)),IF(法术查询!$J$9="",1,SEARCH(法术查询!$J$9,N412)),IF(法术查询!$J$10="",1,IF(法术查询!$J$10=$AF$11,IF($M412=1,1,0),IF($M412="",1,0))),IF(法术查询!$J$11="",1,IF(法术查询!$J$11=$AF$11,IF($D412=1,1,0),IF($D412="",1,0))),IF(法术查询!$J$12="",1,SEARCH(法术查询!$J$12,$B412&amp;$C412&amp;$O412)),IF(法术查询!$J$13="",1,SEARCH(法术查询!$J$13,$B412&amp;$C412&amp;$O412)),IF(法术查询!$J$14="",1,SEARCH(法术查询!$J$14,$B412&amp;$C412&amp;$O412)),IF(法术查询!$J$16="",1,IF(法术查询!$J$16=$AF$11,IF($H412=1,1,0),IF($H412="",1,0))),IF(法术查询!$J$17="",1,IF(法术查询!$J$17=$AF$11,IF($I412=1,1,0),IF($I412="",1,0))),IF(法术查询!$J$18="",1,IF(法术查询!$J$18=$AF$11,IF($J412&lt;&gt;"",1,0),IF($J412="",1,0))),IF(法术查询!$J$19="",1,IF(法术查询!$J$19=$AF$11,IF($L412&lt;&gt;"",1,0),IF($L412="",1,0)))),$B412,""),"")</f>
        <v/>
      </c>
      <c r="AD411" s="180" t="str">
        <f t="array" ref="AD411">INDEX(AC:AC,SMALL(IF($AC$2:$AC$516&lt;&gt;"",ROW($2:$516),517),ROW(AC410)))&amp;""</f>
        <v/>
      </c>
      <c r="AE411" s="198" t="str">
        <f t="shared" si="10"/>
        <v/>
      </c>
    </row>
    <row r="412" spans="1:31" ht="14.4" customHeight="1" x14ac:dyDescent="0.25">
      <c r="A412" s="250">
        <v>410</v>
      </c>
      <c r="B412" s="119" t="s">
        <v>8034</v>
      </c>
      <c r="C412" s="119" t="s">
        <v>8035</v>
      </c>
      <c r="E412" s="441" t="s">
        <v>6297</v>
      </c>
      <c r="F412" s="180" t="s">
        <v>6282</v>
      </c>
      <c r="G412" s="180" t="s">
        <v>6283</v>
      </c>
      <c r="H412" s="180">
        <v>1</v>
      </c>
      <c r="I412" s="180">
        <v>1</v>
      </c>
      <c r="N412" s="180" t="s">
        <v>6284</v>
      </c>
      <c r="O412" s="119" t="s">
        <v>8036</v>
      </c>
      <c r="P412" s="119">
        <v>6</v>
      </c>
      <c r="Q412" s="119" t="s">
        <v>242</v>
      </c>
      <c r="S412" s="180">
        <v>1</v>
      </c>
      <c r="AA412" s="198"/>
      <c r="AB412" s="250" t="str">
        <f t="array" ref="AB412">INDEX(B:B,SMALL(IF($Q$3:$Q$517&lt;&gt;"",ROW($3:$517),518),ROW(B411)))&amp;""</f>
        <v>群体暗示术</v>
      </c>
      <c r="AC412" s="394" t="str">
        <f>IFERROR(IF(AND($Q413&lt;&gt;"",IF(法术查询!$J$4="",1,INDEX($R413:$Z413,1,VLOOKUP(法术查询!$J$4,$AF$2:$AG$10,2,0)))&lt;&gt;"",IF(法术查询!$J$5="",1,$P413=VLOOKUP(法术查询!$J$5,$AH$2:$AI$11,2,0)),IF(法术查询!$J$6="",1,IF(法术查询!$J$6=$E413,1,0)),IF(法术查询!$J$7="",1,SEARCH(法术查询!$J$7,$F413)),IF(法术查询!$J$8="",1,SEARCH(法术查询!$J$8,G413)),IF(法术查询!$J$9="",1,SEARCH(法术查询!$J$9,N413)),IF(法术查询!$J$10="",1,IF(法术查询!$J$10=$AF$11,IF($M413=1,1,0),IF($M413="",1,0))),IF(法术查询!$J$11="",1,IF(法术查询!$J$11=$AF$11,IF($D413=1,1,0),IF($D413="",1,0))),IF(法术查询!$J$12="",1,SEARCH(法术查询!$J$12,$B413&amp;$C413&amp;$O413)),IF(法术查询!$J$13="",1,SEARCH(法术查询!$J$13,$B413&amp;$C413&amp;$O413)),IF(法术查询!$J$14="",1,SEARCH(法术查询!$J$14,$B413&amp;$C413&amp;$O413)),IF(法术查询!$J$16="",1,IF(法术查询!$J$16=$AF$11,IF($H413=1,1,0),IF($H413="",1,0))),IF(法术查询!$J$17="",1,IF(法术查询!$J$17=$AF$11,IF($I413=1,1,0),IF($I413="",1,0))),IF(法术查询!$J$18="",1,IF(法术查询!$J$18=$AF$11,IF($J413&lt;&gt;"",1,0),IF($J413="",1,0))),IF(法术查询!$J$19="",1,IF(法术查询!$J$19=$AF$11,IF($L413&lt;&gt;"",1,0),IF($L413="",1,0)))),$B413,""),"")</f>
        <v/>
      </c>
      <c r="AD412" s="180" t="str">
        <f t="array" ref="AD412">INDEX(AC:AC,SMALL(IF($AC$2:$AC$516&lt;&gt;"",ROW($2:$516),517),ROW(AC411)))&amp;""</f>
        <v/>
      </c>
      <c r="AE412" s="198" t="str">
        <f t="shared" si="10"/>
        <v/>
      </c>
    </row>
    <row r="413" spans="1:31" ht="14.4" customHeight="1" x14ac:dyDescent="0.25">
      <c r="A413" s="250">
        <v>411</v>
      </c>
      <c r="B413" s="119" t="s">
        <v>8037</v>
      </c>
      <c r="C413" s="119" t="s">
        <v>8038</v>
      </c>
      <c r="E413" s="434" t="s">
        <v>6304</v>
      </c>
      <c r="F413" s="180" t="s">
        <v>6282</v>
      </c>
      <c r="G413" s="180" t="s">
        <v>6283</v>
      </c>
      <c r="H413" s="180">
        <v>1</v>
      </c>
      <c r="I413" s="180">
        <v>1</v>
      </c>
      <c r="N413" s="180" t="s">
        <v>6284</v>
      </c>
      <c r="O413" s="119" t="s">
        <v>8039</v>
      </c>
      <c r="P413" s="119">
        <v>6</v>
      </c>
      <c r="Q413" s="119" t="s">
        <v>242</v>
      </c>
      <c r="S413" s="180">
        <v>1</v>
      </c>
      <c r="T413" s="180">
        <v>1</v>
      </c>
      <c r="AA413" s="198" t="s">
        <v>1665</v>
      </c>
      <c r="AB413" s="250" t="str">
        <f t="array" ref="AB413">INDEX(B:B,SMALL(IF($Q$3:$Q$517&lt;&gt;"",ROW($3:$517),518),ROW(B412)))&amp;""</f>
        <v>地动术</v>
      </c>
      <c r="AC413" s="394" t="str">
        <f>IFERROR(IF(AND($Q414&lt;&gt;"",IF(法术查询!$J$4="",1,INDEX($R414:$Z414,1,VLOOKUP(法术查询!$J$4,$AF$2:$AG$10,2,0)))&lt;&gt;"",IF(法术查询!$J$5="",1,$P414=VLOOKUP(法术查询!$J$5,$AH$2:$AI$11,2,0)),IF(法术查询!$J$6="",1,IF(法术查询!$J$6=$E414,1,0)),IF(法术查询!$J$7="",1,SEARCH(法术查询!$J$7,$F414)),IF(法术查询!$J$8="",1,SEARCH(法术查询!$J$8,G414)),IF(法术查询!$J$9="",1,SEARCH(法术查询!$J$9,N414)),IF(法术查询!$J$10="",1,IF(法术查询!$J$10=$AF$11,IF($M414=1,1,0),IF($M414="",1,0))),IF(法术查询!$J$11="",1,IF(法术查询!$J$11=$AF$11,IF($D414=1,1,0),IF($D414="",1,0))),IF(法术查询!$J$12="",1,SEARCH(法术查询!$J$12,$B414&amp;$C414&amp;$O414)),IF(法术查询!$J$13="",1,SEARCH(法术查询!$J$13,$B414&amp;$C414&amp;$O414)),IF(法术查询!$J$14="",1,SEARCH(法术查询!$J$14,$B414&amp;$C414&amp;$O414)),IF(法术查询!$J$16="",1,IF(法术查询!$J$16=$AF$11,IF($H414=1,1,0),IF($H414="",1,0))),IF(法术查询!$J$17="",1,IF(法术查询!$J$17=$AF$11,IF($I414=1,1,0),IF($I414="",1,0))),IF(法术查询!$J$18="",1,IF(法术查询!$J$18=$AF$11,IF($J414&lt;&gt;"",1,0),IF($J414="",1,0))),IF(法术查询!$J$19="",1,IF(法术查询!$J$19=$AF$11,IF($L414&lt;&gt;"",1,0),IF($L414="",1,0)))),$B414,""),"")</f>
        <v/>
      </c>
      <c r="AD413" s="180" t="str">
        <f t="array" ref="AD413">INDEX(AC:AC,SMALL(IF($AC$2:$AC$516&lt;&gt;"",ROW($2:$516),517),ROW(AC412)))&amp;""</f>
        <v/>
      </c>
      <c r="AE413" s="198" t="str">
        <f t="shared" si="10"/>
        <v/>
      </c>
    </row>
    <row r="414" spans="1:31" ht="14.4" customHeight="1" x14ac:dyDescent="0.25">
      <c r="A414" s="250">
        <v>412</v>
      </c>
      <c r="B414" s="119" t="s">
        <v>8040</v>
      </c>
      <c r="C414" s="119" t="s">
        <v>8041</v>
      </c>
      <c r="E414" s="378" t="s">
        <v>6281</v>
      </c>
      <c r="F414" s="180" t="s">
        <v>6371</v>
      </c>
      <c r="G414" s="180" t="s">
        <v>6313</v>
      </c>
      <c r="H414" s="180">
        <v>1</v>
      </c>
      <c r="I414" s="180">
        <v>1</v>
      </c>
      <c r="J414" s="180">
        <v>1</v>
      </c>
      <c r="L414" s="119" t="s">
        <v>8042</v>
      </c>
      <c r="N414" s="180" t="s">
        <v>6284</v>
      </c>
      <c r="O414" s="119" t="s">
        <v>8043</v>
      </c>
      <c r="P414" s="119">
        <v>6</v>
      </c>
      <c r="Q414" s="119" t="s">
        <v>242</v>
      </c>
      <c r="R414" s="180" t="str">
        <f>IF(综合数据!$B$14=TRUE,"13","")</f>
        <v>13</v>
      </c>
      <c r="S414" s="180">
        <v>1</v>
      </c>
      <c r="T414" s="180">
        <v>1</v>
      </c>
      <c r="AA414" s="198"/>
      <c r="AB414" s="250" t="str">
        <f t="array" ref="AB414">INDEX(B:B,SMALL(IF($Q$3:$Q$517&lt;&gt;"",ROW($3:$517),518),ROW(B413)))&amp;""</f>
        <v>欧提路克冰封法球</v>
      </c>
      <c r="AC414" s="394" t="str">
        <f>IFERROR(IF(AND($Q415&lt;&gt;"",IF(法术查询!$J$4="",1,INDEX($R415:$Z415,1,VLOOKUP(法术查询!$J$4,$AF$2:$AG$10,2,0)))&lt;&gt;"",IF(法术查询!$J$5="",1,$P415=VLOOKUP(法术查询!$J$5,$AH$2:$AI$11,2,0)),IF(法术查询!$J$6="",1,IF(法术查询!$J$6=$E415,1,0)),IF(法术查询!$J$7="",1,SEARCH(法术查询!$J$7,$F415)),IF(法术查询!$J$8="",1,SEARCH(法术查询!$J$8,G415)),IF(法术查询!$J$9="",1,SEARCH(法术查询!$J$9,N415)),IF(法术查询!$J$10="",1,IF(法术查询!$J$10=$AF$11,IF($M415=1,1,0),IF($M415="",1,0))),IF(法术查询!$J$11="",1,IF(法术查询!$J$11=$AF$11,IF($D415=1,1,0),IF($D415="",1,0))),IF(法术查询!$J$12="",1,SEARCH(法术查询!$J$12,$B415&amp;$C415&amp;$O415)),IF(法术查询!$J$13="",1,SEARCH(法术查询!$J$13,$B415&amp;$C415&amp;$O415)),IF(法术查询!$J$14="",1,SEARCH(法术查询!$J$14,$B415&amp;$C415&amp;$O415)),IF(法术查询!$J$16="",1,IF(法术查询!$J$16=$AF$11,IF($H415=1,1,0),IF($H415="",1,0))),IF(法术查询!$J$17="",1,IF(法术查询!$J$17=$AF$11,IF($I415=1,1,0),IF($I415="",1,0))),IF(法术查询!$J$18="",1,IF(法术查询!$J$18=$AF$11,IF($J415&lt;&gt;"",1,0),IF($J415="",1,0))),IF(法术查询!$J$19="",1,IF(法术查询!$J$19=$AF$11,IF($L415&lt;&gt;"",1,0),IF($L415="",1,0)))),$B415,""),"")</f>
        <v/>
      </c>
      <c r="AD414" s="180" t="str">
        <f t="array" ref="AD414">INDEX(AC:AC,SMALL(IF($AC$2:$AC$516&lt;&gt;"",ROW($2:$516),517),ROW(AC413)))&amp;""</f>
        <v/>
      </c>
      <c r="AE414" s="198" t="str">
        <f t="shared" si="10"/>
        <v/>
      </c>
    </row>
    <row r="415" spans="1:31" ht="14.4" customHeight="1" x14ac:dyDescent="0.25">
      <c r="A415" s="250">
        <v>413</v>
      </c>
      <c r="B415" s="119" t="s">
        <v>8044</v>
      </c>
      <c r="C415" s="119" t="s">
        <v>8045</v>
      </c>
      <c r="E415" s="441" t="s">
        <v>6297</v>
      </c>
      <c r="F415" s="180" t="s">
        <v>6349</v>
      </c>
      <c r="G415" s="180" t="s">
        <v>6291</v>
      </c>
      <c r="H415" s="180">
        <v>1</v>
      </c>
      <c r="I415" s="180">
        <v>1</v>
      </c>
      <c r="J415" s="180">
        <v>1</v>
      </c>
      <c r="K415" s="119" t="s">
        <v>8046</v>
      </c>
      <c r="N415" s="180" t="s">
        <v>6434</v>
      </c>
      <c r="O415" s="119" t="s">
        <v>8047</v>
      </c>
      <c r="P415" s="119">
        <v>6</v>
      </c>
      <c r="Q415" s="119" t="s">
        <v>242</v>
      </c>
      <c r="X415" s="180">
        <v>1</v>
      </c>
      <c r="AA415" s="198"/>
      <c r="AB415" s="250" t="str">
        <f t="array" ref="AB415">INDEX(B:B,SMALL(IF($Q$3:$Q$517&lt;&gt;"",ROW($3:$517),518),ROW(B414)))&amp;""</f>
        <v>奥图迷舞</v>
      </c>
      <c r="AC415" s="394" t="str">
        <f>IFERROR(IF(AND($Q416&lt;&gt;"",IF(法术查询!$J$4="",1,INDEX($R416:$Z416,1,VLOOKUP(法术查询!$J$4,$AF$2:$AG$10,2,0)))&lt;&gt;"",IF(法术查询!$J$5="",1,$P416=VLOOKUP(法术查询!$J$5,$AH$2:$AI$11,2,0)),IF(法术查询!$J$6="",1,IF(法术查询!$J$6=$E416,1,0)),IF(法术查询!$J$7="",1,SEARCH(法术查询!$J$7,$F416)),IF(法术查询!$J$8="",1,SEARCH(法术查询!$J$8,G416)),IF(法术查询!$J$9="",1,SEARCH(法术查询!$J$9,N416)),IF(法术查询!$J$10="",1,IF(法术查询!$J$10=$AF$11,IF($M416=1,1,0),IF($M416="",1,0))),IF(法术查询!$J$11="",1,IF(法术查询!$J$11=$AF$11,IF($D416=1,1,0),IF($D416="",1,0))),IF(法术查询!$J$12="",1,SEARCH(法术查询!$J$12,$B416&amp;$C416&amp;$O416)),IF(法术查询!$J$13="",1,SEARCH(法术查询!$J$13,$B416&amp;$C416&amp;$O416)),IF(法术查询!$J$14="",1,SEARCH(法术查询!$J$14,$B416&amp;$C416&amp;$O416)),IF(法术查询!$J$16="",1,IF(法术查询!$J$16=$AF$11,IF($H416=1,1,0),IF($H416="",1,0))),IF(法术查询!$J$17="",1,IF(法术查询!$J$17=$AF$11,IF($I416=1,1,0),IF($I416="",1,0))),IF(法术查询!$J$18="",1,IF(法术查询!$J$18=$AF$11,IF($J416&lt;&gt;"",1,0),IF($J416="",1,0))),IF(法术查询!$J$19="",1,IF(法术查询!$J$19=$AF$11,IF($L416&lt;&gt;"",1,0),IF($L416="",1,0)))),$B416,""),"")</f>
        <v/>
      </c>
      <c r="AD415" s="180" t="str">
        <f t="array" ref="AD415">INDEX(AC:AC,SMALL(IF($AC$2:$AC$516&lt;&gt;"",ROW($2:$516),517),ROW(AC414)))&amp;""</f>
        <v/>
      </c>
      <c r="AE415" s="198" t="str">
        <f t="shared" si="10"/>
        <v/>
      </c>
    </row>
    <row r="416" spans="1:31" ht="14.4" customHeight="1" x14ac:dyDescent="0.25">
      <c r="A416" s="250">
        <v>414</v>
      </c>
      <c r="B416" s="119" t="s">
        <v>8048</v>
      </c>
      <c r="C416" s="119" t="s">
        <v>8049</v>
      </c>
      <c r="E416" s="379" t="s">
        <v>6328</v>
      </c>
      <c r="F416" s="180" t="s">
        <v>6282</v>
      </c>
      <c r="G416" s="180" t="s">
        <v>6283</v>
      </c>
      <c r="H416" s="180">
        <v>1</v>
      </c>
      <c r="J416" s="180">
        <v>1</v>
      </c>
      <c r="K416" s="119" t="s">
        <v>8050</v>
      </c>
      <c r="N416" s="180" t="s">
        <v>6399</v>
      </c>
      <c r="O416" s="119" t="s">
        <v>8051</v>
      </c>
      <c r="P416" s="119">
        <v>6</v>
      </c>
      <c r="Q416" s="119" t="s">
        <v>242</v>
      </c>
      <c r="R416" s="180">
        <v>1</v>
      </c>
      <c r="W416" s="180">
        <v>1</v>
      </c>
      <c r="X416" s="180">
        <v>1</v>
      </c>
      <c r="Y416" s="180">
        <v>1</v>
      </c>
      <c r="AA416" s="198"/>
      <c r="AB416" s="250" t="str">
        <f t="array" ref="AB416">INDEX(B:B,SMALL(IF($Q$3:$Q$517&lt;&gt;"",ROW($3:$517),518),ROW(B415)))&amp;""</f>
        <v>异界誓盟</v>
      </c>
      <c r="AC416" s="394" t="str">
        <f>IFERROR(IF(AND($Q417&lt;&gt;"",IF(法术查询!$J$4="",1,INDEX($R417:$Z417,1,VLOOKUP(法术查询!$J$4,$AF$2:$AG$10,2,0)))&lt;&gt;"",IF(法术查询!$J$5="",1,$P417=VLOOKUP(法术查询!$J$5,$AH$2:$AI$11,2,0)),IF(法术查询!$J$6="",1,IF(法术查询!$J$6=$E417,1,0)),IF(法术查询!$J$7="",1,SEARCH(法术查询!$J$7,$F417)),IF(法术查询!$J$8="",1,SEARCH(法术查询!$J$8,G417)),IF(法术查询!$J$9="",1,SEARCH(法术查询!$J$9,N417)),IF(法术查询!$J$10="",1,IF(法术查询!$J$10=$AF$11,IF($M417=1,1,0),IF($M417="",1,0))),IF(法术查询!$J$11="",1,IF(法术查询!$J$11=$AF$11,IF($D417=1,1,0),IF($D417="",1,0))),IF(法术查询!$J$12="",1,SEARCH(法术查询!$J$12,$B417&amp;$C417&amp;$O417)),IF(法术查询!$J$13="",1,SEARCH(法术查询!$J$13,$B417&amp;$C417&amp;$O417)),IF(法术查询!$J$14="",1,SEARCH(法术查询!$J$14,$B417&amp;$C417&amp;$O417)),IF(法术查询!$J$16="",1,IF(法术查询!$J$16=$AF$11,IF($H417=1,1,0),IF($H417="",1,0))),IF(法术查询!$J$17="",1,IF(法术查询!$J$17=$AF$11,IF($I417=1,1,0),IF($I417="",1,0))),IF(法术查询!$J$18="",1,IF(法术查询!$J$18=$AF$11,IF($J417&lt;&gt;"",1,0),IF($J417="",1,0))),IF(法术查询!$J$19="",1,IF(法术查询!$J$19=$AF$11,IF($L417&lt;&gt;"",1,0),IF($L417="",1,0)))),$B417,""),"")</f>
        <v/>
      </c>
      <c r="AD416" s="180" t="str">
        <f t="array" ref="AD416">INDEX(AC:AC,SMALL(IF($AC$2:$AC$516&lt;&gt;"",ROW($2:$516),517),ROW(AC415)))&amp;""</f>
        <v/>
      </c>
      <c r="AE416" s="198" t="str">
        <f t="shared" si="10"/>
        <v/>
      </c>
    </row>
    <row r="417" spans="1:31" ht="14.4" customHeight="1" x14ac:dyDescent="0.25">
      <c r="A417" s="250">
        <v>415</v>
      </c>
      <c r="B417" s="119" t="s">
        <v>8052</v>
      </c>
      <c r="C417" s="119" t="s">
        <v>8053</v>
      </c>
      <c r="E417" s="435" t="s">
        <v>6312</v>
      </c>
      <c r="F417" s="180" t="s">
        <v>6282</v>
      </c>
      <c r="G417" s="180" t="s">
        <v>6298</v>
      </c>
      <c r="H417" s="180">
        <v>1</v>
      </c>
      <c r="I417" s="180">
        <v>1</v>
      </c>
      <c r="J417" s="180">
        <v>1</v>
      </c>
      <c r="K417" s="119" t="s">
        <v>8054</v>
      </c>
      <c r="M417" s="180">
        <v>1</v>
      </c>
      <c r="N417" s="180" t="s">
        <v>6480</v>
      </c>
      <c r="O417" s="119" t="s">
        <v>8055</v>
      </c>
      <c r="P417" s="119">
        <v>6</v>
      </c>
      <c r="Q417" s="119" t="s">
        <v>242</v>
      </c>
      <c r="T417" s="180">
        <v>1</v>
      </c>
      <c r="W417" s="180">
        <v>1</v>
      </c>
      <c r="X417" s="180">
        <v>1</v>
      </c>
      <c r="AA417" s="198"/>
      <c r="AB417" s="250" t="str">
        <f t="array" ref="AB417">INDEX(B:B,SMALL(IF($Q$3:$Q$517&lt;&gt;"",ROW($3:$517),518),ROW(B416)))&amp;""</f>
        <v>预置幻影</v>
      </c>
      <c r="AC417" s="394" t="str">
        <f>IFERROR(IF(AND($Q418&lt;&gt;"",IF(法术查询!$J$4="",1,INDEX($R418:$Z418,1,VLOOKUP(法术查询!$J$4,$AF$2:$AG$10,2,0)))&lt;&gt;"",IF(法术查询!$J$5="",1,$P418=VLOOKUP(法术查询!$J$5,$AH$2:$AI$11,2,0)),IF(法术查询!$J$6="",1,IF(法术查询!$J$6=$E418,1,0)),IF(法术查询!$J$7="",1,SEARCH(法术查询!$J$7,$F418)),IF(法术查询!$J$8="",1,SEARCH(法术查询!$J$8,G418)),IF(法术查询!$J$9="",1,SEARCH(法术查询!$J$9,N418)),IF(法术查询!$J$10="",1,IF(法术查询!$J$10=$AF$11,IF($M418=1,1,0),IF($M418="",1,0))),IF(法术查询!$J$11="",1,IF(法术查询!$J$11=$AF$11,IF($D418=1,1,0),IF($D418="",1,0))),IF(法术查询!$J$12="",1,SEARCH(法术查询!$J$12,$B418&amp;$C418&amp;$O418)),IF(法术查询!$J$13="",1,SEARCH(法术查询!$J$13,$B418&amp;$C418&amp;$O418)),IF(法术查询!$J$14="",1,SEARCH(法术查询!$J$14,$B418&amp;$C418&amp;$O418)),IF(法术查询!$J$16="",1,IF(法术查询!$J$16=$AF$11,IF($H418=1,1,0),IF($H418="",1,0))),IF(法术查询!$J$17="",1,IF(法术查询!$J$17=$AF$11,IF($I418=1,1,0),IF($I418="",1,0))),IF(法术查询!$J$18="",1,IF(法术查询!$J$18=$AF$11,IF($J418&lt;&gt;"",1,0),IF($J418="",1,0))),IF(法术查询!$J$19="",1,IF(法术查询!$J$19=$AF$11,IF($L418&lt;&gt;"",1,0),IF($L418="",1,0)))),$B418,""),"")</f>
        <v/>
      </c>
      <c r="AD417" s="180" t="str">
        <f t="array" ref="AD417">INDEX(AC:AC,SMALL(IF($AC$2:$AC$516&lt;&gt;"",ROW($2:$516),517),ROW(AC416)))&amp;""</f>
        <v/>
      </c>
      <c r="AE417" s="198" t="str">
        <f t="shared" si="10"/>
        <v/>
      </c>
    </row>
    <row r="418" spans="1:31" ht="14.4" customHeight="1" x14ac:dyDescent="0.25">
      <c r="A418" s="250">
        <v>416</v>
      </c>
      <c r="B418" s="119" t="s">
        <v>8056</v>
      </c>
      <c r="C418" s="119" t="s">
        <v>8057</v>
      </c>
      <c r="E418" s="434" t="s">
        <v>6304</v>
      </c>
      <c r="F418" s="180" t="s">
        <v>6282</v>
      </c>
      <c r="G418" s="180" t="s">
        <v>6426</v>
      </c>
      <c r="H418" s="180">
        <v>1</v>
      </c>
      <c r="I418" s="180">
        <v>1</v>
      </c>
      <c r="J418" s="180">
        <v>1</v>
      </c>
      <c r="K418" s="119" t="s">
        <v>8058</v>
      </c>
      <c r="N418" s="180" t="s">
        <v>6284</v>
      </c>
      <c r="O418" s="119" t="s">
        <v>8059</v>
      </c>
      <c r="P418" s="119">
        <v>6</v>
      </c>
      <c r="Q418" s="119" t="s">
        <v>242</v>
      </c>
      <c r="W418" s="180" t="str">
        <f>IF(综合数据!$B$14=TRUE,"13","")</f>
        <v>13</v>
      </c>
      <c r="X418" s="180">
        <v>1</v>
      </c>
      <c r="AA418" s="198"/>
      <c r="AB418" s="250" t="str">
        <f t="array" ref="AB418">INDEX(B:B,SMALL(IF($Q$3:$Q$517&lt;&gt;"",ROW($3:$517),518),ROW(B417)))&amp;""</f>
        <v>阳炎射线</v>
      </c>
      <c r="AC418" s="394" t="str">
        <f>IFERROR(IF(AND($Q419&lt;&gt;"",IF(法术查询!$J$4="",1,INDEX($R419:$Z419,1,VLOOKUP(法术查询!$J$4,$AF$2:$AG$10,2,0)))&lt;&gt;"",IF(法术查询!$J$5="",1,$P419=VLOOKUP(法术查询!$J$5,$AH$2:$AI$11,2,0)),IF(法术查询!$J$6="",1,IF(法术查询!$J$6=$E419,1,0)),IF(法术查询!$J$7="",1,SEARCH(法术查询!$J$7,$F419)),IF(法术查询!$J$8="",1,SEARCH(法术查询!$J$8,G419)),IF(法术查询!$J$9="",1,SEARCH(法术查询!$J$9,N419)),IF(法术查询!$J$10="",1,IF(法术查询!$J$10=$AF$11,IF($M419=1,1,0),IF($M419="",1,0))),IF(法术查询!$J$11="",1,IF(法术查询!$J$11=$AF$11,IF($D419=1,1,0),IF($D419="",1,0))),IF(法术查询!$J$12="",1,SEARCH(法术查询!$J$12,$B419&amp;$C419&amp;$O419)),IF(法术查询!$J$13="",1,SEARCH(法术查询!$J$13,$B419&amp;$C419&amp;$O419)),IF(法术查询!$J$14="",1,SEARCH(法术查询!$J$14,$B419&amp;$C419&amp;$O419)),IF(法术查询!$J$16="",1,IF(法术查询!$J$16=$AF$11,IF($H419=1,1,0),IF($H419="",1,0))),IF(法术查询!$J$17="",1,IF(法术查询!$J$17=$AF$11,IF($I419=1,1,0),IF($I419="",1,0))),IF(法术查询!$J$18="",1,IF(法术查询!$J$18=$AF$11,IF($J419&lt;&gt;"",1,0),IF($J419="",1,0))),IF(法术查询!$J$19="",1,IF(法术查询!$J$19=$AF$11,IF($L419&lt;&gt;"",1,0),IF($L419="",1,0)))),$B419,""),"")</f>
        <v/>
      </c>
      <c r="AD418" s="180" t="str">
        <f t="array" ref="AD418">INDEX(AC:AC,SMALL(IF($AC$2:$AC$516&lt;&gt;"",ROW($2:$516),517),ROW(AC417)))&amp;""</f>
        <v/>
      </c>
      <c r="AE418" s="198" t="str">
        <f t="shared" si="10"/>
        <v/>
      </c>
    </row>
    <row r="419" spans="1:31" ht="14.4" customHeight="1" x14ac:dyDescent="0.25">
      <c r="A419" s="250">
        <v>417</v>
      </c>
      <c r="B419" s="119" t="s">
        <v>8060</v>
      </c>
      <c r="C419" s="119" t="s">
        <v>8061</v>
      </c>
      <c r="E419" s="379" t="s">
        <v>6328</v>
      </c>
      <c r="F419" s="180" t="s">
        <v>6282</v>
      </c>
      <c r="G419" s="180" t="s">
        <v>6313</v>
      </c>
      <c r="H419" s="180">
        <v>1</v>
      </c>
      <c r="M419" s="180">
        <v>1</v>
      </c>
      <c r="N419" s="180" t="s">
        <v>6306</v>
      </c>
      <c r="O419" s="119" t="s">
        <v>8062</v>
      </c>
      <c r="P419" s="119">
        <v>6</v>
      </c>
      <c r="Q419" s="119" t="s">
        <v>242</v>
      </c>
      <c r="R419" s="180">
        <v>1</v>
      </c>
      <c r="X419" s="180">
        <v>1</v>
      </c>
      <c r="AA419" s="198"/>
      <c r="AB419" s="250" t="str">
        <f t="array" ref="AB419">INDEX(B:B,SMALL(IF($Q$3:$Q$517&lt;&gt;"",ROW($3:$517),518),ROW(B418)))&amp;""</f>
        <v>木遁术</v>
      </c>
      <c r="AC419" s="394" t="str">
        <f>IFERROR(IF(AND($Q420&lt;&gt;"",IF(法术查询!$J$4="",1,INDEX($R420:$Z420,1,VLOOKUP(法术查询!$J$4,$AF$2:$AG$10,2,0)))&lt;&gt;"",IF(法术查询!$J$5="",1,$P420=VLOOKUP(法术查询!$J$5,$AH$2:$AI$11,2,0)),IF(法术查询!$J$6="",1,IF(法术查询!$J$6=$E420,1,0)),IF(法术查询!$J$7="",1,SEARCH(法术查询!$J$7,$F420)),IF(法术查询!$J$8="",1,SEARCH(法术查询!$J$8,G420)),IF(法术查询!$J$9="",1,SEARCH(法术查询!$J$9,N420)),IF(法术查询!$J$10="",1,IF(法术查询!$J$10=$AF$11,IF($M420=1,1,0),IF($M420="",1,0))),IF(法术查询!$J$11="",1,IF(法术查询!$J$11=$AF$11,IF($D420=1,1,0),IF($D420="",1,0))),IF(法术查询!$J$12="",1,SEARCH(法术查询!$J$12,$B420&amp;$C420&amp;$O420)),IF(法术查询!$J$13="",1,SEARCH(法术查询!$J$13,$B420&amp;$C420&amp;$O420)),IF(法术查询!$J$14="",1,SEARCH(法术查询!$J$14,$B420&amp;$C420&amp;$O420)),IF(法术查询!$J$16="",1,IF(法术查询!$J$16=$AF$11,IF($H420=1,1,0),IF($H420="",1,0))),IF(法术查询!$J$17="",1,IF(法术查询!$J$17=$AF$11,IF($I420=1,1,0),IF($I420="",1,0))),IF(法术查询!$J$18="",1,IF(法术查询!$J$18=$AF$11,IF($J420&lt;&gt;"",1,0),IF($J420="",1,0))),IF(法术查询!$J$19="",1,IF(法术查询!$J$19=$AF$11,IF($L420&lt;&gt;"",1,0),IF($L420="",1,0)))),$B420,""),"")</f>
        <v/>
      </c>
      <c r="AD419" s="180" t="str">
        <f t="array" ref="AD419">INDEX(AC:AC,SMALL(IF($AC$2:$AC$516&lt;&gt;"",ROW($2:$516),517),ROW(AC418)))&amp;""</f>
        <v/>
      </c>
      <c r="AE419" s="198" t="str">
        <f t="shared" si="10"/>
        <v/>
      </c>
    </row>
    <row r="420" spans="1:31" ht="14.4" customHeight="1" x14ac:dyDescent="0.25">
      <c r="A420" s="250">
        <v>418</v>
      </c>
      <c r="B420" s="119" t="s">
        <v>8063</v>
      </c>
      <c r="C420" s="119" t="s">
        <v>8064</v>
      </c>
      <c r="E420" s="378" t="s">
        <v>6281</v>
      </c>
      <c r="F420" s="180" t="s">
        <v>6371</v>
      </c>
      <c r="G420" s="180" t="s">
        <v>6283</v>
      </c>
      <c r="H420" s="180">
        <v>1</v>
      </c>
      <c r="I420" s="180">
        <v>1</v>
      </c>
      <c r="N420" s="180" t="s">
        <v>6284</v>
      </c>
      <c r="O420" s="119" t="s">
        <v>8065</v>
      </c>
      <c r="P420" s="119">
        <v>6</v>
      </c>
      <c r="Q420" s="119" t="s">
        <v>242</v>
      </c>
      <c r="S420" s="180">
        <v>1</v>
      </c>
      <c r="AA420" s="198"/>
      <c r="AB420" s="250" t="str">
        <f t="array" ref="AB420">INDEX(B:B,SMALL(IF($Q$3:$Q$517&lt;&gt;"",ROW($3:$517),518),ROW(B419)))&amp;""</f>
        <v>真知术</v>
      </c>
      <c r="AC420" s="394" t="str">
        <f>IFERROR(IF(AND($Q421&lt;&gt;"",IF(法术查询!$J$4="",1,INDEX($R421:$Z421,1,VLOOKUP(法术查询!$J$4,$AF$2:$AG$10,2,0)))&lt;&gt;"",IF(法术查询!$J$5="",1,$P421=VLOOKUP(法术查询!$J$5,$AH$2:$AI$11,2,0)),IF(法术查询!$J$6="",1,IF(法术查询!$J$6=$E421,1,0)),IF(法术查询!$J$7="",1,SEARCH(法术查询!$J$7,$F421)),IF(法术查询!$J$8="",1,SEARCH(法术查询!$J$8,G421)),IF(法术查询!$J$9="",1,SEARCH(法术查询!$J$9,N421)),IF(法术查询!$J$10="",1,IF(法术查询!$J$10=$AF$11,IF($M421=1,1,0),IF($M421="",1,0))),IF(法术查询!$J$11="",1,IF(法术查询!$J$11=$AF$11,IF($D421=1,1,0),IF($D421="",1,0))),IF(法术查询!$J$12="",1,SEARCH(法术查询!$J$12,$B421&amp;$C421&amp;$O421)),IF(法术查询!$J$13="",1,SEARCH(法术查询!$J$13,$B421&amp;$C421&amp;$O421)),IF(法术查询!$J$14="",1,SEARCH(法术查询!$J$14,$B421&amp;$C421&amp;$O421)),IF(法术查询!$J$16="",1,IF(法术查询!$J$16=$AF$11,IF($H421=1,1,0),IF($H421="",1,0))),IF(法术查询!$J$17="",1,IF(法术查询!$J$17=$AF$11,IF($I421=1,1,0),IF($I421="",1,0))),IF(法术查询!$J$18="",1,IF(法术查询!$J$18=$AF$11,IF($J421&lt;&gt;"",1,0),IF($J421="",1,0))),IF(法术查询!$J$19="",1,IF(法术查询!$J$19=$AF$11,IF($L421&lt;&gt;"",1,0),IF($L421="",1,0)))),$B421,""),"")</f>
        <v/>
      </c>
      <c r="AD420" s="180" t="str">
        <f t="array" ref="AD420">INDEX(AC:AC,SMALL(IF($AC$2:$AC$516&lt;&gt;"",ROW($2:$516),517),ROW(AC419)))&amp;""</f>
        <v/>
      </c>
      <c r="AE420" s="198" t="str">
        <f t="shared" si="10"/>
        <v/>
      </c>
    </row>
    <row r="421" spans="1:31" ht="14.4" customHeight="1" x14ac:dyDescent="0.25">
      <c r="A421" s="250">
        <v>419</v>
      </c>
      <c r="B421" s="119" t="s">
        <v>8066</v>
      </c>
      <c r="C421" s="119" t="s">
        <v>8067</v>
      </c>
      <c r="E421" s="285" t="s">
        <v>6366</v>
      </c>
      <c r="F421" s="180" t="s">
        <v>6282</v>
      </c>
      <c r="G421" s="180" t="s">
        <v>6298</v>
      </c>
      <c r="H421" s="180">
        <v>1</v>
      </c>
      <c r="I421" s="180">
        <v>1</v>
      </c>
      <c r="J421" s="180">
        <v>1</v>
      </c>
      <c r="K421" s="119" t="s">
        <v>8068</v>
      </c>
      <c r="N421" s="180" t="s">
        <v>6434</v>
      </c>
      <c r="O421" s="119" t="s">
        <v>8069</v>
      </c>
      <c r="P421" s="119">
        <v>6</v>
      </c>
      <c r="Q421" s="119" t="s">
        <v>242</v>
      </c>
      <c r="R421" s="180">
        <v>1</v>
      </c>
      <c r="X421" s="180">
        <v>1</v>
      </c>
      <c r="AA421" s="198"/>
      <c r="AB421" s="250" t="str">
        <f t="array" ref="AB421">INDEX(B:B,SMALL(IF($Q$3:$Q$517&lt;&gt;"",ROW($3:$517),518),ROW(B420)))&amp;""</f>
        <v>冰墙术</v>
      </c>
      <c r="AC421" s="394" t="str">
        <f>IFERROR(IF(AND($Q422&lt;&gt;"",IF(法术查询!$J$4="",1,INDEX($R422:$Z422,1,VLOOKUP(法术查询!$J$4,$AF$2:$AG$10,2,0)))&lt;&gt;"",IF(法术查询!$J$5="",1,$P422=VLOOKUP(法术查询!$J$5,$AH$2:$AI$11,2,0)),IF(法术查询!$J$6="",1,IF(法术查询!$J$6=$E422,1,0)),IF(法术查询!$J$7="",1,SEARCH(法术查询!$J$7,$F422)),IF(法术查询!$J$8="",1,SEARCH(法术查询!$J$8,G422)),IF(法术查询!$J$9="",1,SEARCH(法术查询!$J$9,N422)),IF(法术查询!$J$10="",1,IF(法术查询!$J$10=$AF$11,IF($M422=1,1,0),IF($M422="",1,0))),IF(法术查询!$J$11="",1,IF(法术查询!$J$11=$AF$11,IF($D422=1,1,0),IF($D422="",1,0))),IF(法术查询!$J$12="",1,SEARCH(法术查询!$J$12,$B422&amp;$C422&amp;$O422)),IF(法术查询!$J$13="",1,SEARCH(法术查询!$J$13,$B422&amp;$C422&amp;$O422)),IF(法术查询!$J$14="",1,SEARCH(法术查询!$J$14,$B422&amp;$C422&amp;$O422)),IF(法术查询!$J$16="",1,IF(法术查询!$J$16=$AF$11,IF($H422=1,1,0),IF($H422="",1,0))),IF(法术查询!$J$17="",1,IF(法术查询!$J$17=$AF$11,IF($I422=1,1,0),IF($I422="",1,0))),IF(法术查询!$J$18="",1,IF(法术查询!$J$18=$AF$11,IF($J422&lt;&gt;"",1,0),IF($J422="",1,0))),IF(法术查询!$J$19="",1,IF(法术查询!$J$19=$AF$11,IF($L422&lt;&gt;"",1,0),IF($L422="",1,0)))),$B422,""),"")</f>
        <v/>
      </c>
      <c r="AD421" s="180" t="str">
        <f t="array" ref="AD421">INDEX(AC:AC,SMALL(IF($AC$2:$AC$516&lt;&gt;"",ROW($2:$516),517),ROW(AC420)))&amp;""</f>
        <v/>
      </c>
      <c r="AE421" s="198" t="str">
        <f t="shared" si="10"/>
        <v/>
      </c>
    </row>
    <row r="422" spans="1:31" ht="14.4" customHeight="1" x14ac:dyDescent="0.25">
      <c r="A422" s="250">
        <v>420</v>
      </c>
      <c r="B422" s="119" t="s">
        <v>8070</v>
      </c>
      <c r="C422" s="119" t="s">
        <v>8071</v>
      </c>
      <c r="E422" s="434" t="s">
        <v>6304</v>
      </c>
      <c r="F422" s="180" t="s">
        <v>6282</v>
      </c>
      <c r="G422" s="119" t="s">
        <v>6523</v>
      </c>
      <c r="H422" s="180">
        <v>1</v>
      </c>
      <c r="I422" s="180">
        <v>1</v>
      </c>
      <c r="J422" s="180">
        <v>1</v>
      </c>
      <c r="K422" s="119" t="s">
        <v>8072</v>
      </c>
      <c r="M422" s="180">
        <v>1</v>
      </c>
      <c r="N422" s="180" t="s">
        <v>6306</v>
      </c>
      <c r="O422" s="119" t="s">
        <v>8073</v>
      </c>
      <c r="P422" s="119">
        <v>6</v>
      </c>
      <c r="Q422" s="119" t="s">
        <v>242</v>
      </c>
      <c r="S422" s="180" t="str">
        <f>IF(综合数据!$B$14=TRUE,"13","")</f>
        <v>13</v>
      </c>
      <c r="T422" s="180">
        <v>1</v>
      </c>
      <c r="W422" s="180">
        <v>1</v>
      </c>
      <c r="X422" s="180">
        <v>1</v>
      </c>
      <c r="AA422" s="198"/>
      <c r="AB422" s="250" t="str">
        <f t="array" ref="AB422">INDEX(B:B,SMALL(IF($Q$3:$Q$517&lt;&gt;"",ROW($3:$517),518),ROW(B421)))&amp;""</f>
        <v>棘墙术</v>
      </c>
      <c r="AC422" s="394" t="str">
        <f>IFERROR(IF(AND($Q423&lt;&gt;"",IF(法术查询!$J$4="",1,INDEX($R423:$Z423,1,VLOOKUP(法术查询!$J$4,$AF$2:$AG$10,2,0)))&lt;&gt;"",IF(法术查询!$J$5="",1,$P423=VLOOKUP(法术查询!$J$5,$AH$2:$AI$11,2,0)),IF(法术查询!$J$6="",1,IF(法术查询!$J$6=$E423,1,0)),IF(法术查询!$J$7="",1,SEARCH(法术查询!$J$7,$F423)),IF(法术查询!$J$8="",1,SEARCH(法术查询!$J$8,G423)),IF(法术查询!$J$9="",1,SEARCH(法术查询!$J$9,N423)),IF(法术查询!$J$10="",1,IF(法术查询!$J$10=$AF$11,IF($M423=1,1,0),IF($M423="",1,0))),IF(法术查询!$J$11="",1,IF(法术查询!$J$11=$AF$11,IF($D423=1,1,0),IF($D423="",1,0))),IF(法术查询!$J$12="",1,SEARCH(法术查询!$J$12,$B423&amp;$C423&amp;$O423)),IF(法术查询!$J$13="",1,SEARCH(法术查询!$J$13,$B423&amp;$C423&amp;$O423)),IF(法术查询!$J$14="",1,SEARCH(法术查询!$J$14,$B423&amp;$C423&amp;$O423)),IF(法术查询!$J$16="",1,IF(法术查询!$J$16=$AF$11,IF($H423=1,1,0),IF($H423="",1,0))),IF(法术查询!$J$17="",1,IF(法术查询!$J$17=$AF$11,IF($I423=1,1,0),IF($I423="",1,0))),IF(法术查询!$J$18="",1,IF(法术查询!$J$18=$AF$11,IF($J423&lt;&gt;"",1,0),IF($J423="",1,0))),IF(法术查询!$J$19="",1,IF(法术查询!$J$19=$AF$11,IF($L423&lt;&gt;"",1,0),IF($L423="",1,0)))),$B423,""),"")</f>
        <v/>
      </c>
      <c r="AD422" s="180" t="str">
        <f t="array" ref="AD422">INDEX(AC:AC,SMALL(IF($AC$2:$AC$516&lt;&gt;"",ROW($2:$516),517),ROW(AC421)))&amp;""</f>
        <v/>
      </c>
      <c r="AE422" s="198" t="str">
        <f t="shared" si="10"/>
        <v/>
      </c>
    </row>
    <row r="423" spans="1:31" ht="14.4" customHeight="1" x14ac:dyDescent="0.25">
      <c r="A423" s="250">
        <v>421</v>
      </c>
      <c r="B423" s="119" t="s">
        <v>8074</v>
      </c>
      <c r="C423" s="119" t="s">
        <v>8075</v>
      </c>
      <c r="E423" s="378" t="s">
        <v>6281</v>
      </c>
      <c r="F423" s="180" t="s">
        <v>6282</v>
      </c>
      <c r="G423" s="180" t="s">
        <v>6370</v>
      </c>
      <c r="H423" s="180">
        <v>1</v>
      </c>
      <c r="I423" s="180">
        <v>1</v>
      </c>
      <c r="N423" s="180" t="s">
        <v>6292</v>
      </c>
      <c r="O423" s="119" t="s">
        <v>8076</v>
      </c>
      <c r="P423" s="119">
        <v>6</v>
      </c>
      <c r="Q423" s="119" t="s">
        <v>242</v>
      </c>
      <c r="T423" s="180">
        <v>1</v>
      </c>
      <c r="AA423" s="198"/>
      <c r="AB423" s="250" t="str">
        <f t="array" ref="AB423">INDEX(B:B,SMALL(IF($Q$3:$Q$517&lt;&gt;"",ROW($3:$517),518),ROW(B422)))&amp;""</f>
        <v>御风而行</v>
      </c>
      <c r="AC423" s="394" t="str">
        <f>IFERROR(IF(AND($Q424&lt;&gt;"",IF(法术查询!$J$4="",1,INDEX($R424:$Z424,1,VLOOKUP(法术查询!$J$4,$AF$2:$AG$10,2,0)))&lt;&gt;"",IF(法术查询!$J$5="",1,$P424=VLOOKUP(法术查询!$J$5,$AH$2:$AI$11,2,0)),IF(法术查询!$J$6="",1,IF(法术查询!$J$6=$E424,1,0)),IF(法术查询!$J$7="",1,SEARCH(法术查询!$J$7,$F424)),IF(法术查询!$J$8="",1,SEARCH(法术查询!$J$8,G424)),IF(法术查询!$J$9="",1,SEARCH(法术查询!$J$9,N424)),IF(法术查询!$J$10="",1,IF(法术查询!$J$10=$AF$11,IF($M424=1,1,0),IF($M424="",1,0))),IF(法术查询!$J$11="",1,IF(法术查询!$J$11=$AF$11,IF($D424=1,1,0),IF($D424="",1,0))),IF(法术查询!$J$12="",1,SEARCH(法术查询!$J$12,$B424&amp;$C424&amp;$O424)),IF(法术查询!$J$13="",1,SEARCH(法术查询!$J$13,$B424&amp;$C424&amp;$O424)),IF(法术查询!$J$14="",1,SEARCH(法术查询!$J$14,$B424&amp;$C424&amp;$O424)),IF(法术查询!$J$16="",1,IF(法术查询!$J$16=$AF$11,IF($H424=1,1,0),IF($H424="",1,0))),IF(法术查询!$J$17="",1,IF(法术查询!$J$17=$AF$11,IF($I424=1,1,0),IF($I424="",1,0))),IF(法术查询!$J$18="",1,IF(法术查询!$J$18=$AF$11,IF($J424&lt;&gt;"",1,0),IF($J424="",1,0))),IF(法术查询!$J$19="",1,IF(法术查询!$J$19=$AF$11,IF($L424&lt;&gt;"",1,0),IF($L424="",1,0)))),$B424,""),"")</f>
        <v/>
      </c>
      <c r="AD423" s="180" t="str">
        <f t="array" ref="AD423">INDEX(AC:AC,SMALL(IF($AC$2:$AC$516&lt;&gt;"",ROW($2:$516),517),ROW(AC422)))&amp;""</f>
        <v/>
      </c>
      <c r="AE423" s="198" t="str">
        <f t="shared" si="10"/>
        <v/>
      </c>
    </row>
    <row r="424" spans="1:31" ht="14.4" customHeight="1" x14ac:dyDescent="0.25">
      <c r="A424" s="250">
        <v>422</v>
      </c>
      <c r="B424" s="119" t="s">
        <v>8077</v>
      </c>
      <c r="C424" s="119" t="s">
        <v>8078</v>
      </c>
      <c r="E424" s="438" t="s">
        <v>6335</v>
      </c>
      <c r="F424" s="180" t="s">
        <v>6282</v>
      </c>
      <c r="G424" s="180" t="s">
        <v>3682</v>
      </c>
      <c r="H424" s="180">
        <v>1</v>
      </c>
      <c r="I424" s="180">
        <v>1</v>
      </c>
      <c r="J424" s="180">
        <v>1</v>
      </c>
      <c r="L424" s="119" t="s">
        <v>8079</v>
      </c>
      <c r="N424" s="180" t="s">
        <v>6344</v>
      </c>
      <c r="O424" s="119" t="s">
        <v>8080</v>
      </c>
      <c r="P424" s="119">
        <v>6</v>
      </c>
      <c r="Q424" s="119" t="s">
        <v>242</v>
      </c>
      <c r="R424" s="180">
        <v>1</v>
      </c>
      <c r="S424" s="180">
        <v>1</v>
      </c>
      <c r="W424" s="180">
        <v>1</v>
      </c>
      <c r="X424" s="180">
        <v>1</v>
      </c>
      <c r="Y424" s="180">
        <v>1</v>
      </c>
      <c r="AA424" s="198"/>
      <c r="AB424" s="250" t="str">
        <f t="array" ref="AB424">INDEX(B:B,SMALL(IF($Q$3:$Q$517&lt;&gt;"",ROW($3:$517),518),ROW(B423)))&amp;""</f>
        <v>回返真言</v>
      </c>
      <c r="AC424" s="394" t="str">
        <f>IFERROR(IF(AND($Q425&lt;&gt;"",IF(法术查询!$J$4="",1,INDEX($R425:$Z425,1,VLOOKUP(法术查询!$J$4,$AF$2:$AG$10,2,0)))&lt;&gt;"",IF(法术查询!$J$5="",1,$P425=VLOOKUP(法术查询!$J$5,$AH$2:$AI$11,2,0)),IF(法术查询!$J$6="",1,IF(法术查询!$J$6=$E425,1,0)),IF(法术查询!$J$7="",1,SEARCH(法术查询!$J$7,$F425)),IF(法术查询!$J$8="",1,SEARCH(法术查询!$J$8,G425)),IF(法术查询!$J$9="",1,SEARCH(法术查询!$J$9,N425)),IF(法术查询!$J$10="",1,IF(法术查询!$J$10=$AF$11,IF($M425=1,1,0),IF($M425="",1,0))),IF(法术查询!$J$11="",1,IF(法术查询!$J$11=$AF$11,IF($D425=1,1,0),IF($D425="",1,0))),IF(法术查询!$J$12="",1,SEARCH(法术查询!$J$12,$B425&amp;$C425&amp;$O425)),IF(法术查询!$J$13="",1,SEARCH(法术查询!$J$13,$B425&amp;$C425&amp;$O425)),IF(法术查询!$J$14="",1,SEARCH(法术查询!$J$14,$B425&amp;$C425&amp;$O425)),IF(法术查询!$J$16="",1,IF(法术查询!$J$16=$AF$11,IF($H425=1,1,0),IF($H425="",1,0))),IF(法术查询!$J$17="",1,IF(法术查询!$J$17=$AF$11,IF($I425=1,1,0),IF($I425="",1,0))),IF(法术查询!$J$18="",1,IF(法术查询!$J$18=$AF$11,IF($J425&lt;&gt;"",1,0),IF($J425="",1,0))),IF(法术查询!$J$19="",1,IF(法术查询!$J$19=$AF$11,IF($L425&lt;&gt;"",1,0),IF($L425="",1,0)))),$B425,""),"")</f>
        <v/>
      </c>
      <c r="AD424" s="180" t="str">
        <f t="array" ref="AD424">INDEX(AC:AC,SMALL(IF($AC$2:$AC$516&lt;&gt;"",ROW($2:$516),517),ROW(AC423)))&amp;""</f>
        <v/>
      </c>
      <c r="AE424" s="198" t="str">
        <f t="shared" si="10"/>
        <v/>
      </c>
    </row>
    <row r="425" spans="1:31" ht="14.4" customHeight="1" x14ac:dyDescent="0.25">
      <c r="A425" s="250">
        <v>423</v>
      </c>
      <c r="B425" s="119" t="s">
        <v>8081</v>
      </c>
      <c r="C425" s="119" t="s">
        <v>8082</v>
      </c>
      <c r="E425" s="434" t="s">
        <v>6304</v>
      </c>
      <c r="F425" s="180" t="s">
        <v>6282</v>
      </c>
      <c r="G425" s="180" t="s">
        <v>6298</v>
      </c>
      <c r="H425" s="180">
        <v>1</v>
      </c>
      <c r="I425" s="180">
        <v>1</v>
      </c>
      <c r="J425" s="180">
        <v>1</v>
      </c>
      <c r="K425" s="119" t="s">
        <v>8083</v>
      </c>
      <c r="M425" s="180">
        <v>1</v>
      </c>
      <c r="N425" s="180" t="s">
        <v>6471</v>
      </c>
      <c r="O425" s="119" t="s">
        <v>8084</v>
      </c>
      <c r="P425" s="119">
        <v>6</v>
      </c>
      <c r="Q425" s="119" t="s">
        <v>242</v>
      </c>
      <c r="X425" s="180">
        <v>1</v>
      </c>
      <c r="AA425" s="198"/>
      <c r="AB425" s="250" t="str">
        <f t="array" ref="AB425">INDEX(B:B,SMALL(IF($Q$3:$Q$517&lt;&gt;"",ROW($3:$517),518),ROW(B424)))&amp;""</f>
        <v>地之骨</v>
      </c>
      <c r="AC425" s="394" t="str">
        <f>IFERROR(IF(AND($Q426&lt;&gt;"",IF(法术查询!$J$4="",1,INDEX($R426:$Z426,1,VLOOKUP(法术查询!$J$4,$AF$2:$AG$10,2,0)))&lt;&gt;"",IF(法术查询!$J$5="",1,$P426=VLOOKUP(法术查询!$J$5,$AH$2:$AI$11,2,0)),IF(法术查询!$J$6="",1,IF(法术查询!$J$6=$E426,1,0)),IF(法术查询!$J$7="",1,SEARCH(法术查询!$J$7,$F426)),IF(法术查询!$J$8="",1,SEARCH(法术查询!$J$8,G426)),IF(法术查询!$J$9="",1,SEARCH(法术查询!$J$9,N426)),IF(法术查询!$J$10="",1,IF(法术查询!$J$10=$AF$11,IF($M426=1,1,0),IF($M426="",1,0))),IF(法术查询!$J$11="",1,IF(法术查询!$J$11=$AF$11,IF($D426=1,1,0),IF($D426="",1,0))),IF(法术查询!$J$12="",1,SEARCH(法术查询!$J$12,$B426&amp;$C426&amp;$O426)),IF(法术查询!$J$13="",1,SEARCH(法术查询!$J$13,$B426&amp;$C426&amp;$O426)),IF(法术查询!$J$14="",1,SEARCH(法术查询!$J$14,$B426&amp;$C426&amp;$O426)),IF(法术查询!$J$16="",1,IF(法术查询!$J$16=$AF$11,IF($H426=1,1,0),IF($H426="",1,0))),IF(法术查询!$J$17="",1,IF(法术查询!$J$17=$AF$11,IF($I426=1,1,0),IF($I426="",1,0))),IF(法术查询!$J$18="",1,IF(法术查询!$J$18=$AF$11,IF($J426&lt;&gt;"",1,0),IF($J426="",1,0))),IF(法术查询!$J$19="",1,IF(法术查询!$J$19=$AF$11,IF($L426&lt;&gt;"",1,0),IF($L426="",1,0)))),$B426,""),"")</f>
        <v/>
      </c>
      <c r="AD425" s="180" t="str">
        <f t="array" ref="AD425">INDEX(AC:AC,SMALL(IF($AC$2:$AC$516&lt;&gt;"",ROW($2:$516),517),ROW(AC424)))&amp;""</f>
        <v/>
      </c>
      <c r="AE425" s="198" t="str">
        <f t="shared" si="10"/>
        <v/>
      </c>
    </row>
    <row r="426" spans="1:31" ht="14.4" customHeight="1" x14ac:dyDescent="0.25">
      <c r="A426" s="250">
        <v>424</v>
      </c>
      <c r="B426" s="119" t="s">
        <v>8085</v>
      </c>
      <c r="C426" s="119" t="s">
        <v>8086</v>
      </c>
      <c r="E426" s="378" t="s">
        <v>6281</v>
      </c>
      <c r="F426" s="180" t="s">
        <v>6282</v>
      </c>
      <c r="G426" s="180" t="s">
        <v>6298</v>
      </c>
      <c r="H426" s="180">
        <v>1</v>
      </c>
      <c r="I426" s="180">
        <v>1</v>
      </c>
      <c r="J426" s="180">
        <v>1</v>
      </c>
      <c r="K426" s="119" t="s">
        <v>8087</v>
      </c>
      <c r="M426" s="180">
        <v>1</v>
      </c>
      <c r="N426" s="180" t="s">
        <v>6471</v>
      </c>
      <c r="O426" s="119" t="s">
        <v>8088</v>
      </c>
      <c r="P426" s="119">
        <v>6</v>
      </c>
      <c r="Q426" s="119" t="s">
        <v>242</v>
      </c>
      <c r="T426" s="180">
        <v>1</v>
      </c>
      <c r="AA426" s="198"/>
      <c r="AB426" s="250" t="str">
        <f t="array" ref="AB426">INDEX(B:B,SMALL(IF($Q$3:$Q$517&lt;&gt;"",ROW($3:$517),518),ROW(B425)))&amp;""</f>
        <v>创造小人</v>
      </c>
      <c r="AC426" s="394" t="str">
        <f>IFERROR(IF(AND($Q427&lt;&gt;"",IF(法术查询!$J$4="",1,INDEX($R427:$Z427,1,VLOOKUP(法术查询!$J$4,$AF$2:$AG$10,2,0)))&lt;&gt;"",IF(法术查询!$J$5="",1,$P427=VLOOKUP(法术查询!$J$5,$AH$2:$AI$11,2,0)),IF(法术查询!$J$6="",1,IF(法术查询!$J$6=$E427,1,0)),IF(法术查询!$J$7="",1,SEARCH(法术查询!$J$7,$F427)),IF(法术查询!$J$8="",1,SEARCH(法术查询!$J$8,G427)),IF(法术查询!$J$9="",1,SEARCH(法术查询!$J$9,N427)),IF(法术查询!$J$10="",1,IF(法术查询!$J$10=$AF$11,IF($M427=1,1,0),IF($M427="",1,0))),IF(法术查询!$J$11="",1,IF(法术查询!$J$11=$AF$11,IF($D427=1,1,0),IF($D427="",1,0))),IF(法术查询!$J$12="",1,SEARCH(法术查询!$J$12,$B427&amp;$C427&amp;$O427)),IF(法术查询!$J$13="",1,SEARCH(法术查询!$J$13,$B427&amp;$C427&amp;$O427)),IF(法术查询!$J$14="",1,SEARCH(法术查询!$J$14,$B427&amp;$C427&amp;$O427)),IF(法术查询!$J$16="",1,IF(法术查询!$J$16=$AF$11,IF($H427=1,1,0),IF($H427="",1,0))),IF(法术查询!$J$17="",1,IF(法术查询!$J$17=$AF$11,IF($I427=1,1,0),IF($I427="",1,0))),IF(法术查询!$J$18="",1,IF(法术查询!$J$18=$AF$11,IF($J427&lt;&gt;"",1,0),IF($J427="",1,0))),IF(法术查询!$J$19="",1,IF(法术查询!$J$19=$AF$11,IF($L427&lt;&gt;"",1,0),IF($L427="",1,0)))),$B427,""),"")</f>
        <v/>
      </c>
      <c r="AD426" s="180" t="str">
        <f t="array" ref="AD426">INDEX(AC:AC,SMALL(IF($AC$2:$AC$516&lt;&gt;"",ROW($2:$516),517),ROW(AC425)))&amp;""</f>
        <v/>
      </c>
      <c r="AE426" s="198" t="str">
        <f t="shared" si="10"/>
        <v/>
      </c>
    </row>
    <row r="427" spans="1:31" ht="14.4" customHeight="1" x14ac:dyDescent="0.25">
      <c r="A427" s="250">
        <v>425</v>
      </c>
      <c r="B427" s="119" t="s">
        <v>8089</v>
      </c>
      <c r="C427" s="119" t="s">
        <v>8090</v>
      </c>
      <c r="E427" s="435" t="s">
        <v>6312</v>
      </c>
      <c r="F427" s="180" t="s">
        <v>6349</v>
      </c>
      <c r="G427" s="180" t="s">
        <v>6313</v>
      </c>
      <c r="H427" s="180">
        <v>1</v>
      </c>
      <c r="I427" s="180">
        <v>1</v>
      </c>
      <c r="J427" s="180">
        <v>1</v>
      </c>
      <c r="K427" s="119" t="s">
        <v>8091</v>
      </c>
      <c r="N427" s="180" t="s">
        <v>6388</v>
      </c>
      <c r="O427" s="119" t="s">
        <v>8092</v>
      </c>
      <c r="P427" s="119">
        <v>6</v>
      </c>
      <c r="Q427" s="119" t="s">
        <v>242</v>
      </c>
      <c r="T427" s="180">
        <v>1</v>
      </c>
      <c r="AA427" s="198"/>
      <c r="AB427" s="250" t="str">
        <f t="array" ref="AB427">INDEX(B:B,SMALL(IF($Q$3:$Q$517&lt;&gt;"",ROW($3:$517),518),ROW(B426)))&amp;""</f>
        <v>德鲁伊林地</v>
      </c>
      <c r="AC427" s="394" t="str">
        <f>IFERROR(IF(AND($Q428&lt;&gt;"",IF(法术查询!$J$4="",1,INDEX($R428:$Z428,1,VLOOKUP(法术查询!$J$4,$AF$2:$AG$10,2,0)))&lt;&gt;"",IF(法术查询!$J$5="",1,$P428=VLOOKUP(法术查询!$J$5,$AH$2:$AI$11,2,0)),IF(法术查询!$J$6="",1,IF(法术查询!$J$6=$E428,1,0)),IF(法术查询!$J$7="",1,SEARCH(法术查询!$J$7,$F428)),IF(法术查询!$J$8="",1,SEARCH(法术查询!$J$8,G428)),IF(法术查询!$J$9="",1,SEARCH(法术查询!$J$9,N428)),IF(法术查询!$J$10="",1,IF(法术查询!$J$10=$AF$11,IF($M428=1,1,0),IF($M428="",1,0))),IF(法术查询!$J$11="",1,IF(法术查询!$J$11=$AF$11,IF($D428=1,1,0),IF($D428="",1,0))),IF(法术查询!$J$12="",1,SEARCH(法术查询!$J$12,$B428&amp;$C428&amp;$O428)),IF(法术查询!$J$13="",1,SEARCH(法术查询!$J$13,$B428&amp;$C428&amp;$O428)),IF(法术查询!$J$14="",1,SEARCH(法术查询!$J$14,$B428&amp;$C428&amp;$O428)),IF(法术查询!$J$16="",1,IF(法术查询!$J$16=$AF$11,IF($H428=1,1,0),IF($H428="",1,0))),IF(法术查询!$J$17="",1,IF(法术查询!$J$17=$AF$11,IF($I428=1,1,0),IF($I428="",1,0))),IF(法术查询!$J$18="",1,IF(法术查询!$J$18=$AF$11,IF($J428&lt;&gt;"",1,0),IF($J428="",1,0))),IF(法术查询!$J$19="",1,IF(法术查询!$J$19=$AF$11,IF($L428&lt;&gt;"",1,0),IF($L428="",1,0)))),$B428,""),"")</f>
        <v/>
      </c>
      <c r="AD427" s="180" t="str">
        <f t="array" ref="AD427">INDEX(AC:AC,SMALL(IF($AC$2:$AC$516&lt;&gt;"",ROW($2:$516),517),ROW(AC426)))&amp;""</f>
        <v/>
      </c>
      <c r="AE427" s="198" t="str">
        <f t="shared" si="10"/>
        <v/>
      </c>
    </row>
    <row r="428" spans="1:31" ht="14.4" customHeight="1" x14ac:dyDescent="0.25">
      <c r="A428" s="250">
        <v>426</v>
      </c>
      <c r="B428" s="119" t="s">
        <v>8093</v>
      </c>
      <c r="C428" s="119" t="s">
        <v>8094</v>
      </c>
      <c r="E428" s="378" t="s">
        <v>6281</v>
      </c>
      <c r="F428" s="180" t="s">
        <v>6282</v>
      </c>
      <c r="G428" s="180" t="s">
        <v>6363</v>
      </c>
      <c r="H428" s="180">
        <v>1</v>
      </c>
      <c r="N428" s="180" t="s">
        <v>6284</v>
      </c>
      <c r="O428" s="119" t="s">
        <v>8095</v>
      </c>
      <c r="P428" s="119">
        <v>6</v>
      </c>
      <c r="Q428" s="119" t="s">
        <v>242</v>
      </c>
      <c r="S428" s="180">
        <v>1</v>
      </c>
      <c r="AA428" s="198"/>
      <c r="AB428" s="250" t="str">
        <f t="array" ref="AB428">INDEX(B:B,SMALL(IF($Q$3:$Q$517&lt;&gt;"",ROW($3:$517),518),ROW(B427)))&amp;""</f>
        <v>炽焰赋权</v>
      </c>
      <c r="AC428" s="394" t="str">
        <f>IFERROR(IF(AND($Q429&lt;&gt;"",IF(法术查询!$J$4="",1,INDEX($R429:$Z429,1,VLOOKUP(法术查询!$J$4,$AF$2:$AG$10,2,0)))&lt;&gt;"",IF(法术查询!$J$5="",1,$P429=VLOOKUP(法术查询!$J$5,$AH$2:$AI$11,2,0)),IF(法术查询!$J$6="",1,IF(法术查询!$J$6=$E429,1,0)),IF(法术查询!$J$7="",1,SEARCH(法术查询!$J$7,$F429)),IF(法术查询!$J$8="",1,SEARCH(法术查询!$J$8,G429)),IF(法术查询!$J$9="",1,SEARCH(法术查询!$J$9,N429)),IF(法术查询!$J$10="",1,IF(法术查询!$J$10=$AF$11,IF($M429=1,1,0),IF($M429="",1,0))),IF(法术查询!$J$11="",1,IF(法术查询!$J$11=$AF$11,IF($D429=1,1,0),IF($D429="",1,0))),IF(法术查询!$J$12="",1,SEARCH(法术查询!$J$12,$B429&amp;$C429&amp;$O429)),IF(法术查询!$J$13="",1,SEARCH(法术查询!$J$13,$B429&amp;$C429&amp;$O429)),IF(法术查询!$J$14="",1,SEARCH(法术查询!$J$14,$B429&amp;$C429&amp;$O429)),IF(法术查询!$J$16="",1,IF(法术查询!$J$16=$AF$11,IF($H429=1,1,0),IF($H429="",1,0))),IF(法术查询!$J$17="",1,IF(法术查询!$J$17=$AF$11,IF($I429=1,1,0),IF($I429="",1,0))),IF(法术查询!$J$18="",1,IF(法术查询!$J$18=$AF$11,IF($J429&lt;&gt;"",1,0),IF($J429="",1,0))),IF(法术查询!$J$19="",1,IF(法术查询!$J$19=$AF$11,IF($L429&lt;&gt;"",1,0),IF($L429="",1,0)))),$B429,""),"")</f>
        <v/>
      </c>
      <c r="AD428" s="180" t="str">
        <f t="array" ref="AD428">INDEX(AC:AC,SMALL(IF($AC$2:$AC$516&lt;&gt;"",ROW($2:$516),517),ROW(AC427)))&amp;""</f>
        <v/>
      </c>
      <c r="AE428" s="198" t="str">
        <f t="shared" si="10"/>
        <v/>
      </c>
    </row>
    <row r="429" spans="1:31" ht="14.4" customHeight="1" x14ac:dyDescent="0.25">
      <c r="A429" s="250">
        <v>427</v>
      </c>
      <c r="B429" s="119" t="s">
        <v>8096</v>
      </c>
      <c r="C429" s="119" t="s">
        <v>8097</v>
      </c>
      <c r="E429" s="435" t="s">
        <v>6312</v>
      </c>
      <c r="F429" s="180" t="s">
        <v>6282</v>
      </c>
      <c r="G429" s="180" t="s">
        <v>6298</v>
      </c>
      <c r="H429" s="180">
        <v>1</v>
      </c>
      <c r="I429" s="180">
        <v>1</v>
      </c>
      <c r="N429" s="180" t="s">
        <v>6284</v>
      </c>
      <c r="O429" s="119" t="s">
        <v>8098</v>
      </c>
      <c r="P429" s="119">
        <v>6</v>
      </c>
      <c r="Q429" s="251" t="str">
        <f>IF(综合数据!$B$7=TRUE,"XGE","")</f>
        <v>XGE</v>
      </c>
      <c r="T429" s="180">
        <v>6</v>
      </c>
      <c r="AA429" s="198"/>
      <c r="AB429" s="250" t="str">
        <f t="array" ref="AB429">INDEX(B:B,SMALL(IF($Q$3:$Q$517&lt;&gt;"",ROW($3:$517),518),ROW(B428)))&amp;""</f>
        <v>寒冰赋权</v>
      </c>
      <c r="AC429" s="394" t="str">
        <f>IFERROR(IF(AND($Q430&lt;&gt;"",IF(法术查询!$J$4="",1,INDEX($R430:$Z430,1,VLOOKUP(法术查询!$J$4,$AF$2:$AG$10,2,0)))&lt;&gt;"",IF(法术查询!$J$5="",1,$P430=VLOOKUP(法术查询!$J$5,$AH$2:$AI$11,2,0)),IF(法术查询!$J$6="",1,IF(法术查询!$J$6=$E430,1,0)),IF(法术查询!$J$7="",1,SEARCH(法术查询!$J$7,$F430)),IF(法术查询!$J$8="",1,SEARCH(法术查询!$J$8,G430)),IF(法术查询!$J$9="",1,SEARCH(法术查询!$J$9,N430)),IF(法术查询!$J$10="",1,IF(法术查询!$J$10=$AF$11,IF($M430=1,1,0),IF($M430="",1,0))),IF(法术查询!$J$11="",1,IF(法术查询!$J$11=$AF$11,IF($D430=1,1,0),IF($D430="",1,0))),IF(法术查询!$J$12="",1,SEARCH(法术查询!$J$12,$B430&amp;$C430&amp;$O430)),IF(法术查询!$J$13="",1,SEARCH(法术查询!$J$13,$B430&amp;$C430&amp;$O430)),IF(法术查询!$J$14="",1,SEARCH(法术查询!$J$14,$B430&amp;$C430&amp;$O430)),IF(法术查询!$J$16="",1,IF(法术查询!$J$16=$AF$11,IF($H430=1,1,0),IF($H430="",1,0))),IF(法术查询!$J$17="",1,IF(法术查询!$J$17=$AF$11,IF($I430=1,1,0),IF($I430="",1,0))),IF(法术查询!$J$18="",1,IF(法术查询!$J$18=$AF$11,IF($J430&lt;&gt;"",1,0),IF($J430="",1,0))),IF(法术查询!$J$19="",1,IF(法术查询!$J$19=$AF$11,IF($L430&lt;&gt;"",1,0),IF($L430="",1,0)))),$B430,""),"")</f>
        <v/>
      </c>
      <c r="AD429" s="180" t="str">
        <f t="array" ref="AD429">INDEX(AC:AC,SMALL(IF($AC$2:$AC$516&lt;&gt;"",ROW($2:$516),517),ROW(AC428)))&amp;""</f>
        <v/>
      </c>
      <c r="AE429" s="198" t="str">
        <f t="shared" si="10"/>
        <v/>
      </c>
    </row>
    <row r="430" spans="1:31" ht="14.4" customHeight="1" x14ac:dyDescent="0.25">
      <c r="A430" s="250">
        <v>428</v>
      </c>
      <c r="B430" s="119" t="s">
        <v>8099</v>
      </c>
      <c r="C430" s="119" t="s">
        <v>8100</v>
      </c>
      <c r="E430" s="435" t="s">
        <v>6312</v>
      </c>
      <c r="F430" s="180" t="s">
        <v>6344</v>
      </c>
      <c r="G430" s="180" t="s">
        <v>3682</v>
      </c>
      <c r="H430" s="180">
        <v>1</v>
      </c>
      <c r="I430" s="180">
        <v>1</v>
      </c>
      <c r="J430" s="180">
        <v>2</v>
      </c>
      <c r="K430" s="119" t="s">
        <v>8101</v>
      </c>
      <c r="L430" s="119" t="s">
        <v>8102</v>
      </c>
      <c r="N430" s="180" t="s">
        <v>6284</v>
      </c>
      <c r="O430" s="119" t="s">
        <v>8103</v>
      </c>
      <c r="P430" s="119">
        <v>6</v>
      </c>
      <c r="Q430" s="251" t="str">
        <f>IF(综合数据!$B$7=TRUE,"XGE","")</f>
        <v>XGE</v>
      </c>
      <c r="X430" s="180">
        <v>6</v>
      </c>
      <c r="AA430" s="198"/>
      <c r="AB430" s="250" t="str">
        <f t="array" ref="AB430">INDEX(B:B,SMALL(IF($Q$3:$Q$517&lt;&gt;"",ROW($3:$517),518),ROW(B429)))&amp;""</f>
        <v>磐石赋权</v>
      </c>
      <c r="AC430" s="394" t="str">
        <f>IFERROR(IF(AND($Q431&lt;&gt;"",IF(法术查询!$J$4="",1,INDEX($R431:$Z431,1,VLOOKUP(法术查询!$J$4,$AF$2:$AG$10,2,0)))&lt;&gt;"",IF(法术查询!$J$5="",1,$P431=VLOOKUP(法术查询!$J$5,$AH$2:$AI$11,2,0)),IF(法术查询!$J$6="",1,IF(法术查询!$J$6=$E431,1,0)),IF(法术查询!$J$7="",1,SEARCH(法术查询!$J$7,$F431)),IF(法术查询!$J$8="",1,SEARCH(法术查询!$J$8,G431)),IF(法术查询!$J$9="",1,SEARCH(法术查询!$J$9,N431)),IF(法术查询!$J$10="",1,IF(法术查询!$J$10=$AF$11,IF($M431=1,1,0),IF($M431="",1,0))),IF(法术查询!$J$11="",1,IF(法术查询!$J$11=$AF$11,IF($D431=1,1,0),IF($D431="",1,0))),IF(法术查询!$J$12="",1,SEARCH(法术查询!$J$12,$B431&amp;$C431&amp;$O431)),IF(法术查询!$J$13="",1,SEARCH(法术查询!$J$13,$B431&amp;$C431&amp;$O431)),IF(法术查询!$J$14="",1,SEARCH(法术查询!$J$14,$B431&amp;$C431&amp;$O431)),IF(法术查询!$J$16="",1,IF(法术查询!$J$16=$AF$11,IF($H431=1,1,0),IF($H431="",1,0))),IF(法术查询!$J$17="",1,IF(法术查询!$J$17=$AF$11,IF($I431=1,1,0),IF($I431="",1,0))),IF(法术查询!$J$18="",1,IF(法术查询!$J$18=$AF$11,IF($J431&lt;&gt;"",1,0),IF($J431="",1,0))),IF(法术查询!$J$19="",1,IF(法术查询!$J$19=$AF$11,IF($L431&lt;&gt;"",1,0),IF($L431="",1,0)))),$B431,""),"")</f>
        <v/>
      </c>
      <c r="AD430" s="180" t="str">
        <f t="array" ref="AD430">INDEX(AC:AC,SMALL(IF($AC$2:$AC$516&lt;&gt;"",ROW($2:$516),517),ROW(AC429)))&amp;""</f>
        <v/>
      </c>
      <c r="AE430" s="198" t="str">
        <f t="shared" si="10"/>
        <v/>
      </c>
    </row>
    <row r="431" spans="1:31" ht="14.4" customHeight="1" x14ac:dyDescent="0.25">
      <c r="A431" s="250">
        <v>429</v>
      </c>
      <c r="B431" s="119" t="s">
        <v>8104</v>
      </c>
      <c r="C431" s="119" t="s">
        <v>8105</v>
      </c>
      <c r="E431" s="440" t="s">
        <v>6290</v>
      </c>
      <c r="F431" s="180" t="s">
        <v>6371</v>
      </c>
      <c r="G431" s="180" t="s">
        <v>3682</v>
      </c>
      <c r="H431" s="180">
        <v>1</v>
      </c>
      <c r="I431" s="180">
        <v>1</v>
      </c>
      <c r="J431" s="180">
        <v>1</v>
      </c>
      <c r="L431" s="119" t="s">
        <v>8106</v>
      </c>
      <c r="N431" s="180" t="s">
        <v>6399</v>
      </c>
      <c r="O431" s="119" t="s">
        <v>8107</v>
      </c>
      <c r="P431" s="119">
        <v>6</v>
      </c>
      <c r="Q431" s="251" t="str">
        <f>IF(综合数据!$B$7=TRUE,"XGE","")</f>
        <v>XGE</v>
      </c>
      <c r="T431" s="180">
        <v>6</v>
      </c>
      <c r="AA431" s="198"/>
      <c r="AB431" s="250" t="str">
        <f t="array" ref="AB431">INDEX(B:B,SMALL(IF($Q$3:$Q$517&lt;&gt;"",ROW($3:$517),518),ROW(B430)))&amp;""</f>
        <v>清风赋权</v>
      </c>
      <c r="AC431" s="394" t="str">
        <f>IFERROR(IF(AND($Q432&lt;&gt;"",IF(法术查询!$J$4="",1,INDEX($R432:$Z432,1,VLOOKUP(法术查询!$J$4,$AF$2:$AG$10,2,0)))&lt;&gt;"",IF(法术查询!$J$5="",1,$P432=VLOOKUP(法术查询!$J$5,$AH$2:$AI$11,2,0)),IF(法术查询!$J$6="",1,IF(法术查询!$J$6=$E432,1,0)),IF(法术查询!$J$7="",1,SEARCH(法术查询!$J$7,$F432)),IF(法术查询!$J$8="",1,SEARCH(法术查询!$J$8,G432)),IF(法术查询!$J$9="",1,SEARCH(法术查询!$J$9,N432)),IF(法术查询!$J$10="",1,IF(法术查询!$J$10=$AF$11,IF($M432=1,1,0),IF($M432="",1,0))),IF(法术查询!$J$11="",1,IF(法术查询!$J$11=$AF$11,IF($D432=1,1,0),IF($D432="",1,0))),IF(法术查询!$J$12="",1,SEARCH(法术查询!$J$12,$B432&amp;$C432&amp;$O432)),IF(法术查询!$J$13="",1,SEARCH(法术查询!$J$13,$B432&amp;$C432&amp;$O432)),IF(法术查询!$J$14="",1,SEARCH(法术查询!$J$14,$B432&amp;$C432&amp;$O432)),IF(法术查询!$J$16="",1,IF(法术查询!$J$16=$AF$11,IF($H432=1,1,0),IF($H432="",1,0))),IF(法术查询!$J$17="",1,IF(法术查询!$J$17=$AF$11,IF($I432=1,1,0),IF($I432="",1,0))),IF(法术查询!$J$18="",1,IF(法术查询!$J$18=$AF$11,IF($J432&lt;&gt;"",1,0),IF($J432="",1,0))),IF(法术查询!$J$19="",1,IF(法术查询!$J$19=$AF$11,IF($L432&lt;&gt;"",1,0),IF($L432="",1,0)))),$B432,""),"")</f>
        <v/>
      </c>
      <c r="AD431" s="180" t="str">
        <f t="array" ref="AD431">INDEX(AC:AC,SMALL(IF($AC$2:$AC$516&lt;&gt;"",ROW($2:$516),517),ROW(AC430)))&amp;""</f>
        <v/>
      </c>
      <c r="AE431" s="198" t="str">
        <f t="shared" si="10"/>
        <v/>
      </c>
    </row>
    <row r="432" spans="1:31" ht="14.4" customHeight="1" x14ac:dyDescent="0.25">
      <c r="A432" s="250">
        <v>430</v>
      </c>
      <c r="B432" s="119" t="s">
        <v>8108</v>
      </c>
      <c r="C432" s="119" t="s">
        <v>8109</v>
      </c>
      <c r="E432" s="435" t="s">
        <v>6312</v>
      </c>
      <c r="F432" s="180" t="s">
        <v>6282</v>
      </c>
      <c r="G432" s="180" t="s">
        <v>6291</v>
      </c>
      <c r="H432" s="180">
        <v>1</v>
      </c>
      <c r="I432" s="180">
        <v>1</v>
      </c>
      <c r="M432" s="180">
        <v>1</v>
      </c>
      <c r="N432" s="180" t="s">
        <v>6471</v>
      </c>
      <c r="O432" s="119" t="s">
        <v>8110</v>
      </c>
      <c r="P432" s="119">
        <v>6</v>
      </c>
      <c r="Q432" s="251" t="str">
        <f>IF(综合数据!$B$7=TRUE,"XGE","")</f>
        <v>XGE</v>
      </c>
      <c r="T432" s="180">
        <v>6</v>
      </c>
      <c r="W432" s="180">
        <v>6</v>
      </c>
      <c r="X432" s="180">
        <v>6</v>
      </c>
      <c r="Y432" s="180">
        <v>6</v>
      </c>
      <c r="AA432" s="198"/>
      <c r="AB432" s="250" t="str">
        <f t="array" ref="AB432">INDEX(B:B,SMALL(IF($Q$3:$Q$517&lt;&gt;"",ROW($3:$517),518),ROW(B431)))&amp;""</f>
        <v>精神监狱</v>
      </c>
      <c r="AC432" s="394" t="str">
        <f>IFERROR(IF(AND($Q433&lt;&gt;"",IF(法术查询!$J$4="",1,INDEX($R433:$Z433,1,VLOOKUP(法术查询!$J$4,$AF$2:$AG$10,2,0)))&lt;&gt;"",IF(法术查询!$J$5="",1,$P433=VLOOKUP(法术查询!$J$5,$AH$2:$AI$11,2,0)),IF(法术查询!$J$6="",1,IF(法术查询!$J$6=$E433,1,0)),IF(法术查询!$J$7="",1,SEARCH(法术查询!$J$7,$F433)),IF(法术查询!$J$8="",1,SEARCH(法术查询!$J$8,G433)),IF(法术查询!$J$9="",1,SEARCH(法术查询!$J$9,N433)),IF(法术查询!$J$10="",1,IF(法术查询!$J$10=$AF$11,IF($M433=1,1,0),IF($M433="",1,0))),IF(法术查询!$J$11="",1,IF(法术查询!$J$11=$AF$11,IF($D433=1,1,0),IF($D433="",1,0))),IF(法术查询!$J$12="",1,SEARCH(法术查询!$J$12,$B433&amp;$C433&amp;$O433)),IF(法术查询!$J$13="",1,SEARCH(法术查询!$J$13,$B433&amp;$C433&amp;$O433)),IF(法术查询!$J$14="",1,SEARCH(法术查询!$J$14,$B433&amp;$C433&amp;$O433)),IF(法术查询!$J$16="",1,IF(法术查询!$J$16=$AF$11,IF($H433=1,1,0),IF($H433="",1,0))),IF(法术查询!$J$17="",1,IF(法术查询!$J$17=$AF$11,IF($I433=1,1,0),IF($I433="",1,0))),IF(法术查询!$J$18="",1,IF(法术查询!$J$18=$AF$11,IF($J433&lt;&gt;"",1,0),IF($J433="",1,0))),IF(法术查询!$J$19="",1,IF(法术查询!$J$19=$AF$11,IF($L433&lt;&gt;"",1,0),IF($L433="",1,0)))),$B433,""),"")</f>
        <v/>
      </c>
      <c r="AD432" s="180" t="str">
        <f t="array" ref="AD432">INDEX(AC:AC,SMALL(IF($AC$2:$AC$516&lt;&gt;"",ROW($2:$516),517),ROW(AC431)))&amp;""</f>
        <v/>
      </c>
      <c r="AE432" s="198" t="str">
        <f t="shared" si="10"/>
        <v/>
      </c>
    </row>
    <row r="433" spans="1:31" ht="14.4" customHeight="1" x14ac:dyDescent="0.25">
      <c r="A433" s="250">
        <v>431</v>
      </c>
      <c r="B433" s="119" t="s">
        <v>8111</v>
      </c>
      <c r="C433" s="119" t="s">
        <v>8112</v>
      </c>
      <c r="E433" s="435" t="s">
        <v>6312</v>
      </c>
      <c r="F433" s="180" t="s">
        <v>6282</v>
      </c>
      <c r="G433" s="180" t="s">
        <v>3682</v>
      </c>
      <c r="H433" s="180">
        <v>1</v>
      </c>
      <c r="I433" s="180">
        <v>1</v>
      </c>
      <c r="M433" s="180">
        <v>1</v>
      </c>
      <c r="N433" s="180" t="s">
        <v>6471</v>
      </c>
      <c r="O433" s="119" t="s">
        <v>8113</v>
      </c>
      <c r="P433" s="119">
        <v>6</v>
      </c>
      <c r="Q433" s="251" t="str">
        <f>IF(综合数据!$B$7=TRUE,"XGE","")</f>
        <v>XGE</v>
      </c>
      <c r="T433" s="180">
        <v>6</v>
      </c>
      <c r="W433" s="180">
        <v>6</v>
      </c>
      <c r="X433" s="180">
        <v>6</v>
      </c>
      <c r="Y433" s="180">
        <v>6</v>
      </c>
      <c r="AA433" s="198"/>
      <c r="AB433" s="250" t="str">
        <f t="array" ref="AB433">INDEX(B:B,SMALL(IF($Q$3:$Q$517&lt;&gt;"",ROW($3:$517),518),ROW(B432)))&amp;""</f>
        <v>原初守护</v>
      </c>
      <c r="AC433" s="394" t="str">
        <f>IFERROR(IF(AND($Q434&lt;&gt;"",IF(法术查询!$J$4="",1,INDEX($R434:$Z434,1,VLOOKUP(法术查询!$J$4,$AF$2:$AG$10,2,0)))&lt;&gt;"",IF(法术查询!$J$5="",1,$P434=VLOOKUP(法术查询!$J$5,$AH$2:$AI$11,2,0)),IF(法术查询!$J$6="",1,IF(法术查询!$J$6=$E434,1,0)),IF(法术查询!$J$7="",1,SEARCH(法术查询!$J$7,$F434)),IF(法术查询!$J$8="",1,SEARCH(法术查询!$J$8,G434)),IF(法术查询!$J$9="",1,SEARCH(法术查询!$J$9,N434)),IF(法术查询!$J$10="",1,IF(法术查询!$J$10=$AF$11,IF($M434=1,1,0),IF($M434="",1,0))),IF(法术查询!$J$11="",1,IF(法术查询!$J$11=$AF$11,IF($D434=1,1,0),IF($D434="",1,0))),IF(法术查询!$J$12="",1,SEARCH(法术查询!$J$12,$B434&amp;$C434&amp;$O434)),IF(法术查询!$J$13="",1,SEARCH(法术查询!$J$13,$B434&amp;$C434&amp;$O434)),IF(法术查询!$J$14="",1,SEARCH(法术查询!$J$14,$B434&amp;$C434&amp;$O434)),IF(法术查询!$J$16="",1,IF(法术查询!$J$16=$AF$11,IF($H434=1,1,0),IF($H434="",1,0))),IF(法术查询!$J$17="",1,IF(法术查询!$J$17=$AF$11,IF($I434=1,1,0),IF($I434="",1,0))),IF(法术查询!$J$18="",1,IF(法术查询!$J$18=$AF$11,IF($J434&lt;&gt;"",1,0),IF($J434="",1,0))),IF(法术查询!$J$19="",1,IF(法术查询!$J$19=$AF$11,IF($L434&lt;&gt;"",1,0),IF($L434="",1,0)))),$B434,""),"")</f>
        <v/>
      </c>
      <c r="AD433" s="180" t="str">
        <f t="array" ref="AD433">INDEX(AC:AC,SMALL(IF($AC$2:$AC$516&lt;&gt;"",ROW($2:$516),517),ROW(AC432)))&amp;""</f>
        <v/>
      </c>
      <c r="AE433" s="198" t="str">
        <f t="shared" si="10"/>
        <v/>
      </c>
    </row>
    <row r="434" spans="1:31" ht="14.4" customHeight="1" x14ac:dyDescent="0.25">
      <c r="A434" s="250">
        <v>432</v>
      </c>
      <c r="B434" s="119" t="s">
        <v>8114</v>
      </c>
      <c r="C434" s="119" t="s">
        <v>8115</v>
      </c>
      <c r="E434" s="435" t="s">
        <v>6312</v>
      </c>
      <c r="F434" s="180" t="s">
        <v>6282</v>
      </c>
      <c r="G434" s="180" t="s">
        <v>6291</v>
      </c>
      <c r="H434" s="180">
        <v>1</v>
      </c>
      <c r="I434" s="180">
        <v>1</v>
      </c>
      <c r="M434" s="180">
        <v>1</v>
      </c>
      <c r="N434" s="180" t="s">
        <v>6471</v>
      </c>
      <c r="O434" s="119" t="s">
        <v>8116</v>
      </c>
      <c r="P434" s="119">
        <v>6</v>
      </c>
      <c r="Q434" s="251" t="str">
        <f>IF(综合数据!$B$7=TRUE,"XGE","")</f>
        <v>XGE</v>
      </c>
      <c r="T434" s="180">
        <v>6</v>
      </c>
      <c r="W434" s="180">
        <v>6</v>
      </c>
      <c r="X434" s="180">
        <v>6</v>
      </c>
      <c r="Y434" s="180">
        <v>6</v>
      </c>
      <c r="AA434" s="198"/>
      <c r="AB434" s="250" t="str">
        <f t="array" ref="AB434">INDEX(B:B,SMALL(IF($Q$3:$Q$517&lt;&gt;"",ROW($3:$517),518),ROW(B433)))&amp;""</f>
        <v>散射术</v>
      </c>
      <c r="AC434" s="394" t="str">
        <f>IFERROR(IF(AND($Q435&lt;&gt;"",IF(法术查询!$J$4="",1,INDEX($R435:$Z435,1,VLOOKUP(法术查询!$J$4,$AF$2:$AG$10,2,0)))&lt;&gt;"",IF(法术查询!$J$5="",1,$P435=VLOOKUP(法术查询!$J$5,$AH$2:$AI$11,2,0)),IF(法术查询!$J$6="",1,IF(法术查询!$J$6=$E435,1,0)),IF(法术查询!$J$7="",1,SEARCH(法术查询!$J$7,$F435)),IF(法术查询!$J$8="",1,SEARCH(法术查询!$J$8,G435)),IF(法术查询!$J$9="",1,SEARCH(法术查询!$J$9,N435)),IF(法术查询!$J$10="",1,IF(法术查询!$J$10=$AF$11,IF($M435=1,1,0),IF($M435="",1,0))),IF(法术查询!$J$11="",1,IF(法术查询!$J$11=$AF$11,IF($D435=1,1,0),IF($D435="",1,0))),IF(法术查询!$J$12="",1,SEARCH(法术查询!$J$12,$B435&amp;$C435&amp;$O435)),IF(法术查询!$J$13="",1,SEARCH(法术查询!$J$13,$B435&amp;$C435&amp;$O435)),IF(法术查询!$J$14="",1,SEARCH(法术查询!$J$14,$B435&amp;$C435&amp;$O435)),IF(法术查询!$J$16="",1,IF(法术查询!$J$16=$AF$11,IF($H435=1,1,0),IF($H435="",1,0))),IF(法术查询!$J$17="",1,IF(法术查询!$J$17=$AF$11,IF($I435=1,1,0),IF($I435="",1,0))),IF(法术查询!$J$18="",1,IF(法术查询!$J$18=$AF$11,IF($J435&lt;&gt;"",1,0),IF($J435="",1,0))),IF(法术查询!$J$19="",1,IF(法术查询!$J$19=$AF$11,IF($L435&lt;&gt;"",1,0),IF($L435="",1,0)))),$B435,""),"")</f>
        <v/>
      </c>
      <c r="AD434" s="180" t="str">
        <f t="array" ref="AD434">INDEX(AC:AC,SMALL(IF($AC$2:$AC$516&lt;&gt;"",ROW($2:$516),517),ROW(AC433)))&amp;""</f>
        <v/>
      </c>
      <c r="AE434" s="198" t="str">
        <f t="shared" si="10"/>
        <v/>
      </c>
    </row>
    <row r="435" spans="1:31" ht="14.4" customHeight="1" x14ac:dyDescent="0.25">
      <c r="A435" s="250">
        <v>433</v>
      </c>
      <c r="B435" s="119" t="s">
        <v>8117</v>
      </c>
      <c r="C435" s="119" t="s">
        <v>8118</v>
      </c>
      <c r="E435" s="435" t="s">
        <v>6312</v>
      </c>
      <c r="F435" s="180" t="s">
        <v>6282</v>
      </c>
      <c r="G435" s="180" t="s">
        <v>6291</v>
      </c>
      <c r="H435" s="180">
        <v>1</v>
      </c>
      <c r="I435" s="180">
        <v>1</v>
      </c>
      <c r="M435" s="180">
        <v>1</v>
      </c>
      <c r="N435" s="180" t="s">
        <v>6471</v>
      </c>
      <c r="O435" s="119" t="s">
        <v>8119</v>
      </c>
      <c r="P435" s="119">
        <v>6</v>
      </c>
      <c r="Q435" s="251" t="str">
        <f>IF(综合数据!$B$7=TRUE,"XGE","")</f>
        <v>XGE</v>
      </c>
      <c r="T435" s="180">
        <v>6</v>
      </c>
      <c r="W435" s="180">
        <v>6</v>
      </c>
      <c r="X435" s="180">
        <v>6</v>
      </c>
      <c r="Y435" s="180">
        <v>6</v>
      </c>
      <c r="AA435" s="198"/>
      <c r="AB435" s="250" t="str">
        <f t="array" ref="AB435">INDEX(B:B,SMALL(IF($Q$3:$Q$517&lt;&gt;"",ROW($3:$517),518),ROW(B434)))&amp;""</f>
        <v>灵魂牢笼</v>
      </c>
      <c r="AC435" s="394" t="str">
        <f>IFERROR(IF(AND($Q436&lt;&gt;"",IF(法术查询!$J$4="",1,INDEX($R436:$Z436,1,VLOOKUP(法术查询!$J$4,$AF$2:$AG$10,2,0)))&lt;&gt;"",IF(法术查询!$J$5="",1,$P436=VLOOKUP(法术查询!$J$5,$AH$2:$AI$11,2,0)),IF(法术查询!$J$6="",1,IF(法术查询!$J$6=$E436,1,0)),IF(法术查询!$J$7="",1,SEARCH(法术查询!$J$7,$F436)),IF(法术查询!$J$8="",1,SEARCH(法术查询!$J$8,G436)),IF(法术查询!$J$9="",1,SEARCH(法术查询!$J$9,N436)),IF(法术查询!$J$10="",1,IF(法术查询!$J$10=$AF$11,IF($M436=1,1,0),IF($M436="",1,0))),IF(法术查询!$J$11="",1,IF(法术查询!$J$11=$AF$11,IF($D436=1,1,0),IF($D436="",1,0))),IF(法术查询!$J$12="",1,SEARCH(法术查询!$J$12,$B436&amp;$C436&amp;$O436)),IF(法术查询!$J$13="",1,SEARCH(法术查询!$J$13,$B436&amp;$C436&amp;$O436)),IF(法术查询!$J$14="",1,SEARCH(法术查询!$J$14,$B436&amp;$C436&amp;$O436)),IF(法术查询!$J$16="",1,IF(法术查询!$J$16=$AF$11,IF($H436=1,1,0),IF($H436="",1,0))),IF(法术查询!$J$17="",1,IF(法术查询!$J$17=$AF$11,IF($I436=1,1,0),IF($I436="",1,0))),IF(法术查询!$J$18="",1,IF(法术查询!$J$18=$AF$11,IF($J436&lt;&gt;"",1,0),IF($J436="",1,0))),IF(法术查询!$J$19="",1,IF(法术查询!$J$19=$AF$11,IF($L436&lt;&gt;"",1,0),IF($L436="",1,0)))),$B436,""),"")</f>
        <v/>
      </c>
      <c r="AD435" s="180" t="str">
        <f t="array" ref="AD435">INDEX(AC:AC,SMALL(IF($AC$2:$AC$516&lt;&gt;"",ROW($2:$516),517),ROW(AC434)))&amp;""</f>
        <v/>
      </c>
      <c r="AE435" s="198" t="str">
        <f t="shared" si="10"/>
        <v/>
      </c>
    </row>
    <row r="436" spans="1:31" ht="14.4" customHeight="1" x14ac:dyDescent="0.25">
      <c r="A436" s="250">
        <v>434</v>
      </c>
      <c r="B436" s="119" t="s">
        <v>8120</v>
      </c>
      <c r="C436" s="119" t="s">
        <v>8121</v>
      </c>
      <c r="E436" s="285" t="s">
        <v>6366</v>
      </c>
      <c r="F436" s="180" t="s">
        <v>6282</v>
      </c>
      <c r="G436" s="180" t="s">
        <v>6283</v>
      </c>
      <c r="I436" s="180">
        <v>1</v>
      </c>
      <c r="M436" s="180">
        <v>1</v>
      </c>
      <c r="N436" s="180" t="s">
        <v>6306</v>
      </c>
      <c r="O436" s="119" t="s">
        <v>8122</v>
      </c>
      <c r="P436" s="119">
        <v>6</v>
      </c>
      <c r="Q436" s="251" t="str">
        <f>IF(综合数据!$B$7=TRUE,"XGE","")</f>
        <v>XGE</v>
      </c>
      <c r="W436" s="180">
        <v>6</v>
      </c>
      <c r="X436" s="180">
        <v>6</v>
      </c>
      <c r="Y436" s="180">
        <v>6</v>
      </c>
      <c r="AA436" s="198"/>
      <c r="AB436" s="250" t="str">
        <f t="array" ref="AB436">INDEX(B:B,SMALL(IF($Q$3:$Q$517&lt;&gt;"",ROW($3:$517),518),ROW(B435)))&amp;""</f>
        <v>谭森变形术</v>
      </c>
      <c r="AC436" s="394" t="str">
        <f>IFERROR(IF(AND($Q437&lt;&gt;"",IF(法术查询!$J$4="",1,INDEX($R437:$Z437,1,VLOOKUP(法术查询!$J$4,$AF$2:$AG$10,2,0)))&lt;&gt;"",IF(法术查询!$J$5="",1,$P437=VLOOKUP(法术查询!$J$5,$AH$2:$AI$11,2,0)),IF(法术查询!$J$6="",1,IF(法术查询!$J$6=$E437,1,0)),IF(法术查询!$J$7="",1,SEARCH(法术查询!$J$7,$F437)),IF(法术查询!$J$8="",1,SEARCH(法术查询!$J$8,G437)),IF(法术查询!$J$9="",1,SEARCH(法术查询!$J$9,N437)),IF(法术查询!$J$10="",1,IF(法术查询!$J$10=$AF$11,IF($M437=1,1,0),IF($M437="",1,0))),IF(法术查询!$J$11="",1,IF(法术查询!$J$11=$AF$11,IF($D437=1,1,0),IF($D437="",1,0))),IF(法术查询!$J$12="",1,SEARCH(法术查询!$J$12,$B437&amp;$C437&amp;$O437)),IF(法术查询!$J$13="",1,SEARCH(法术查询!$J$13,$B437&amp;$C437&amp;$O437)),IF(法术查询!$J$14="",1,SEARCH(法术查询!$J$14,$B437&amp;$C437&amp;$O437)),IF(法术查询!$J$16="",1,IF(法术查询!$J$16=$AF$11,IF($H437=1,1,0),IF($H437="",1,0))),IF(法术查询!$J$17="",1,IF(法术查询!$J$17=$AF$11,IF($I437=1,1,0),IF($I437="",1,0))),IF(法术查询!$J$18="",1,IF(法术查询!$J$18=$AF$11,IF($J437&lt;&gt;"",1,0),IF($J437="",1,0))),IF(法术查询!$J$19="",1,IF(法术查询!$J$19=$AF$11,IF($L437&lt;&gt;"",1,0),IF($L437="",1,0)))),$B437,""),"")</f>
        <v/>
      </c>
      <c r="AD436" s="180" t="str">
        <f t="array" ref="AD436">INDEX(AC:AC,SMALL(IF($AC$2:$AC$516&lt;&gt;"",ROW($2:$516),517),ROW(AC435)))&amp;""</f>
        <v/>
      </c>
      <c r="AE436" s="198" t="str">
        <f t="shared" si="10"/>
        <v/>
      </c>
    </row>
    <row r="437" spans="1:31" ht="14.4" customHeight="1" x14ac:dyDescent="0.25">
      <c r="A437" s="250">
        <v>435</v>
      </c>
      <c r="B437" s="119" t="s">
        <v>8123</v>
      </c>
      <c r="C437" s="119" t="s">
        <v>8124</v>
      </c>
      <c r="E437" s="440" t="s">
        <v>6290</v>
      </c>
      <c r="F437" s="180" t="s">
        <v>6282</v>
      </c>
      <c r="G437" s="180" t="s">
        <v>6291</v>
      </c>
      <c r="H437" s="180">
        <v>1</v>
      </c>
      <c r="I437" s="180">
        <v>1</v>
      </c>
      <c r="M437" s="180">
        <v>1</v>
      </c>
      <c r="N437" s="180" t="s">
        <v>6306</v>
      </c>
      <c r="O437" s="119" t="s">
        <v>8125</v>
      </c>
      <c r="P437" s="119">
        <v>6</v>
      </c>
      <c r="Q437" s="251" t="str">
        <f>IF(综合数据!$B$7=TRUE,"XGE","")</f>
        <v>XGE</v>
      </c>
      <c r="T437" s="180">
        <v>6</v>
      </c>
      <c r="AA437" s="198"/>
      <c r="AB437" s="250" t="str">
        <f t="array" ref="AB437">INDEX(B:B,SMALL(IF($Q$3:$Q$517&lt;&gt;"",ROW($3:$517),518),ROW(B436)))&amp;""</f>
        <v>重力分裂</v>
      </c>
      <c r="AC437" s="394" t="str">
        <f>IFERROR(IF(AND($Q438&lt;&gt;"",IF(法术查询!$J$4="",1,INDEX($R438:$Z438,1,VLOOKUP(法术查询!$J$4,$AF$2:$AG$10,2,0)))&lt;&gt;"",IF(法术查询!$J$5="",1,$P438=VLOOKUP(法术查询!$J$5,$AH$2:$AI$11,2,0)),IF(法术查询!$J$6="",1,IF(法术查询!$J$6=$E438,1,0)),IF(法术查询!$J$7="",1,SEARCH(法术查询!$J$7,$F438)),IF(法术查询!$J$8="",1,SEARCH(法术查询!$J$8,G438)),IF(法术查询!$J$9="",1,SEARCH(法术查询!$J$9,N438)),IF(法术查询!$J$10="",1,IF(法术查询!$J$10=$AF$11,IF($M438=1,1,0),IF($M438="",1,0))),IF(法术查询!$J$11="",1,IF(法术查询!$J$11=$AF$11,IF($D438=1,1,0),IF($D438="",1,0))),IF(法术查询!$J$12="",1,SEARCH(法术查询!$J$12,$B438&amp;$C438&amp;$O438)),IF(法术查询!$J$13="",1,SEARCH(法术查询!$J$13,$B438&amp;$C438&amp;$O438)),IF(法术查询!$J$14="",1,SEARCH(法术查询!$J$14,$B438&amp;$C438&amp;$O438)),IF(法术查询!$J$16="",1,IF(法术查询!$J$16=$AF$11,IF($H438=1,1,0),IF($H438="",1,0))),IF(法术查询!$J$17="",1,IF(法术查询!$J$17=$AF$11,IF($I438=1,1,0),IF($I438="",1,0))),IF(法术查询!$J$18="",1,IF(法术查询!$J$18=$AF$11,IF($J438&lt;&gt;"",1,0),IF($J438="",1,0))),IF(法术查询!$J$19="",1,IF(法术查询!$J$19=$AF$11,IF($L438&lt;&gt;"",1,0),IF($L438="",1,0)))),$B438,""),"")</f>
        <v/>
      </c>
      <c r="AD437" s="180" t="str">
        <f t="array" ref="AD437">INDEX(AC:AC,SMALL(IF($AC$2:$AC$516&lt;&gt;"",ROW($2:$516),517),ROW(AC436)))&amp;""</f>
        <v/>
      </c>
      <c r="AE437" s="198" t="str">
        <f t="shared" si="10"/>
        <v/>
      </c>
    </row>
    <row r="438" spans="1:31" ht="14.4" customHeight="1" x14ac:dyDescent="0.25">
      <c r="A438" s="250">
        <v>436</v>
      </c>
      <c r="B438" s="119" t="s">
        <v>8126</v>
      </c>
      <c r="C438" s="119" t="s">
        <v>8127</v>
      </c>
      <c r="E438" s="378" t="s">
        <v>6281</v>
      </c>
      <c r="F438" s="180" t="s">
        <v>6282</v>
      </c>
      <c r="G438" s="180" t="s">
        <v>6313</v>
      </c>
      <c r="H438" s="180">
        <v>1</v>
      </c>
      <c r="N438" s="180" t="s">
        <v>6284</v>
      </c>
      <c r="O438" s="119" t="s">
        <v>8128</v>
      </c>
      <c r="P438" s="119">
        <v>6</v>
      </c>
      <c r="Q438" s="251" t="str">
        <f>IF(综合数据!$B$7=TRUE,"XGE","")</f>
        <v>XGE</v>
      </c>
      <c r="W438" s="180">
        <v>6</v>
      </c>
      <c r="X438" s="180">
        <v>6</v>
      </c>
      <c r="Y438" s="180">
        <v>6</v>
      </c>
      <c r="AA438" s="198"/>
      <c r="AB438" s="250" t="str">
        <f t="array" ref="AB438">INDEX(B:B,SMALL(IF($Q$3:$Q$517&lt;&gt;"",ROW($3:$517),518),ROW(B437)))&amp;""</f>
        <v>邪魔召唤术</v>
      </c>
      <c r="AC438" s="394" t="str">
        <f>IFERROR(IF(AND($Q439&lt;&gt;"",IF(法术查询!$J$4="",1,INDEX($R439:$Z439,1,VLOOKUP(法术查询!$J$4,$AF$2:$AG$10,2,0)))&lt;&gt;"",IF(法术查询!$J$5="",1,$P439=VLOOKUP(法术查询!$J$5,$AH$2:$AI$11,2,0)),IF(法术查询!$J$6="",1,IF(法术查询!$J$6=$E439,1,0)),IF(法术查询!$J$7="",1,SEARCH(法术查询!$J$7,$F439)),IF(法术查询!$J$8="",1,SEARCH(法术查询!$J$8,G439)),IF(法术查询!$J$9="",1,SEARCH(法术查询!$J$9,N439)),IF(法术查询!$J$10="",1,IF(法术查询!$J$10=$AF$11,IF($M439=1,1,0),IF($M439="",1,0))),IF(法术查询!$J$11="",1,IF(法术查询!$J$11=$AF$11,IF($D439=1,1,0),IF($D439="",1,0))),IF(法术查询!$J$12="",1,SEARCH(法术查询!$J$12,$B439&amp;$C439&amp;$O439)),IF(法术查询!$J$13="",1,SEARCH(法术查询!$J$13,$B439&amp;$C439&amp;$O439)),IF(法术查询!$J$14="",1,SEARCH(法术查询!$J$14,$B439&amp;$C439&amp;$O439)),IF(法术查询!$J$16="",1,IF(法术查询!$J$16=$AF$11,IF($H439=1,1,0),IF($H439="",1,0))),IF(法术查询!$J$17="",1,IF(法术查询!$J$17=$AF$11,IF($I439=1,1,0),IF($I439="",1,0))),IF(法术查询!$J$18="",1,IF(法术查询!$J$18=$AF$11,IF($J439&lt;&gt;"",1,0),IF($J439="",1,0))),IF(法术查询!$J$19="",1,IF(法术查询!$J$19=$AF$11,IF($L439&lt;&gt;"",1,0),IF($L439="",1,0)))),$B439,""),"")</f>
        <v/>
      </c>
      <c r="AD438" s="180" t="str">
        <f t="array" ref="AD438">INDEX(AC:AC,SMALL(IF($AC$2:$AC$516&lt;&gt;"",ROW($2:$516),517),ROW(AC437)))&amp;""</f>
        <v/>
      </c>
      <c r="AE438" s="198" t="str">
        <f t="shared" si="10"/>
        <v/>
      </c>
    </row>
    <row r="439" spans="1:31" ht="14.4" customHeight="1" x14ac:dyDescent="0.25">
      <c r="A439" s="250">
        <v>437</v>
      </c>
      <c r="B439" s="119" t="s">
        <v>8129</v>
      </c>
      <c r="C439" s="119" t="s">
        <v>8130</v>
      </c>
      <c r="E439" s="441" t="s">
        <v>6297</v>
      </c>
      <c r="F439" s="180" t="s">
        <v>8131</v>
      </c>
      <c r="G439" s="180" t="s">
        <v>6283</v>
      </c>
      <c r="H439" s="180">
        <v>1</v>
      </c>
      <c r="I439" s="180">
        <v>1</v>
      </c>
      <c r="J439" s="180">
        <v>1</v>
      </c>
      <c r="K439" s="119" t="s">
        <v>8132</v>
      </c>
      <c r="N439" s="180" t="s">
        <v>6388</v>
      </c>
      <c r="O439" s="119" t="s">
        <v>8133</v>
      </c>
      <c r="P439" s="119">
        <v>6</v>
      </c>
      <c r="Q439" s="251" t="str">
        <f>IF(综合数据!$B$7=TRUE,"XGE","")</f>
        <v>XGE</v>
      </c>
      <c r="X439" s="180">
        <v>6</v>
      </c>
      <c r="Y439" s="180">
        <v>6</v>
      </c>
      <c r="AA439" s="198"/>
      <c r="AB439" s="250" t="str">
        <f t="array" ref="AB439">INDEX(B:B,SMALL(IF($Q$3:$Q$517&lt;&gt;"",ROW($3:$517),518),ROW(B438)))&amp;""</f>
        <v>塔莎超凡形态</v>
      </c>
      <c r="AC439" s="394" t="str">
        <f>IFERROR(IF(AND($Q440&lt;&gt;"",IF(法术查询!$J$4="",1,INDEX($R440:$Z440,1,VLOOKUP(法术查询!$J$4,$AF$2:$AG$10,2,0)))&lt;&gt;"",IF(法术查询!$J$5="",1,$P440=VLOOKUP(法术查询!$J$5,$AH$2:$AI$11,2,0)),IF(法术查询!$J$6="",1,IF(法术查询!$J$6=$E440,1,0)),IF(法术查询!$J$7="",1,SEARCH(法术查询!$J$7,$F440)),IF(法术查询!$J$8="",1,SEARCH(法术查询!$J$8,G440)),IF(法术查询!$J$9="",1,SEARCH(法术查询!$J$9,N440)),IF(法术查询!$J$10="",1,IF(法术查询!$J$10=$AF$11,IF($M440=1,1,0),IF($M440="",1,0))),IF(法术查询!$J$11="",1,IF(法术查询!$J$11=$AF$11,IF($D440=1,1,0),IF($D440="",1,0))),IF(法术查询!$J$12="",1,SEARCH(法术查询!$J$12,$B440&amp;$C440&amp;$O440)),IF(法术查询!$J$13="",1,SEARCH(法术查询!$J$13,$B440&amp;$C440&amp;$O440)),IF(法术查询!$J$14="",1,SEARCH(法术查询!$J$14,$B440&amp;$C440&amp;$O440)),IF(法术查询!$J$16="",1,IF(法术查询!$J$16=$AF$11,IF($H440=1,1,0),IF($H440="",1,0))),IF(法术查询!$J$17="",1,IF(法术查询!$J$17=$AF$11,IF($I440=1,1,0),IF($I440="",1,0))),IF(法术查询!$J$18="",1,IF(法术查询!$J$18=$AF$11,IF($J440&lt;&gt;"",1,0),IF($J440="",1,0))),IF(法术查询!$J$19="",1,IF(法术查询!$J$19=$AF$11,IF($L440&lt;&gt;"",1,0),IF($L440="",1,0)))),$B440,""),"")</f>
        <v/>
      </c>
      <c r="AD439" s="180" t="str">
        <f t="array" ref="AD439">INDEX(AC:AC,SMALL(IF($AC$2:$AC$516&lt;&gt;"",ROW($2:$516),517),ROW(AC438)))&amp;""</f>
        <v/>
      </c>
      <c r="AE439" s="198" t="str">
        <f t="shared" si="10"/>
        <v/>
      </c>
    </row>
    <row r="440" spans="1:31" ht="14.4" customHeight="1" x14ac:dyDescent="0.25">
      <c r="A440" s="250">
        <v>438</v>
      </c>
      <c r="B440" s="119" t="s">
        <v>8134</v>
      </c>
      <c r="C440" s="119" t="s">
        <v>8135</v>
      </c>
      <c r="E440" s="435" t="s">
        <v>6312</v>
      </c>
      <c r="F440" s="180" t="s">
        <v>6282</v>
      </c>
      <c r="G440" s="180" t="s">
        <v>6291</v>
      </c>
      <c r="H440" s="180">
        <v>1</v>
      </c>
      <c r="I440" s="180">
        <v>1</v>
      </c>
      <c r="J440" s="180">
        <v>1</v>
      </c>
      <c r="K440" s="119" t="s">
        <v>8136</v>
      </c>
      <c r="M440" s="180">
        <v>1</v>
      </c>
      <c r="N440" s="180" t="s">
        <v>6471</v>
      </c>
      <c r="O440" s="119" t="s">
        <v>8137</v>
      </c>
      <c r="P440" s="119">
        <v>6</v>
      </c>
      <c r="Q440" s="251" t="str">
        <f>IF(综合数据!$B$7=TRUE,"XGE","")</f>
        <v>XGE</v>
      </c>
      <c r="X440" s="180">
        <v>6</v>
      </c>
      <c r="AA440" s="198"/>
      <c r="AB440" s="250" t="str">
        <f t="array" ref="AB440">INDEX(B:B,SMALL(IF($Q$3:$Q$517&lt;&gt;"",ROW($3:$517),518),ROW(B439)))&amp;""</f>
        <v>费茨本铂金盾</v>
      </c>
      <c r="AC440" s="394" t="str">
        <f>IFERROR(IF(AND($Q441&lt;&gt;"",IF(法术查询!$J$4="",1,INDEX($R441:$Z441,1,VLOOKUP(法术查询!$J$4,$AF$2:$AG$10,2,0)))&lt;&gt;"",IF(法术查询!$J$5="",1,$P441=VLOOKUP(法术查询!$J$5,$AH$2:$AI$11,2,0)),IF(法术查询!$J$6="",1,IF(法术查询!$J$6=$E441,1,0)),IF(法术查询!$J$7="",1,SEARCH(法术查询!$J$7,$F441)),IF(法术查询!$J$8="",1,SEARCH(法术查询!$J$8,G441)),IF(法术查询!$J$9="",1,SEARCH(法术查询!$J$9,N441)),IF(法术查询!$J$10="",1,IF(法术查询!$J$10=$AF$11,IF($M441=1,1,0),IF($M441="",1,0))),IF(法术查询!$J$11="",1,IF(法术查询!$J$11=$AF$11,IF($D441=1,1,0),IF($D441="",1,0))),IF(法术查询!$J$12="",1,SEARCH(法术查询!$J$12,$B441&amp;$C441&amp;$O441)),IF(法术查询!$J$13="",1,SEARCH(法术查询!$J$13,$B441&amp;$C441&amp;$O441)),IF(法术查询!$J$14="",1,SEARCH(法术查询!$J$14,$B441&amp;$C441&amp;$O441)),IF(法术查询!$J$16="",1,IF(法术查询!$J$16=$AF$11,IF($H441=1,1,0),IF($H441="",1,0))),IF(法术查询!$J$17="",1,IF(法术查询!$J$17=$AF$11,IF($I441=1,1,0),IF($I441="",1,0))),IF(法术查询!$J$18="",1,IF(法术查询!$J$18=$AF$11,IF($J441&lt;&gt;"",1,0),IF($J441="",1,0))),IF(法术查询!$J$19="",1,IF(法术查询!$J$19=$AF$11,IF($L441&lt;&gt;"",1,0),IF($L441="",1,0)))),$B441,""),"")</f>
        <v/>
      </c>
      <c r="AD440" s="180" t="str">
        <f t="array" ref="AD440">INDEX(AC:AC,SMALL(IF($AC$2:$AC$516&lt;&gt;"",ROW($2:$516),517),ROW(AC439)))&amp;""</f>
        <v/>
      </c>
      <c r="AE440" s="198" t="str">
        <f t="shared" si="10"/>
        <v/>
      </c>
    </row>
    <row r="441" spans="1:31" ht="14.4" customHeight="1" x14ac:dyDescent="0.25">
      <c r="A441" s="250">
        <v>439</v>
      </c>
      <c r="B441" s="119" t="s">
        <v>8138</v>
      </c>
      <c r="C441" s="119" t="s">
        <v>8139</v>
      </c>
      <c r="E441" s="434" t="s">
        <v>6304</v>
      </c>
      <c r="F441" s="180" t="s">
        <v>6282</v>
      </c>
      <c r="G441" s="180" t="s">
        <v>6528</v>
      </c>
      <c r="H441" s="180">
        <v>1</v>
      </c>
      <c r="I441" s="180">
        <v>1</v>
      </c>
      <c r="J441" s="180">
        <v>1</v>
      </c>
      <c r="K441" s="119" t="s">
        <v>8140</v>
      </c>
      <c r="N441" s="180" t="s">
        <v>6284</v>
      </c>
      <c r="O441" s="119" t="s">
        <v>8141</v>
      </c>
      <c r="P441" s="119">
        <v>6</v>
      </c>
      <c r="Q441" s="257" t="str">
        <f>IF(综合数据!$B$11=TRUE,"EGtW","")</f>
        <v>EGtW</v>
      </c>
      <c r="AA441" s="120" t="s">
        <v>3558</v>
      </c>
      <c r="AB441" s="250" t="str">
        <f t="array" ref="AB441">INDEX(B:B,SMALL(IF($Q$3:$Q$517&lt;&gt;"",ROW($3:$517),518),ROW(B440)))&amp;""</f>
        <v>召唤天界生物</v>
      </c>
      <c r="AC441" s="394" t="str">
        <f>IFERROR(IF(AND($Q442&lt;&gt;"",IF(法术查询!$J$4="",1,INDEX($R442:$Z442,1,VLOOKUP(法术查询!$J$4,$AF$2:$AG$10,2,0)))&lt;&gt;"",IF(法术查询!$J$5="",1,$P442=VLOOKUP(法术查询!$J$5,$AH$2:$AI$11,2,0)),IF(法术查询!$J$6="",1,IF(法术查询!$J$6=$E442,1,0)),IF(法术查询!$J$7="",1,SEARCH(法术查询!$J$7,$F442)),IF(法术查询!$J$8="",1,SEARCH(法术查询!$J$8,G442)),IF(法术查询!$J$9="",1,SEARCH(法术查询!$J$9,N442)),IF(法术查询!$J$10="",1,IF(法术查询!$J$10=$AF$11,IF($M442=1,1,0),IF($M442="",1,0))),IF(法术查询!$J$11="",1,IF(法术查询!$J$11=$AF$11,IF($D442=1,1,0),IF($D442="",1,0))),IF(法术查询!$J$12="",1,SEARCH(法术查询!$J$12,$B442&amp;$C442&amp;$O442)),IF(法术查询!$J$13="",1,SEARCH(法术查询!$J$13,$B442&amp;$C442&amp;$O442)),IF(法术查询!$J$14="",1,SEARCH(法术查询!$J$14,$B442&amp;$C442&amp;$O442)),IF(法术查询!$J$16="",1,IF(法术查询!$J$16=$AF$11,IF($H442=1,1,0),IF($H442="",1,0))),IF(法术查询!$J$17="",1,IF(法术查询!$J$17=$AF$11,IF($I442=1,1,0),IF($I442="",1,0))),IF(法术查询!$J$18="",1,IF(法术查询!$J$18=$AF$11,IF($J442&lt;&gt;"",1,0),IF($J442="",1,0))),IF(法术查询!$J$19="",1,IF(法术查询!$J$19=$AF$11,IF($L442&lt;&gt;"",1,0),IF($L442="",1,0)))),$B442,""),"")</f>
        <v/>
      </c>
      <c r="AD441" s="180" t="str">
        <f t="array" ref="AD441">INDEX(AC:AC,SMALL(IF($AC$2:$AC$516&lt;&gt;"",ROW($2:$516),517),ROW(AC440)))&amp;""</f>
        <v/>
      </c>
      <c r="AE441" s="198" t="str">
        <f t="shared" si="10"/>
        <v/>
      </c>
    </row>
    <row r="442" spans="1:31" ht="14.4" customHeight="1" x14ac:dyDescent="0.25">
      <c r="A442" s="250">
        <v>440</v>
      </c>
      <c r="B442" s="119" t="s">
        <v>8142</v>
      </c>
      <c r="C442" s="119" t="s">
        <v>8143</v>
      </c>
      <c r="E442" s="378" t="s">
        <v>6281</v>
      </c>
      <c r="F442" s="180" t="s">
        <v>6282</v>
      </c>
      <c r="G442" s="180" t="s">
        <v>6400</v>
      </c>
      <c r="H442" s="180">
        <v>1</v>
      </c>
      <c r="I442" s="180">
        <v>1</v>
      </c>
      <c r="J442" s="180">
        <v>1</v>
      </c>
      <c r="K442" s="119" t="s">
        <v>8144</v>
      </c>
      <c r="M442" s="180">
        <v>1</v>
      </c>
      <c r="N442" s="180" t="s">
        <v>6379</v>
      </c>
      <c r="O442" s="119" t="s">
        <v>8145</v>
      </c>
      <c r="P442" s="119">
        <v>6</v>
      </c>
      <c r="Q442" s="443" t="str">
        <f>IF(综合数据!$B$14=TRUE,"TCE","")</f>
        <v>TCE</v>
      </c>
      <c r="X442" s="180">
        <v>13</v>
      </c>
      <c r="Y442" s="180">
        <v>13</v>
      </c>
      <c r="AA442" s="120"/>
      <c r="AB442" s="250" t="str">
        <f t="array" ref="AB442">INDEX(B:B,SMALL(IF($Q$3:$Q$517&lt;&gt;"",ROW($3:$517),518),ROW(B441)))&amp;""</f>
        <v>延迟爆裂火球</v>
      </c>
      <c r="AC442" s="394" t="str">
        <f>IFERROR(IF(AND($Q443&lt;&gt;"",IF(法术查询!$J$4="",1,INDEX($R443:$Z443,1,VLOOKUP(法术查询!$J$4,$AF$2:$AG$10,2,0)))&lt;&gt;"",IF(法术查询!$J$5="",1,$P443=VLOOKUP(法术查询!$J$5,$AH$2:$AI$11,2,0)),IF(法术查询!$J$6="",1,IF(法术查询!$J$6=$E443,1,0)),IF(法术查询!$J$7="",1,SEARCH(法术查询!$J$7,$F443)),IF(法术查询!$J$8="",1,SEARCH(法术查询!$J$8,G443)),IF(法术查询!$J$9="",1,SEARCH(法术查询!$J$9,N443)),IF(法术查询!$J$10="",1,IF(法术查询!$J$10=$AF$11,IF($M443=1,1,0),IF($M443="",1,0))),IF(法术查询!$J$11="",1,IF(法术查询!$J$11=$AF$11,IF($D443=1,1,0),IF($D443="",1,0))),IF(法术查询!$J$12="",1,SEARCH(法术查询!$J$12,$B443&amp;$C443&amp;$O443)),IF(法术查询!$J$13="",1,SEARCH(法术查询!$J$13,$B443&amp;$C443&amp;$O443)),IF(法术查询!$J$14="",1,SEARCH(法术查询!$J$14,$B443&amp;$C443&amp;$O443)),IF(法术查询!$J$16="",1,IF(法术查询!$J$16=$AF$11,IF($H443=1,1,0),IF($H443="",1,0))),IF(法术查询!$J$17="",1,IF(法术查询!$J$17=$AF$11,IF($I443=1,1,0),IF($I443="",1,0))),IF(法术查询!$J$18="",1,IF(法术查询!$J$18=$AF$11,IF($J443&lt;&gt;"",1,0),IF($J443="",1,0))),IF(法术查询!$J$19="",1,IF(法术查询!$J$19=$AF$11,IF($L443&lt;&gt;"",1,0),IF($L443="",1,0)))),$B443,""),"")</f>
        <v/>
      </c>
      <c r="AD442" s="180" t="str">
        <f t="array" ref="AD442">INDEX(AC:AC,SMALL(IF($AC$2:$AC$516&lt;&gt;"",ROW($2:$516),517),ROW(AC441)))&amp;""</f>
        <v/>
      </c>
      <c r="AE442" s="198" t="str">
        <f t="shared" si="10"/>
        <v/>
      </c>
    </row>
    <row r="443" spans="1:31" ht="14.4" customHeight="1" x14ac:dyDescent="0.25">
      <c r="A443" s="250">
        <v>441</v>
      </c>
      <c r="B443" s="119" t="s">
        <v>8146</v>
      </c>
      <c r="C443" s="119" t="s">
        <v>8147</v>
      </c>
      <c r="E443" s="435" t="s">
        <v>6312</v>
      </c>
      <c r="F443" s="180" t="s">
        <v>6352</v>
      </c>
      <c r="G443" s="180" t="s">
        <v>6291</v>
      </c>
      <c r="H443" s="180">
        <v>1</v>
      </c>
      <c r="I443" s="180">
        <v>1</v>
      </c>
      <c r="J443" s="180">
        <v>1</v>
      </c>
      <c r="K443" s="119" t="s">
        <v>8148</v>
      </c>
      <c r="M443" s="180">
        <v>1</v>
      </c>
      <c r="N443" s="180" t="s">
        <v>6306</v>
      </c>
      <c r="O443" s="119" t="s">
        <v>8149</v>
      </c>
      <c r="P443" s="119">
        <v>6</v>
      </c>
      <c r="Q443" s="443" t="str">
        <f>IF(综合数据!$B$14=TRUE,"TCE","")</f>
        <v>TCE</v>
      </c>
      <c r="W443" s="180">
        <v>13</v>
      </c>
      <c r="X443" s="180">
        <v>13</v>
      </c>
      <c r="Y443" s="180">
        <v>13</v>
      </c>
      <c r="AA443" s="120"/>
      <c r="AB443" s="250" t="str">
        <f t="array" ref="AB443">INDEX(B:B,SMALL(IF($Q$3:$Q$517&lt;&gt;"",ROW($3:$517),518),ROW(B442)))&amp;""</f>
        <v>圣言术</v>
      </c>
      <c r="AC443" s="394" t="str">
        <f>IFERROR(IF(AND($Q444&lt;&gt;"",IF(法术查询!$J$4="",1,INDEX($R444:$Z444,1,VLOOKUP(法术查询!$J$4,$AF$2:$AG$10,2,0)))&lt;&gt;"",IF(法术查询!$J$5="",1,$P444=VLOOKUP(法术查询!$J$5,$AH$2:$AI$11,2,0)),IF(法术查询!$J$6="",1,IF(法术查询!$J$6=$E444,1,0)),IF(法术查询!$J$7="",1,SEARCH(法术查询!$J$7,$F444)),IF(法术查询!$J$8="",1,SEARCH(法术查询!$J$8,G444)),IF(法术查询!$J$9="",1,SEARCH(法术查询!$J$9,N444)),IF(法术查询!$J$10="",1,IF(法术查询!$J$10=$AF$11,IF($M444=1,1,0),IF($M444="",1,0))),IF(法术查询!$J$11="",1,IF(法术查询!$J$11=$AF$11,IF($D444=1,1,0),IF($D444="",1,0))),IF(法术查询!$J$12="",1,SEARCH(法术查询!$J$12,$B444&amp;$C444&amp;$O444)),IF(法术查询!$J$13="",1,SEARCH(法术查询!$J$13,$B444&amp;$C444&amp;$O444)),IF(法术查询!$J$14="",1,SEARCH(法术查询!$J$14,$B444&amp;$C444&amp;$O444)),IF(法术查询!$J$16="",1,IF(法术查询!$J$16=$AF$11,IF($H444=1,1,0),IF($H444="",1,0))),IF(法术查询!$J$17="",1,IF(法术查询!$J$17=$AF$11,IF($I444=1,1,0),IF($I444="",1,0))),IF(法术查询!$J$18="",1,IF(法术查询!$J$18=$AF$11,IF($J444&lt;&gt;"",1,0),IF($J444="",1,0))),IF(法术查询!$J$19="",1,IF(法术查询!$J$19=$AF$11,IF($L444&lt;&gt;"",1,0),IF($L444="",1,0)))),$B444,""),"")</f>
        <v/>
      </c>
      <c r="AD443" s="180" t="str">
        <f t="array" ref="AD443">INDEX(AC:AC,SMALL(IF($AC$2:$AC$516&lt;&gt;"",ROW($2:$516),517),ROW(AC442)))&amp;""</f>
        <v/>
      </c>
      <c r="AE443" s="198" t="str">
        <f t="shared" si="10"/>
        <v/>
      </c>
    </row>
    <row r="444" spans="1:31" ht="14.4" customHeight="1" x14ac:dyDescent="0.25">
      <c r="A444" s="250">
        <v>442</v>
      </c>
      <c r="B444" s="119" t="s">
        <v>8150</v>
      </c>
      <c r="C444" s="119" t="s">
        <v>8151</v>
      </c>
      <c r="E444" s="440" t="s">
        <v>6290</v>
      </c>
      <c r="F444" s="180" t="s">
        <v>6352</v>
      </c>
      <c r="G444" s="180" t="s">
        <v>6283</v>
      </c>
      <c r="H444" s="180">
        <v>1</v>
      </c>
      <c r="I444" s="180">
        <v>1</v>
      </c>
      <c r="J444" s="180">
        <v>1</v>
      </c>
      <c r="K444" s="119" t="s">
        <v>8152</v>
      </c>
      <c r="M444" s="180">
        <v>1</v>
      </c>
      <c r="N444" s="180" t="s">
        <v>6306</v>
      </c>
      <c r="O444" s="119" t="s">
        <v>8153</v>
      </c>
      <c r="P444" s="180">
        <v>6</v>
      </c>
      <c r="Q444" s="445" t="str">
        <f>IF(综合数据!$B$16=TRUE,"FTD","")</f>
        <v>FTD</v>
      </c>
      <c r="W444" s="180">
        <v>15</v>
      </c>
      <c r="X444" s="180">
        <v>15</v>
      </c>
      <c r="AA444" s="198"/>
      <c r="AB444" s="250" t="str">
        <f t="array" ref="AB444">INDEX(B:B,SMALL(IF($Q$3:$Q$517&lt;&gt;"",ROW($3:$517),518),ROW(B443)))&amp;""</f>
        <v>以太化</v>
      </c>
      <c r="AC444" s="394" t="str">
        <f>IFERROR(IF(AND($Q445&lt;&gt;"",IF(法术查询!$J$4="",1,INDEX($R445:$Z445,1,VLOOKUP(法术查询!$J$4,$AF$2:$AG$10,2,0)))&lt;&gt;"",IF(法术查询!$J$5="",1,$P445=VLOOKUP(法术查询!$J$5,$AH$2:$AI$11,2,0)),IF(法术查询!$J$6="",1,IF(法术查询!$J$6=$E445,1,0)),IF(法术查询!$J$7="",1,SEARCH(法术查询!$J$7,$F445)),IF(法术查询!$J$8="",1,SEARCH(法术查询!$J$8,G445)),IF(法术查询!$J$9="",1,SEARCH(法术查询!$J$9,N445)),IF(法术查询!$J$10="",1,IF(法术查询!$J$10=$AF$11,IF($M445=1,1,0),IF($M445="",1,0))),IF(法术查询!$J$11="",1,IF(法术查询!$J$11=$AF$11,IF($D445=1,1,0),IF($D445="",1,0))),IF(法术查询!$J$12="",1,SEARCH(法术查询!$J$12,$B445&amp;$C445&amp;$O445)),IF(法术查询!$J$13="",1,SEARCH(法术查询!$J$13,$B445&amp;$C445&amp;$O445)),IF(法术查询!$J$14="",1,SEARCH(法术查询!$J$14,$B445&amp;$C445&amp;$O445)),IF(法术查询!$J$16="",1,IF(法术查询!$J$16=$AF$11,IF($H445=1,1,0),IF($H445="",1,0))),IF(法术查询!$J$17="",1,IF(法术查询!$J$17=$AF$11,IF($I445=1,1,0),IF($I445="",1,0))),IF(法术查询!$J$18="",1,IF(法术查询!$J$18=$AF$11,IF($J445&lt;&gt;"",1,0),IF($J445="",1,0))),IF(法术查询!$J$19="",1,IF(法术查询!$J$19=$AF$11,IF($L445&lt;&gt;"",1,0),IF($L445="",1,0)))),$B445,""),"")</f>
        <v/>
      </c>
      <c r="AD444" s="180" t="str">
        <f t="array" ref="AD444">INDEX(AC:AC,SMALL(IF($AC$2:$AC$516&lt;&gt;"",ROW($2:$516),517),ROW(AC443)))&amp;""</f>
        <v/>
      </c>
      <c r="AE444" s="198" t="str">
        <f t="shared" si="10"/>
        <v/>
      </c>
    </row>
    <row r="445" spans="1:31" ht="14.4" customHeight="1" x14ac:dyDescent="0.25">
      <c r="A445" s="250">
        <v>443</v>
      </c>
      <c r="B445" s="119" t="s">
        <v>8154</v>
      </c>
      <c r="C445" s="119" t="s">
        <v>8155</v>
      </c>
      <c r="E445" s="378" t="s">
        <v>6281</v>
      </c>
      <c r="F445" s="180" t="s">
        <v>6349</v>
      </c>
      <c r="G445" s="180" t="s">
        <v>6400</v>
      </c>
      <c r="H445" s="180">
        <v>1</v>
      </c>
      <c r="I445" s="180">
        <v>1</v>
      </c>
      <c r="M445" s="180">
        <v>1</v>
      </c>
      <c r="N445" s="180" t="s">
        <v>6379</v>
      </c>
      <c r="O445" s="119" t="s">
        <v>8156</v>
      </c>
      <c r="P445" s="119">
        <v>7</v>
      </c>
      <c r="Q445" s="119" t="s">
        <v>242</v>
      </c>
      <c r="S445" s="180">
        <v>1</v>
      </c>
      <c r="AA445" s="198"/>
      <c r="AB445" s="250" t="str">
        <f t="array" ref="AB445">INDEX(B:B,SMALL(IF($Q$3:$Q$517&lt;&gt;"",ROW($3:$517),518),ROW(B444)))&amp;""</f>
        <v>死亡一指</v>
      </c>
      <c r="AC445" s="394" t="str">
        <f>IFERROR(IF(AND($Q446&lt;&gt;"",IF(法术查询!$J$4="",1,INDEX($R446:$Z446,1,VLOOKUP(法术查询!$J$4,$AF$2:$AG$10,2,0)))&lt;&gt;"",IF(法术查询!$J$5="",1,$P446=VLOOKUP(法术查询!$J$5,$AH$2:$AI$11,2,0)),IF(法术查询!$J$6="",1,IF(法术查询!$J$6=$E446,1,0)),IF(法术查询!$J$7="",1,SEARCH(法术查询!$J$7,$F446)),IF(法术查询!$J$8="",1,SEARCH(法术查询!$J$8,G446)),IF(法术查询!$J$9="",1,SEARCH(法术查询!$J$9,N446)),IF(法术查询!$J$10="",1,IF(法术查询!$J$10=$AF$11,IF($M446=1,1,0),IF($M446="",1,0))),IF(法术查询!$J$11="",1,IF(法术查询!$J$11=$AF$11,IF($D446=1,1,0),IF($D446="",1,0))),IF(法术查询!$J$12="",1,SEARCH(法术查询!$J$12,$B446&amp;$C446&amp;$O446)),IF(法术查询!$J$13="",1,SEARCH(法术查询!$J$13,$B446&amp;$C446&amp;$O446)),IF(法术查询!$J$14="",1,SEARCH(法术查询!$J$14,$B446&amp;$C446&amp;$O446)),IF(法术查询!$J$16="",1,IF(法术查询!$J$16=$AF$11,IF($H446=1,1,0),IF($H446="",1,0))),IF(法术查询!$J$17="",1,IF(法术查询!$J$17=$AF$11,IF($I446=1,1,0),IF($I446="",1,0))),IF(法术查询!$J$18="",1,IF(法术查询!$J$18=$AF$11,IF($J446&lt;&gt;"",1,0),IF($J446="",1,0))),IF(法术查询!$J$19="",1,IF(法术查询!$J$19=$AF$11,IF($L446&lt;&gt;"",1,0),IF($L446="",1,0)))),$B446,""),"")</f>
        <v/>
      </c>
      <c r="AD445" s="180" t="str">
        <f t="array" ref="AD445">INDEX(AC:AC,SMALL(IF($AC$2:$AC$516&lt;&gt;"",ROW($2:$516),517),ROW(AC444)))&amp;""</f>
        <v/>
      </c>
      <c r="AE445" s="198" t="str">
        <f t="shared" si="10"/>
        <v/>
      </c>
    </row>
    <row r="446" spans="1:31" ht="14.4" customHeight="1" x14ac:dyDescent="0.25">
      <c r="A446" s="250">
        <v>444</v>
      </c>
      <c r="B446" s="119" t="s">
        <v>8157</v>
      </c>
      <c r="C446" s="119" t="s">
        <v>8158</v>
      </c>
      <c r="E446" s="434" t="s">
        <v>6304</v>
      </c>
      <c r="F446" s="180" t="s">
        <v>6282</v>
      </c>
      <c r="G446" s="180" t="s">
        <v>6419</v>
      </c>
      <c r="H446" s="180">
        <v>1</v>
      </c>
      <c r="I446" s="180">
        <v>1</v>
      </c>
      <c r="J446" s="180">
        <v>1</v>
      </c>
      <c r="K446" s="119" t="s">
        <v>8159</v>
      </c>
      <c r="M446" s="180">
        <v>1</v>
      </c>
      <c r="N446" s="180" t="s">
        <v>6306</v>
      </c>
      <c r="O446" s="119" t="s">
        <v>8160</v>
      </c>
      <c r="P446" s="119">
        <v>7</v>
      </c>
      <c r="Q446" s="119" t="s">
        <v>242</v>
      </c>
      <c r="W446" s="180">
        <v>1</v>
      </c>
      <c r="X446" s="180">
        <v>1</v>
      </c>
      <c r="AA446" s="198"/>
      <c r="AB446" s="250" t="str">
        <f t="array" ref="AB446">INDEX(B:B,SMALL(IF($Q$3:$Q$517&lt;&gt;"",ROW($3:$517),518),ROW(B445)))&amp;""</f>
        <v>火焰风暴</v>
      </c>
      <c r="AC446" s="394" t="str">
        <f>IFERROR(IF(AND($Q447&lt;&gt;"",IF(法术查询!$J$4="",1,INDEX($R447:$Z447,1,VLOOKUP(法术查询!$J$4,$AF$2:$AG$10,2,0)))&lt;&gt;"",IF(法术查询!$J$5="",1,$P447=VLOOKUP(法术查询!$J$5,$AH$2:$AI$11,2,0)),IF(法术查询!$J$6="",1,IF(法术查询!$J$6=$E447,1,0)),IF(法术查询!$J$7="",1,SEARCH(法术查询!$J$7,$F447)),IF(法术查询!$J$8="",1,SEARCH(法术查询!$J$8,G447)),IF(法术查询!$J$9="",1,SEARCH(法术查询!$J$9,N447)),IF(法术查询!$J$10="",1,IF(法术查询!$J$10=$AF$11,IF($M447=1,1,0),IF($M447="",1,0))),IF(法术查询!$J$11="",1,IF(法术查询!$J$11=$AF$11,IF($D447=1,1,0),IF($D447="",1,0))),IF(法术查询!$J$12="",1,SEARCH(法术查询!$J$12,$B447&amp;$C447&amp;$O447)),IF(法术查询!$J$13="",1,SEARCH(法术查询!$J$13,$B447&amp;$C447&amp;$O447)),IF(法术查询!$J$14="",1,SEARCH(法术查询!$J$14,$B447&amp;$C447&amp;$O447)),IF(法术查询!$J$16="",1,IF(法术查询!$J$16=$AF$11,IF($H447=1,1,0),IF($H447="",1,0))),IF(法术查询!$J$17="",1,IF(法术查询!$J$17=$AF$11,IF($I447=1,1,0),IF($I447="",1,0))),IF(法术查询!$J$18="",1,IF(法术查询!$J$18=$AF$11,IF($J447&lt;&gt;"",1,0),IF($J447="",1,0))),IF(法术查询!$J$19="",1,IF(法术查询!$J$19=$AF$11,IF($L447&lt;&gt;"",1,0),IF($L447="",1,0)))),$B447,""),"")</f>
        <v/>
      </c>
      <c r="AD446" s="180" t="str">
        <f t="array" ref="AD446">INDEX(AC:AC,SMALL(IF($AC$2:$AC$516&lt;&gt;"",ROW($2:$516),517),ROW(AC445)))&amp;""</f>
        <v/>
      </c>
      <c r="AE446" s="198" t="str">
        <f t="shared" si="10"/>
        <v/>
      </c>
    </row>
    <row r="447" spans="1:31" ht="14.4" customHeight="1" x14ac:dyDescent="0.25">
      <c r="A447" s="250">
        <v>445</v>
      </c>
      <c r="B447" s="119" t="s">
        <v>8161</v>
      </c>
      <c r="C447" s="119" t="s">
        <v>8162</v>
      </c>
      <c r="E447" s="434" t="s">
        <v>6304</v>
      </c>
      <c r="F447" s="180" t="s">
        <v>6352</v>
      </c>
      <c r="G447" s="180" t="s">
        <v>6313</v>
      </c>
      <c r="H447" s="180">
        <v>1</v>
      </c>
      <c r="N447" s="180" t="s">
        <v>6284</v>
      </c>
      <c r="O447" s="119" t="s">
        <v>8163</v>
      </c>
      <c r="P447" s="119">
        <v>7</v>
      </c>
      <c r="Q447" s="119" t="s">
        <v>242</v>
      </c>
      <c r="S447" s="180">
        <v>1</v>
      </c>
      <c r="AA447" s="198"/>
      <c r="AB447" s="250" t="str">
        <f t="array" ref="AB447">INDEX(B:B,SMALL(IF($Q$3:$Q$517&lt;&gt;"",ROW($3:$517),518),ROW(B446)))&amp;""</f>
        <v>魔力监牢</v>
      </c>
      <c r="AC447" s="394" t="str">
        <f>IFERROR(IF(AND($Q448&lt;&gt;"",IF(法术查询!$J$4="",1,INDEX($R448:$Z448,1,VLOOKUP(法术查询!$J$4,$AF$2:$AG$10,2,0)))&lt;&gt;"",IF(法术查询!$J$5="",1,$P448=VLOOKUP(法术查询!$J$5,$AH$2:$AI$11,2,0)),IF(法术查询!$J$6="",1,IF(法术查询!$J$6=$E448,1,0)),IF(法术查询!$J$7="",1,SEARCH(法术查询!$J$7,$F448)),IF(法术查询!$J$8="",1,SEARCH(法术查询!$J$8,G448)),IF(法术查询!$J$9="",1,SEARCH(法术查询!$J$9,N448)),IF(法术查询!$J$10="",1,IF(法术查询!$J$10=$AF$11,IF($M448=1,1,0),IF($M448="",1,0))),IF(法术查询!$J$11="",1,IF(法术查询!$J$11=$AF$11,IF($D448=1,1,0),IF($D448="",1,0))),IF(法术查询!$J$12="",1,SEARCH(法术查询!$J$12,$B448&amp;$C448&amp;$O448)),IF(法术查询!$J$13="",1,SEARCH(法术查询!$J$13,$B448&amp;$C448&amp;$O448)),IF(法术查询!$J$14="",1,SEARCH(法术查询!$J$14,$B448&amp;$C448&amp;$O448)),IF(法术查询!$J$16="",1,IF(法术查询!$J$16=$AF$11,IF($H448=1,1,0),IF($H448="",1,0))),IF(法术查询!$J$17="",1,IF(法术查询!$J$17=$AF$11,IF($I448=1,1,0),IF($I448="",1,0))),IF(法术查询!$J$18="",1,IF(法术查询!$J$18=$AF$11,IF($J448&lt;&gt;"",1,0),IF($J448="",1,0))),IF(法术查询!$J$19="",1,IF(法术查询!$J$19=$AF$11,IF($L448&lt;&gt;"",1,0),IF($L448="",1,0)))),$B448,""),"")</f>
        <v/>
      </c>
      <c r="AD447" s="180" t="str">
        <f t="array" ref="AD447">INDEX(AC:AC,SMALL(IF($AC$2:$AC$516&lt;&gt;"",ROW($2:$516),517),ROW(AC446)))&amp;""</f>
        <v/>
      </c>
      <c r="AE447" s="198" t="str">
        <f t="shared" si="10"/>
        <v/>
      </c>
    </row>
    <row r="448" spans="1:31" ht="14.4" customHeight="1" x14ac:dyDescent="0.25">
      <c r="A448" s="250">
        <v>446</v>
      </c>
      <c r="B448" s="119" t="s">
        <v>8164</v>
      </c>
      <c r="C448" s="119" t="s">
        <v>8165</v>
      </c>
      <c r="E448" s="435" t="s">
        <v>6312</v>
      </c>
      <c r="F448" s="180" t="s">
        <v>6282</v>
      </c>
      <c r="G448" s="180" t="s">
        <v>6291</v>
      </c>
      <c r="H448" s="180">
        <v>1</v>
      </c>
      <c r="I448" s="180">
        <v>1</v>
      </c>
      <c r="N448" s="180" t="s">
        <v>6485</v>
      </c>
      <c r="O448" s="119" t="s">
        <v>8166</v>
      </c>
      <c r="P448" s="119">
        <v>7</v>
      </c>
      <c r="Q448" s="119" t="s">
        <v>242</v>
      </c>
      <c r="R448" s="180">
        <v>1</v>
      </c>
      <c r="S448" s="180">
        <v>1</v>
      </c>
      <c r="W448" s="180">
        <v>1</v>
      </c>
      <c r="X448" s="180">
        <v>1</v>
      </c>
      <c r="Y448" s="180">
        <v>1</v>
      </c>
      <c r="AA448" s="198" t="s">
        <v>3144</v>
      </c>
      <c r="AB448" s="250" t="str">
        <f t="array" ref="AB448">INDEX(B:B,SMALL(IF($Q$3:$Q$517&lt;&gt;"",ROW($3:$517),518),ROW(B447)))&amp;""</f>
        <v>海市蜃楼</v>
      </c>
      <c r="AC448" s="394" t="str">
        <f>IFERROR(IF(AND($Q449&lt;&gt;"",IF(法术查询!$J$4="",1,INDEX($R449:$Z449,1,VLOOKUP(法术查询!$J$4,$AF$2:$AG$10,2,0)))&lt;&gt;"",IF(法术查询!$J$5="",1,$P449=VLOOKUP(法术查询!$J$5,$AH$2:$AI$11,2,0)),IF(法术查询!$J$6="",1,IF(法术查询!$J$6=$E449,1,0)),IF(法术查询!$J$7="",1,SEARCH(法术查询!$J$7,$F449)),IF(法术查询!$J$8="",1,SEARCH(法术查询!$J$8,G449)),IF(法术查询!$J$9="",1,SEARCH(法术查询!$J$9,N449)),IF(法术查询!$J$10="",1,IF(法术查询!$J$10=$AF$11,IF($M449=1,1,0),IF($M449="",1,0))),IF(法术查询!$J$11="",1,IF(法术查询!$J$11=$AF$11,IF($D449=1,1,0),IF($D449="",1,0))),IF(法术查询!$J$12="",1,SEARCH(法术查询!$J$12,$B449&amp;$C449&amp;$O449)),IF(法术查询!$J$13="",1,SEARCH(法术查询!$J$13,$B449&amp;$C449&amp;$O449)),IF(法术查询!$J$14="",1,SEARCH(法术查询!$J$14,$B449&amp;$C449&amp;$O449)),IF(法术查询!$J$16="",1,IF(法术查询!$J$16=$AF$11,IF($H449=1,1,0),IF($H449="",1,0))),IF(法术查询!$J$17="",1,IF(法术查询!$J$17=$AF$11,IF($I449=1,1,0),IF($I449="",1,0))),IF(法术查询!$J$18="",1,IF(法术查询!$J$18=$AF$11,IF($J449&lt;&gt;"",1,0),IF($J449="",1,0))),IF(法术查询!$J$19="",1,IF(法术查询!$J$19=$AF$11,IF($L449&lt;&gt;"",1,0),IF($L449="",1,0)))),$B449,""),"")</f>
        <v/>
      </c>
      <c r="AD448" s="180" t="str">
        <f t="array" ref="AD448">INDEX(AC:AC,SMALL(IF($AC$2:$AC$516&lt;&gt;"",ROW($2:$516),517),ROW(AC447)))&amp;""</f>
        <v/>
      </c>
      <c r="AE448" s="198" t="str">
        <f t="shared" si="10"/>
        <v/>
      </c>
    </row>
    <row r="449" spans="1:31" ht="14.4" customHeight="1" x14ac:dyDescent="0.25">
      <c r="A449" s="250">
        <v>447</v>
      </c>
      <c r="B449" s="119" t="s">
        <v>8167</v>
      </c>
      <c r="C449" s="119" t="s">
        <v>8168</v>
      </c>
      <c r="E449" s="441" t="s">
        <v>6297</v>
      </c>
      <c r="F449" s="180" t="s">
        <v>6282</v>
      </c>
      <c r="G449" s="180" t="s">
        <v>6283</v>
      </c>
      <c r="H449" s="180">
        <v>1</v>
      </c>
      <c r="I449" s="180">
        <v>1</v>
      </c>
      <c r="N449" s="180" t="s">
        <v>6284</v>
      </c>
      <c r="O449" s="119" t="s">
        <v>8169</v>
      </c>
      <c r="P449" s="119">
        <v>7</v>
      </c>
      <c r="Q449" s="119" t="s">
        <v>242</v>
      </c>
      <c r="W449" s="180">
        <v>1</v>
      </c>
      <c r="X449" s="180">
        <v>1</v>
      </c>
      <c r="Y449" s="180">
        <v>1</v>
      </c>
      <c r="AA449" s="198"/>
      <c r="AB449" s="250" t="str">
        <f t="array" ref="AB449">INDEX(B:B,SMALL(IF($Q$3:$Q$517&lt;&gt;"",ROW($3:$517),518),ROW(B448)))&amp;""</f>
        <v>摩登肯豪宅术</v>
      </c>
      <c r="AC449" s="394" t="str">
        <f>IFERROR(IF(AND($Q450&lt;&gt;"",IF(法术查询!$J$4="",1,INDEX($R450:$Z450,1,VLOOKUP(法术查询!$J$4,$AF$2:$AG$10,2,0)))&lt;&gt;"",IF(法术查询!$J$5="",1,$P450=VLOOKUP(法术查询!$J$5,$AH$2:$AI$11,2,0)),IF(法术查询!$J$6="",1,IF(法术查询!$J$6=$E450,1,0)),IF(法术查询!$J$7="",1,SEARCH(法术查询!$J$7,$F450)),IF(法术查询!$J$8="",1,SEARCH(法术查询!$J$8,G450)),IF(法术查询!$J$9="",1,SEARCH(法术查询!$J$9,N450)),IF(法术查询!$J$10="",1,IF(法术查询!$J$10=$AF$11,IF($M450=1,1,0),IF($M450="",1,0))),IF(法术查询!$J$11="",1,IF(法术查询!$J$11=$AF$11,IF($D450=1,1,0),IF($D450="",1,0))),IF(法术查询!$J$12="",1,SEARCH(法术查询!$J$12,$B450&amp;$C450&amp;$O450)),IF(法术查询!$J$13="",1,SEARCH(法术查询!$J$13,$B450&amp;$C450&amp;$O450)),IF(法术查询!$J$14="",1,SEARCH(法术查询!$J$14,$B450&amp;$C450&amp;$O450)),IF(法术查询!$J$16="",1,IF(法术查询!$J$16=$AF$11,IF($H450=1,1,0),IF($H450="",1,0))),IF(法术查询!$J$17="",1,IF(法术查询!$J$17=$AF$11,IF($I450=1,1,0),IF($I450="",1,0))),IF(法术查询!$J$18="",1,IF(法术查询!$J$18=$AF$11,IF($J450&lt;&gt;"",1,0),IF($J450="",1,0))),IF(法术查询!$J$19="",1,IF(法术查询!$J$19=$AF$11,IF($L450&lt;&gt;"",1,0),IF($L450="",1,0)))),$B450,""),"")</f>
        <v/>
      </c>
      <c r="AD449" s="180" t="str">
        <f t="array" ref="AD449">INDEX(AC:AC,SMALL(IF($AC$2:$AC$516&lt;&gt;"",ROW($2:$516),517),ROW(AC448)))&amp;""</f>
        <v/>
      </c>
      <c r="AE449" s="198" t="str">
        <f t="shared" si="10"/>
        <v/>
      </c>
    </row>
    <row r="450" spans="1:31" ht="14.4" customHeight="1" x14ac:dyDescent="0.25">
      <c r="A450" s="250">
        <v>448</v>
      </c>
      <c r="B450" s="119" t="s">
        <v>8170</v>
      </c>
      <c r="C450" s="119" t="s">
        <v>8171</v>
      </c>
      <c r="E450" s="434" t="s">
        <v>6304</v>
      </c>
      <c r="F450" s="180" t="s">
        <v>6282</v>
      </c>
      <c r="G450" s="180" t="s">
        <v>6419</v>
      </c>
      <c r="H450" s="180">
        <v>1</v>
      </c>
      <c r="I450" s="180">
        <v>1</v>
      </c>
      <c r="N450" s="180" t="s">
        <v>6284</v>
      </c>
      <c r="O450" s="119" t="s">
        <v>8172</v>
      </c>
      <c r="P450" s="119">
        <v>7</v>
      </c>
      <c r="Q450" s="119" t="s">
        <v>242</v>
      </c>
      <c r="S450" s="180">
        <v>1</v>
      </c>
      <c r="T450" s="180">
        <v>1</v>
      </c>
      <c r="W450" s="180">
        <v>1</v>
      </c>
      <c r="AA450" s="198"/>
      <c r="AB450" s="250" t="str">
        <f t="array" ref="AB450">INDEX(B:B,SMALL(IF($Q$3:$Q$517&lt;&gt;"",ROW($3:$517),518),ROW(B449)))&amp;""</f>
        <v>摩登肯之剑</v>
      </c>
      <c r="AC450" s="394" t="str">
        <f>IFERROR(IF(AND($Q451&lt;&gt;"",IF(法术查询!$J$4="",1,INDEX($R451:$Z451,1,VLOOKUP(法术查询!$J$4,$AF$2:$AG$10,2,0)))&lt;&gt;"",IF(法术查询!$J$5="",1,$P451=VLOOKUP(法术查询!$J$5,$AH$2:$AI$11,2,0)),IF(法术查询!$J$6="",1,IF(法术查询!$J$6=$E451,1,0)),IF(法术查询!$J$7="",1,SEARCH(法术查询!$J$7,$F451)),IF(法术查询!$J$8="",1,SEARCH(法术查询!$J$8,G451)),IF(法术查询!$J$9="",1,SEARCH(法术查询!$J$9,N451)),IF(法术查询!$J$10="",1,IF(法术查询!$J$10=$AF$11,IF($M451=1,1,0),IF($M451="",1,0))),IF(法术查询!$J$11="",1,IF(法术查询!$J$11=$AF$11,IF($D451=1,1,0),IF($D451="",1,0))),IF(法术查询!$J$12="",1,SEARCH(法术查询!$J$12,$B451&amp;$C451&amp;$O451)),IF(法术查询!$J$13="",1,SEARCH(法术查询!$J$13,$B451&amp;$C451&amp;$O451)),IF(法术查询!$J$14="",1,SEARCH(法术查询!$J$14,$B451&amp;$C451&amp;$O451)),IF(法术查询!$J$16="",1,IF(法术查询!$J$16=$AF$11,IF($H451=1,1,0),IF($H451="",1,0))),IF(法术查询!$J$17="",1,IF(法术查询!$J$17=$AF$11,IF($I451=1,1,0),IF($I451="",1,0))),IF(法术查询!$J$18="",1,IF(法术查询!$J$18=$AF$11,IF($J451&lt;&gt;"",1,0),IF($J451="",1,0))),IF(法术查询!$J$19="",1,IF(法术查询!$J$19=$AF$11,IF($L451&lt;&gt;"",1,0),IF($L451="",1,0)))),$B451,""),"")</f>
        <v/>
      </c>
      <c r="AD450" s="180" t="str">
        <f t="array" ref="AD450">INDEX(AC:AC,SMALL(IF($AC$2:$AC$516&lt;&gt;"",ROW($2:$516),517),ROW(AC449)))&amp;""</f>
        <v/>
      </c>
      <c r="AE450" s="198" t="str">
        <f t="shared" si="10"/>
        <v/>
      </c>
    </row>
    <row r="451" spans="1:31" ht="14.4" customHeight="1" x14ac:dyDescent="0.25">
      <c r="A451" s="250">
        <v>449</v>
      </c>
      <c r="B451" s="119" t="s">
        <v>8173</v>
      </c>
      <c r="C451" s="119" t="s">
        <v>8174</v>
      </c>
      <c r="E451" s="434" t="s">
        <v>6304</v>
      </c>
      <c r="F451" s="180" t="s">
        <v>6282</v>
      </c>
      <c r="G451" s="180" t="s">
        <v>6406</v>
      </c>
      <c r="H451" s="180">
        <v>1</v>
      </c>
      <c r="I451" s="180">
        <v>1</v>
      </c>
      <c r="J451" s="180">
        <v>1</v>
      </c>
      <c r="K451" s="119" t="s">
        <v>8175</v>
      </c>
      <c r="N451" s="180" t="s">
        <v>6344</v>
      </c>
      <c r="O451" s="119" t="s">
        <v>8176</v>
      </c>
      <c r="P451" s="119">
        <v>7</v>
      </c>
      <c r="Q451" s="119" t="s">
        <v>242</v>
      </c>
      <c r="R451" s="180">
        <v>1</v>
      </c>
      <c r="X451" s="180">
        <v>1</v>
      </c>
      <c r="Y451" s="180">
        <v>1</v>
      </c>
      <c r="AA451" s="198"/>
      <c r="AB451" s="250" t="str">
        <f t="array" ref="AB451">INDEX(B:B,SMALL(IF($Q$3:$Q$517&lt;&gt;"",ROW($3:$517),518),ROW(B450)))&amp;""</f>
        <v>异界传送</v>
      </c>
      <c r="AC451" s="394" t="str">
        <f>IFERROR(IF(AND($Q452&lt;&gt;"",IF(法术查询!$J$4="",1,INDEX($R452:$Z452,1,VLOOKUP(法术查询!$J$4,$AF$2:$AG$10,2,0)))&lt;&gt;"",IF(法术查询!$J$5="",1,$P452=VLOOKUP(法术查询!$J$5,$AH$2:$AI$11,2,0)),IF(法术查询!$J$6="",1,IF(法术查询!$J$6=$E452,1,0)),IF(法术查询!$J$7="",1,SEARCH(法术查询!$J$7,$F452)),IF(法术查询!$J$8="",1,SEARCH(法术查询!$J$8,G452)),IF(法术查询!$J$9="",1,SEARCH(法术查询!$J$9,N452)),IF(法术查询!$J$10="",1,IF(法术查询!$J$10=$AF$11,IF($M452=1,1,0),IF($M452="",1,0))),IF(法术查询!$J$11="",1,IF(法术查询!$J$11=$AF$11,IF($D452=1,1,0),IF($D452="",1,0))),IF(法术查询!$J$12="",1,SEARCH(法术查询!$J$12,$B452&amp;$C452&amp;$O452)),IF(法术查询!$J$13="",1,SEARCH(法术查询!$J$13,$B452&amp;$C452&amp;$O452)),IF(法术查询!$J$14="",1,SEARCH(法术查询!$J$14,$B452&amp;$C452&amp;$O452)),IF(法术查询!$J$16="",1,IF(法术查询!$J$16=$AF$11,IF($H452=1,1,0),IF($H452="",1,0))),IF(法术查询!$J$17="",1,IF(法术查询!$J$17=$AF$11,IF($I452=1,1,0),IF($I452="",1,0))),IF(法术查询!$J$18="",1,IF(法术查询!$J$18=$AF$11,IF($J452&lt;&gt;"",1,0),IF($J452="",1,0))),IF(法术查询!$J$19="",1,IF(法术查询!$J$19=$AF$11,IF($L452&lt;&gt;"",1,0),IF($L452="",1,0)))),$B452,""),"")</f>
        <v/>
      </c>
      <c r="AD451" s="180" t="str">
        <f t="array" ref="AD451">INDEX(AC:AC,SMALL(IF($AC$2:$AC$516&lt;&gt;"",ROW($2:$516),517),ROW(AC450)))&amp;""</f>
        <v/>
      </c>
      <c r="AE451" s="198" t="str">
        <f t="shared" ref="AE451:AE514" si="11">IF(AD451="","",VLOOKUP(AD451,B:C,2,0))</f>
        <v/>
      </c>
    </row>
    <row r="452" spans="1:31" ht="14.4" customHeight="1" x14ac:dyDescent="0.25">
      <c r="A452" s="250">
        <v>450</v>
      </c>
      <c r="B452" s="119" t="s">
        <v>8177</v>
      </c>
      <c r="C452" s="119" t="s">
        <v>8178</v>
      </c>
      <c r="E452" s="285" t="s">
        <v>6366</v>
      </c>
      <c r="F452" s="180" t="s">
        <v>6371</v>
      </c>
      <c r="G452" s="180" t="s">
        <v>6460</v>
      </c>
      <c r="H452" s="180">
        <v>1</v>
      </c>
      <c r="I452" s="180">
        <v>1</v>
      </c>
      <c r="N452" s="180" t="s">
        <v>6420</v>
      </c>
      <c r="O452" s="119" t="s">
        <v>8179</v>
      </c>
      <c r="P452" s="119">
        <v>7</v>
      </c>
      <c r="Q452" s="119" t="s">
        <v>242</v>
      </c>
      <c r="R452" s="180">
        <v>1</v>
      </c>
      <c r="T452" s="180">
        <v>1</v>
      </c>
      <c r="X452" s="180">
        <v>1</v>
      </c>
      <c r="AA452" s="198"/>
      <c r="AB452" s="250" t="str">
        <f t="array" ref="AB452">INDEX(B:B,SMALL(IF($Q$3:$Q$517&lt;&gt;"",ROW($3:$517),518),ROW(B451)))&amp;""</f>
        <v>虹光喷射</v>
      </c>
      <c r="AC452" s="394" t="str">
        <f>IFERROR(IF(AND($Q453&lt;&gt;"",IF(法术查询!$J$4="",1,INDEX($R453:$Z453,1,VLOOKUP(法术查询!$J$4,$AF$2:$AG$10,2,0)))&lt;&gt;"",IF(法术查询!$J$5="",1,$P453=VLOOKUP(法术查询!$J$5,$AH$2:$AI$11,2,0)),IF(法术查询!$J$6="",1,IF(法术查询!$J$6=$E453,1,0)),IF(法术查询!$J$7="",1,SEARCH(法术查询!$J$7,$F453)),IF(法术查询!$J$8="",1,SEARCH(法术查询!$J$8,G453)),IF(法术查询!$J$9="",1,SEARCH(法术查询!$J$9,N453)),IF(法术查询!$J$10="",1,IF(法术查询!$J$10=$AF$11,IF($M453=1,1,0),IF($M453="",1,0))),IF(法术查询!$J$11="",1,IF(法术查询!$J$11=$AF$11,IF($D453=1,1,0),IF($D453="",1,0))),IF(法术查询!$J$12="",1,SEARCH(法术查询!$J$12,$B453&amp;$C453&amp;$O453)),IF(法术查询!$J$13="",1,SEARCH(法术查询!$J$13,$B453&amp;$C453&amp;$O453)),IF(法术查询!$J$14="",1,SEARCH(法术查询!$J$14,$B453&amp;$C453&amp;$O453)),IF(法术查询!$J$16="",1,IF(法术查询!$J$16=$AF$11,IF($H453=1,1,0),IF($H453="",1,0))),IF(法术查询!$J$17="",1,IF(法术查询!$J$17=$AF$11,IF($I453=1,1,0),IF($I453="",1,0))),IF(法术查询!$J$18="",1,IF(法术查询!$J$18=$AF$11,IF($J453&lt;&gt;"",1,0),IF($J453="",1,0))),IF(法术查询!$J$19="",1,IF(法术查询!$J$19=$AF$11,IF($L453&lt;&gt;"",1,0),IF($L453="",1,0)))),$B453,""),"")</f>
        <v/>
      </c>
      <c r="AD452" s="180" t="str">
        <f t="array" ref="AD452">INDEX(AC:AC,SMALL(IF($AC$2:$AC$516&lt;&gt;"",ROW($2:$516),517),ROW(AC451)))&amp;""</f>
        <v/>
      </c>
      <c r="AE452" s="198" t="str">
        <f t="shared" si="11"/>
        <v/>
      </c>
    </row>
    <row r="453" spans="1:31" ht="14.4" customHeight="1" x14ac:dyDescent="0.25">
      <c r="A453" s="250">
        <v>451</v>
      </c>
      <c r="B453" s="119" t="s">
        <v>8180</v>
      </c>
      <c r="C453" s="119" t="s">
        <v>8181</v>
      </c>
      <c r="E453" s="378" t="s">
        <v>6281</v>
      </c>
      <c r="F453" s="180" t="s">
        <v>6349</v>
      </c>
      <c r="G453" s="180" t="s">
        <v>6426</v>
      </c>
      <c r="H453" s="180">
        <v>1</v>
      </c>
      <c r="I453" s="180">
        <v>1</v>
      </c>
      <c r="J453" s="180">
        <v>1</v>
      </c>
      <c r="K453" s="119" t="s">
        <v>8182</v>
      </c>
      <c r="N453" s="180" t="s">
        <v>6399</v>
      </c>
      <c r="O453" s="119" t="s">
        <v>8183</v>
      </c>
      <c r="P453" s="119">
        <v>7</v>
      </c>
      <c r="Q453" s="119" t="s">
        <v>242</v>
      </c>
      <c r="R453" s="180">
        <v>1</v>
      </c>
      <c r="X453" s="180">
        <v>1</v>
      </c>
      <c r="AA453" s="198"/>
      <c r="AB453" s="250" t="str">
        <f t="array" ref="AB453">INDEX(B:B,SMALL(IF($Q$3:$Q$517&lt;&gt;"",ROW($3:$517),518),ROW(B452)))&amp;""</f>
        <v>投影术</v>
      </c>
      <c r="AC453" s="394" t="str">
        <f>IFERROR(IF(AND($Q454&lt;&gt;"",IF(法术查询!$J$4="",1,INDEX($R454:$Z454,1,VLOOKUP(法术查询!$J$4,$AF$2:$AG$10,2,0)))&lt;&gt;"",IF(法术查询!$J$5="",1,$P454=VLOOKUP(法术查询!$J$5,$AH$2:$AI$11,2,0)),IF(法术查询!$J$6="",1,IF(法术查询!$J$6=$E454,1,0)),IF(法术查询!$J$7="",1,SEARCH(法术查询!$J$7,$F454)),IF(法术查询!$J$8="",1,SEARCH(法术查询!$J$8,G454)),IF(法术查询!$J$9="",1,SEARCH(法术查询!$J$9,N454)),IF(法术查询!$J$10="",1,IF(法术查询!$J$10=$AF$11,IF($M454=1,1,0),IF($M454="",1,0))),IF(法术查询!$J$11="",1,IF(法术查询!$J$11=$AF$11,IF($D454=1,1,0),IF($D454="",1,0))),IF(法术查询!$J$12="",1,SEARCH(法术查询!$J$12,$B454&amp;$C454&amp;$O454)),IF(法术查询!$J$13="",1,SEARCH(法术查询!$J$13,$B454&amp;$C454&amp;$O454)),IF(法术查询!$J$14="",1,SEARCH(法术查询!$J$14,$B454&amp;$C454&amp;$O454)),IF(法术查询!$J$16="",1,IF(法术查询!$J$16=$AF$11,IF($H454=1,1,0),IF($H454="",1,0))),IF(法术查询!$J$17="",1,IF(法术查询!$J$17=$AF$11,IF($I454=1,1,0),IF($I454="",1,0))),IF(法术查询!$J$18="",1,IF(法术查询!$J$18=$AF$11,IF($J454&lt;&gt;"",1,0),IF($J454="",1,0))),IF(法术查询!$J$19="",1,IF(法术查询!$J$19=$AF$11,IF($L454&lt;&gt;"",1,0),IF($L454="",1,0)))),$B454,""),"")</f>
        <v/>
      </c>
      <c r="AD453" s="180" t="str">
        <f t="array" ref="AD453">INDEX(AC:AC,SMALL(IF($AC$2:$AC$516&lt;&gt;"",ROW($2:$516),517),ROW(AC452)))&amp;""</f>
        <v/>
      </c>
      <c r="AE453" s="198" t="str">
        <f t="shared" si="11"/>
        <v/>
      </c>
    </row>
    <row r="454" spans="1:31" ht="14.4" customHeight="1" x14ac:dyDescent="0.25">
      <c r="A454" s="250">
        <v>452</v>
      </c>
      <c r="B454" s="119" t="s">
        <v>8184</v>
      </c>
      <c r="C454" s="119" t="s">
        <v>8185</v>
      </c>
      <c r="E454" s="434" t="s">
        <v>6304</v>
      </c>
      <c r="F454" s="180" t="s">
        <v>6282</v>
      </c>
      <c r="G454" s="180" t="s">
        <v>6283</v>
      </c>
      <c r="H454" s="180">
        <v>1</v>
      </c>
      <c r="I454" s="180">
        <v>1</v>
      </c>
      <c r="J454" s="180">
        <v>1</v>
      </c>
      <c r="K454" s="119" t="s">
        <v>8186</v>
      </c>
      <c r="M454" s="180">
        <v>1</v>
      </c>
      <c r="N454" s="180" t="s">
        <v>6306</v>
      </c>
      <c r="O454" s="119" t="s">
        <v>8187</v>
      </c>
      <c r="P454" s="119">
        <v>7</v>
      </c>
      <c r="Q454" s="119" t="s">
        <v>242</v>
      </c>
      <c r="R454" s="180">
        <v>1</v>
      </c>
      <c r="X454" s="180">
        <v>1</v>
      </c>
      <c r="AA454" s="198"/>
      <c r="AB454" s="250" t="str">
        <f t="array" ref="AB454">INDEX(B:B,SMALL(IF($Q$3:$Q$517&lt;&gt;"",ROW($3:$517),518),ROW(B453)))&amp;""</f>
        <v>再生术</v>
      </c>
      <c r="AC454" s="394" t="str">
        <f>IFERROR(IF(AND($Q455&lt;&gt;"",IF(法术查询!$J$4="",1,INDEX($R455:$Z455,1,VLOOKUP(法术查询!$J$4,$AF$2:$AG$10,2,0)))&lt;&gt;"",IF(法术查询!$J$5="",1,$P455=VLOOKUP(法术查询!$J$5,$AH$2:$AI$11,2,0)),IF(法术查询!$J$6="",1,IF(法术查询!$J$6=$E455,1,0)),IF(法术查询!$J$7="",1,SEARCH(法术查询!$J$7,$F455)),IF(法术查询!$J$8="",1,SEARCH(法术查询!$J$8,G455)),IF(法术查询!$J$9="",1,SEARCH(法术查询!$J$9,N455)),IF(法术查询!$J$10="",1,IF(法术查询!$J$10=$AF$11,IF($M455=1,1,0),IF($M455="",1,0))),IF(法术查询!$J$11="",1,IF(法术查询!$J$11=$AF$11,IF($D455=1,1,0),IF($D455="",1,0))),IF(法术查询!$J$12="",1,SEARCH(法术查询!$J$12,$B455&amp;$C455&amp;$O455)),IF(法术查询!$J$13="",1,SEARCH(法术查询!$J$13,$B455&amp;$C455&amp;$O455)),IF(法术查询!$J$14="",1,SEARCH(法术查询!$J$14,$B455&amp;$C455&amp;$O455)),IF(法术查询!$J$16="",1,IF(法术查询!$J$16=$AF$11,IF($H455=1,1,0),IF($H455="",1,0))),IF(法术查询!$J$17="",1,IF(法术查询!$J$17=$AF$11,IF($I455=1,1,0),IF($I455="",1,0))),IF(法术查询!$J$18="",1,IF(法术查询!$J$18=$AF$11,IF($J455&lt;&gt;"",1,0),IF($J455="",1,0))),IF(法术查询!$J$19="",1,IF(法术查询!$J$19=$AF$11,IF($L455&lt;&gt;"",1,0),IF($L455="",1,0)))),$B455,""),"")</f>
        <v/>
      </c>
      <c r="AD454" s="180" t="str">
        <f t="array" ref="AD454">INDEX(AC:AC,SMALL(IF($AC$2:$AC$516&lt;&gt;"",ROW($2:$516),517),ROW(AC453)))&amp;""</f>
        <v/>
      </c>
      <c r="AE454" s="198" t="str">
        <f t="shared" si="11"/>
        <v/>
      </c>
    </row>
    <row r="455" spans="1:31" ht="14.4" customHeight="1" x14ac:dyDescent="0.25">
      <c r="A455" s="250">
        <v>453</v>
      </c>
      <c r="B455" s="119" t="s">
        <v>8188</v>
      </c>
      <c r="C455" s="119" t="s">
        <v>8189</v>
      </c>
      <c r="E455" s="378" t="s">
        <v>6281</v>
      </c>
      <c r="F455" s="180" t="s">
        <v>6282</v>
      </c>
      <c r="G455" s="180" t="s">
        <v>3682</v>
      </c>
      <c r="H455" s="180">
        <v>1</v>
      </c>
      <c r="I455" s="180">
        <v>1</v>
      </c>
      <c r="J455" s="180">
        <v>1</v>
      </c>
      <c r="K455" s="119" t="s">
        <v>8190</v>
      </c>
      <c r="N455" s="180" t="s">
        <v>6284</v>
      </c>
      <c r="O455" s="119" t="s">
        <v>8191</v>
      </c>
      <c r="P455" s="119">
        <v>7</v>
      </c>
      <c r="Q455" s="119" t="s">
        <v>242</v>
      </c>
      <c r="S455" s="180">
        <v>1</v>
      </c>
      <c r="T455" s="180">
        <v>1</v>
      </c>
      <c r="W455" s="180">
        <v>1</v>
      </c>
      <c r="X455" s="180">
        <v>1</v>
      </c>
      <c r="Y455" s="180">
        <v>1</v>
      </c>
      <c r="AA455" s="198"/>
      <c r="AB455" s="250" t="str">
        <f t="array" ref="AB455">INDEX(B:B,SMALL(IF($Q$3:$Q$517&lt;&gt;"",ROW($3:$517),518),ROW(B454)))&amp;""</f>
        <v>复生术</v>
      </c>
      <c r="AC455" s="394" t="str">
        <f>IFERROR(IF(AND($Q456&lt;&gt;"",IF(法术查询!$J$4="",1,INDEX($R456:$Z456,1,VLOOKUP(法术查询!$J$4,$AF$2:$AG$10,2,0)))&lt;&gt;"",IF(法术查询!$J$5="",1,$P456=VLOOKUP(法术查询!$J$5,$AH$2:$AI$11,2,0)),IF(法术查询!$J$6="",1,IF(法术查询!$J$6=$E456,1,0)),IF(法术查询!$J$7="",1,SEARCH(法术查询!$J$7,$F456)),IF(法术查询!$J$8="",1,SEARCH(法术查询!$J$8,G456)),IF(法术查询!$J$9="",1,SEARCH(法术查询!$J$9,N456)),IF(法术查询!$J$10="",1,IF(法术查询!$J$10=$AF$11,IF($M456=1,1,0),IF($M456="",1,0))),IF(法术查询!$J$11="",1,IF(法术查询!$J$11=$AF$11,IF($D456=1,1,0),IF($D456="",1,0))),IF(法术查询!$J$12="",1,SEARCH(法术查询!$J$12,$B456&amp;$C456&amp;$O456)),IF(法术查询!$J$13="",1,SEARCH(法术查询!$J$13,$B456&amp;$C456&amp;$O456)),IF(法术查询!$J$14="",1,SEARCH(法术查询!$J$14,$B456&amp;$C456&amp;$O456)),IF(法术查询!$J$16="",1,IF(法术查询!$J$16=$AF$11,IF($H456=1,1,0),IF($H456="",1,0))),IF(法术查询!$J$17="",1,IF(法术查询!$J$17=$AF$11,IF($I456=1,1,0),IF($I456="",1,0))),IF(法术查询!$J$18="",1,IF(法术查询!$J$18=$AF$11,IF($J456&lt;&gt;"",1,0),IF($J456="",1,0))),IF(法术查询!$J$19="",1,IF(法术查询!$J$19=$AF$11,IF($L456&lt;&gt;"",1,0),IF($L456="",1,0)))),$B456,""),"")</f>
        <v/>
      </c>
      <c r="AD455" s="180" t="str">
        <f t="array" ref="AD455">INDEX(AC:AC,SMALL(IF($AC$2:$AC$516&lt;&gt;"",ROW($2:$516),517),ROW(AC454)))&amp;""</f>
        <v/>
      </c>
      <c r="AE455" s="198" t="str">
        <f t="shared" si="11"/>
        <v/>
      </c>
    </row>
    <row r="456" spans="1:31" ht="14.4" customHeight="1" x14ac:dyDescent="0.25">
      <c r="A456" s="250">
        <v>454</v>
      </c>
      <c r="B456" s="119" t="s">
        <v>8192</v>
      </c>
      <c r="C456" s="119" t="s">
        <v>8193</v>
      </c>
      <c r="E456" s="434" t="s">
        <v>6304</v>
      </c>
      <c r="F456" s="180" t="s">
        <v>6282</v>
      </c>
      <c r="G456" s="180" t="s">
        <v>6519</v>
      </c>
      <c r="H456" s="180">
        <v>1</v>
      </c>
      <c r="I456" s="180">
        <v>1</v>
      </c>
      <c r="N456" s="180" t="s">
        <v>6284</v>
      </c>
      <c r="O456" s="119" t="s">
        <v>8194</v>
      </c>
      <c r="P456" s="119">
        <v>7</v>
      </c>
      <c r="Q456" s="119" t="s">
        <v>242</v>
      </c>
      <c r="R456" s="180" t="str">
        <f>IF(综合数据!$B$14=TRUE,"13","")</f>
        <v>13</v>
      </c>
      <c r="W456" s="180">
        <v>1</v>
      </c>
      <c r="X456" s="180">
        <v>1</v>
      </c>
      <c r="AA456" s="198"/>
      <c r="AB456" s="250" t="str">
        <f t="array" ref="AB456">INDEX(B:B,SMALL(IF($Q$3:$Q$517&lt;&gt;"",ROW($3:$517),518),ROW(B455)))&amp;""</f>
        <v>反重力</v>
      </c>
      <c r="AC456" s="394" t="str">
        <f>IFERROR(IF(AND($Q457&lt;&gt;"",IF(法术查询!$J$4="",1,INDEX($R457:$Z457,1,VLOOKUP(法术查询!$J$4,$AF$2:$AG$10,2,0)))&lt;&gt;"",IF(法术查询!$J$5="",1,$P457=VLOOKUP(法术查询!$J$5,$AH$2:$AI$11,2,0)),IF(法术查询!$J$6="",1,IF(法术查询!$J$6=$E457,1,0)),IF(法术查询!$J$7="",1,SEARCH(法术查询!$J$7,$F457)),IF(法术查询!$J$8="",1,SEARCH(法术查询!$J$8,G457)),IF(法术查询!$J$9="",1,SEARCH(法术查询!$J$9,N457)),IF(法术查询!$J$10="",1,IF(法术查询!$J$10=$AF$11,IF($M457=1,1,0),IF($M457="",1,0))),IF(法术查询!$J$11="",1,IF(法术查询!$J$11=$AF$11,IF($D457=1,1,0),IF($D457="",1,0))),IF(法术查询!$J$12="",1,SEARCH(法术查询!$J$12,$B457&amp;$C457&amp;$O457)),IF(法术查询!$J$13="",1,SEARCH(法术查询!$J$13,$B457&amp;$C457&amp;$O457)),IF(法术查询!$J$14="",1,SEARCH(法术查询!$J$14,$B457&amp;$C457&amp;$O457)),IF(法术查询!$J$16="",1,IF(法术查询!$J$16=$AF$11,IF($H457=1,1,0),IF($H457="",1,0))),IF(法术查询!$J$17="",1,IF(法术查询!$J$17=$AF$11,IF($I457=1,1,0),IF($I457="",1,0))),IF(法术查询!$J$18="",1,IF(法术查询!$J$18=$AF$11,IF($J457&lt;&gt;"",1,0),IF($J457="",1,0))),IF(法术查询!$J$19="",1,IF(法术查询!$J$19=$AF$11,IF($L457&lt;&gt;"",1,0),IF($L457="",1,0)))),$B457,""),"")</f>
        <v/>
      </c>
      <c r="AD456" s="180" t="str">
        <f t="array" ref="AD456">INDEX(AC:AC,SMALL(IF($AC$2:$AC$516&lt;&gt;"",ROW($2:$516),517),ROW(AC455)))&amp;""</f>
        <v/>
      </c>
      <c r="AE456" s="198" t="str">
        <f t="shared" si="11"/>
        <v/>
      </c>
    </row>
    <row r="457" spans="1:31" ht="14.4" customHeight="1" x14ac:dyDescent="0.25">
      <c r="A457" s="250">
        <v>455</v>
      </c>
      <c r="B457" s="119" t="s">
        <v>8195</v>
      </c>
      <c r="C457" s="119" t="s">
        <v>8196</v>
      </c>
      <c r="E457" s="285" t="s">
        <v>6366</v>
      </c>
      <c r="F457" s="180" t="s">
        <v>6282</v>
      </c>
      <c r="G457" s="180" t="s">
        <v>6447</v>
      </c>
      <c r="H457" s="180">
        <v>1</v>
      </c>
      <c r="I457" s="180">
        <v>1</v>
      </c>
      <c r="J457" s="180">
        <v>1</v>
      </c>
      <c r="K457" s="119" t="s">
        <v>8197</v>
      </c>
      <c r="M457" s="180">
        <v>1</v>
      </c>
      <c r="N457" s="180" t="s">
        <v>6495</v>
      </c>
      <c r="O457" s="119" t="s">
        <v>8198</v>
      </c>
      <c r="P457" s="119">
        <v>7</v>
      </c>
      <c r="Q457" s="119" t="s">
        <v>242</v>
      </c>
      <c r="R457" s="180">
        <v>1</v>
      </c>
      <c r="X457" s="180">
        <v>1</v>
      </c>
      <c r="AA457" s="198"/>
      <c r="AB457" s="250" t="str">
        <f t="array" ref="AB457">INDEX(B:B,SMALL(IF($Q$3:$Q$517&lt;&gt;"",ROW($3:$517),518),ROW(B456)))&amp;""</f>
        <v>隔离术</v>
      </c>
      <c r="AC457" s="394" t="str">
        <f>IFERROR(IF(AND($Q458&lt;&gt;"",IF(法术查询!$J$4="",1,INDEX($R458:$Z458,1,VLOOKUP(法术查询!$J$4,$AF$2:$AG$10,2,0)))&lt;&gt;"",IF(法术查询!$J$5="",1,$P458=VLOOKUP(法术查询!$J$5,$AH$2:$AI$11,2,0)),IF(法术查询!$J$6="",1,IF(法术查询!$J$6=$E458,1,0)),IF(法术查询!$J$7="",1,SEARCH(法术查询!$J$7,$F458)),IF(法术查询!$J$8="",1,SEARCH(法术查询!$J$8,G458)),IF(法术查询!$J$9="",1,SEARCH(法术查询!$J$9,N458)),IF(法术查询!$J$10="",1,IF(法术查询!$J$10=$AF$11,IF($M458=1,1,0),IF($M458="",1,0))),IF(法术查询!$J$11="",1,IF(法术查询!$J$11=$AF$11,IF($D458=1,1,0),IF($D458="",1,0))),IF(法术查询!$J$12="",1,SEARCH(法术查询!$J$12,$B458&amp;$C458&amp;$O458)),IF(法术查询!$J$13="",1,SEARCH(法术查询!$J$13,$B458&amp;$C458&amp;$O458)),IF(法术查询!$J$14="",1,SEARCH(法术查询!$J$14,$B458&amp;$C458&amp;$O458)),IF(法术查询!$J$16="",1,IF(法术查询!$J$16=$AF$11,IF($H458=1,1,0),IF($H458="",1,0))),IF(法术查询!$J$17="",1,IF(法术查询!$J$17=$AF$11,IF($I458=1,1,0),IF($I458="",1,0))),IF(法术查询!$J$18="",1,IF(法术查询!$J$18=$AF$11,IF($J458&lt;&gt;"",1,0),IF($J458="",1,0))),IF(法术查询!$J$19="",1,IF(法术查询!$J$19=$AF$11,IF($L458&lt;&gt;"",1,0),IF($L458="",1,0)))),$B458,""),"")</f>
        <v/>
      </c>
      <c r="AD457" s="180" t="str">
        <f t="array" ref="AD457">INDEX(AC:AC,SMALL(IF($AC$2:$AC$516&lt;&gt;"",ROW($2:$516),517),ROW(AC456)))&amp;""</f>
        <v/>
      </c>
      <c r="AE457" s="198" t="str">
        <f t="shared" si="11"/>
        <v/>
      </c>
    </row>
    <row r="458" spans="1:31" ht="14.4" customHeight="1" x14ac:dyDescent="0.25">
      <c r="A458" s="250">
        <v>456</v>
      </c>
      <c r="B458" s="119" t="s">
        <v>8199</v>
      </c>
      <c r="C458" s="119" t="s">
        <v>8200</v>
      </c>
      <c r="E458" s="435" t="s">
        <v>6312</v>
      </c>
      <c r="F458" s="180" t="s">
        <v>6349</v>
      </c>
      <c r="G458" s="180" t="s">
        <v>3682</v>
      </c>
      <c r="H458" s="180">
        <v>1</v>
      </c>
      <c r="I458" s="180">
        <v>1</v>
      </c>
      <c r="J458" s="180">
        <v>1</v>
      </c>
      <c r="K458" s="119" t="s">
        <v>8201</v>
      </c>
      <c r="N458" s="180" t="s">
        <v>6344</v>
      </c>
      <c r="O458" s="119" t="s">
        <v>8202</v>
      </c>
      <c r="P458" s="119">
        <v>7</v>
      </c>
      <c r="Q458" s="119" t="s">
        <v>242</v>
      </c>
      <c r="R458" s="180">
        <v>1</v>
      </c>
      <c r="S458" s="180">
        <v>1</v>
      </c>
      <c r="T458" s="180">
        <v>1</v>
      </c>
      <c r="AA458" s="198"/>
      <c r="AB458" s="250" t="str">
        <f t="array" ref="AB458">INDEX(B:B,SMALL(IF($Q$3:$Q$517&lt;&gt;"",ROW($3:$517),518),ROW(B457)))&amp;""</f>
        <v>拟像术</v>
      </c>
      <c r="AC458" s="394" t="str">
        <f>IFERROR(IF(AND($Q459&lt;&gt;"",IF(法术查询!$J$4="",1,INDEX($R459:$Z459,1,VLOOKUP(法术查询!$J$4,$AF$2:$AG$10,2,0)))&lt;&gt;"",IF(法术查询!$J$5="",1,$P459=VLOOKUP(法术查询!$J$5,$AH$2:$AI$11,2,0)),IF(法术查询!$J$6="",1,IF(法术查询!$J$6=$E459,1,0)),IF(法术查询!$J$7="",1,SEARCH(法术查询!$J$7,$F459)),IF(法术查询!$J$8="",1,SEARCH(法术查询!$J$8,G459)),IF(法术查询!$J$9="",1,SEARCH(法术查询!$J$9,N459)),IF(法术查询!$J$10="",1,IF(法术查询!$J$10=$AF$11,IF($M459=1,1,0),IF($M459="",1,0))),IF(法术查询!$J$11="",1,IF(法术查询!$J$11=$AF$11,IF($D459=1,1,0),IF($D459="",1,0))),IF(法术查询!$J$12="",1,SEARCH(法术查询!$J$12,$B459&amp;$C459&amp;$O459)),IF(法术查询!$J$13="",1,SEARCH(法术查询!$J$13,$B459&amp;$C459&amp;$O459)),IF(法术查询!$J$14="",1,SEARCH(法术查询!$J$14,$B459&amp;$C459&amp;$O459)),IF(法术查询!$J$16="",1,IF(法术查询!$J$16=$AF$11,IF($H459=1,1,0),IF($H459="",1,0))),IF(法术查询!$J$17="",1,IF(法术查询!$J$17=$AF$11,IF($I459=1,1,0),IF($I459="",1,0))),IF(法术查询!$J$18="",1,IF(法术查询!$J$18=$AF$11,IF($J459&lt;&gt;"",1,0),IF($J459="",1,0))),IF(法术查询!$J$19="",1,IF(法术查询!$J$19=$AF$11,IF($L459&lt;&gt;"",1,0),IF($L459="",1,0)))),$B459,""),"")</f>
        <v/>
      </c>
      <c r="AD458" s="180" t="str">
        <f t="array" ref="AD458">INDEX(AC:AC,SMALL(IF($AC$2:$AC$516&lt;&gt;"",ROW($2:$516),517),ROW(AC457)))&amp;""</f>
        <v/>
      </c>
      <c r="AE458" s="198" t="str">
        <f t="shared" si="11"/>
        <v/>
      </c>
    </row>
    <row r="459" spans="1:31" ht="14.4" customHeight="1" x14ac:dyDescent="0.25">
      <c r="A459" s="250">
        <v>457</v>
      </c>
      <c r="B459" s="119" t="s">
        <v>8203</v>
      </c>
      <c r="C459" s="119" t="s">
        <v>8204</v>
      </c>
      <c r="E459" s="441" t="s">
        <v>6297</v>
      </c>
      <c r="F459" s="180" t="s">
        <v>6344</v>
      </c>
      <c r="G459" s="180" t="s">
        <v>3682</v>
      </c>
      <c r="H459" s="180">
        <v>1</v>
      </c>
      <c r="I459" s="180">
        <v>1</v>
      </c>
      <c r="J459" s="180">
        <v>1</v>
      </c>
      <c r="L459" s="119" t="s">
        <v>8205</v>
      </c>
      <c r="N459" s="180" t="s">
        <v>6284</v>
      </c>
      <c r="O459" s="119" t="s">
        <v>8206</v>
      </c>
      <c r="P459" s="119">
        <v>7</v>
      </c>
      <c r="Q459" s="119" t="s">
        <v>242</v>
      </c>
      <c r="R459" s="180">
        <v>1</v>
      </c>
      <c r="S459" s="180">
        <v>1</v>
      </c>
      <c r="AA459" s="198"/>
      <c r="AB459" s="250" t="str">
        <f t="array" ref="AB459">INDEX(B:B,SMALL(IF($Q$3:$Q$517&lt;&gt;"",ROW($3:$517),518),ROW(B458)))&amp;""</f>
        <v>魔法徽记</v>
      </c>
      <c r="AC459" s="394" t="str">
        <f>IFERROR(IF(AND($Q460&lt;&gt;"",IF(法术查询!$J$4="",1,INDEX($R460:$Z460,1,VLOOKUP(法术查询!$J$4,$AF$2:$AG$10,2,0)))&lt;&gt;"",IF(法术查询!$J$5="",1,$P460=VLOOKUP(法术查询!$J$5,$AH$2:$AI$11,2,0)),IF(法术查询!$J$6="",1,IF(法术查询!$J$6=$E460,1,0)),IF(法术查询!$J$7="",1,SEARCH(法术查询!$J$7,$F460)),IF(法术查询!$J$8="",1,SEARCH(法术查询!$J$8,G460)),IF(法术查询!$J$9="",1,SEARCH(法术查询!$J$9,N460)),IF(法术查询!$J$10="",1,IF(法术查询!$J$10=$AF$11,IF($M460=1,1,0),IF($M460="",1,0))),IF(法术查询!$J$11="",1,IF(法术查询!$J$11=$AF$11,IF($D460=1,1,0),IF($D460="",1,0))),IF(法术查询!$J$12="",1,SEARCH(法术查询!$J$12,$B460&amp;$C460&amp;$O460)),IF(法术查询!$J$13="",1,SEARCH(法术查询!$J$13,$B460&amp;$C460&amp;$O460)),IF(法术查询!$J$14="",1,SEARCH(法术查询!$J$14,$B460&amp;$C460&amp;$O460)),IF(法术查询!$J$16="",1,IF(法术查询!$J$16=$AF$11,IF($H460=1,1,0),IF($H460="",1,0))),IF(法术查询!$J$17="",1,IF(法术查询!$J$17=$AF$11,IF($I460=1,1,0),IF($I460="",1,0))),IF(法术查询!$J$18="",1,IF(法术查询!$J$18=$AF$11,IF($J460&lt;&gt;"",1,0),IF($J460="",1,0))),IF(法术查询!$J$19="",1,IF(法术查询!$J$19=$AF$11,IF($L460&lt;&gt;"",1,0),IF($L460="",1,0)))),$B460,""),"")</f>
        <v/>
      </c>
      <c r="AD459" s="180" t="str">
        <f t="array" ref="AD459">INDEX(AC:AC,SMALL(IF($AC$2:$AC$516&lt;&gt;"",ROW($2:$516),517),ROW(AC458)))&amp;""</f>
        <v/>
      </c>
      <c r="AE459" s="198" t="str">
        <f t="shared" si="11"/>
        <v/>
      </c>
    </row>
    <row r="460" spans="1:31" ht="14.4" customHeight="1" x14ac:dyDescent="0.25">
      <c r="A460" s="250">
        <v>458</v>
      </c>
      <c r="B460" s="119" t="s">
        <v>8207</v>
      </c>
      <c r="C460" s="119" t="s">
        <v>8208</v>
      </c>
      <c r="E460" s="435" t="s">
        <v>6312</v>
      </c>
      <c r="F460" s="180" t="s">
        <v>6282</v>
      </c>
      <c r="G460" s="180" t="s">
        <v>6406</v>
      </c>
      <c r="H460" s="180">
        <v>1</v>
      </c>
      <c r="I460" s="180">
        <v>1</v>
      </c>
      <c r="J460" s="180">
        <v>1</v>
      </c>
      <c r="K460" s="119" t="s">
        <v>8209</v>
      </c>
      <c r="M460" s="180">
        <v>1</v>
      </c>
      <c r="N460" s="180" t="s">
        <v>6306</v>
      </c>
      <c r="O460" s="119" t="s">
        <v>8210</v>
      </c>
      <c r="P460" s="119">
        <v>7</v>
      </c>
      <c r="Q460" s="119" t="s">
        <v>242</v>
      </c>
      <c r="T460" s="180">
        <v>1</v>
      </c>
      <c r="W460" s="180">
        <v>1</v>
      </c>
      <c r="X460" s="180">
        <v>1</v>
      </c>
      <c r="AA460" s="198"/>
      <c r="AB460" s="250" t="str">
        <f t="array" ref="AB460">INDEX(B:B,SMALL(IF($Q$3:$Q$517&lt;&gt;"",ROW($3:$517),518),ROW(B459)))&amp;""</f>
        <v>传送术</v>
      </c>
      <c r="AC460" s="394" t="str">
        <f>IFERROR(IF(AND($Q461&lt;&gt;"",IF(法术查询!$J$4="",1,INDEX($R461:$Z461,1,VLOOKUP(法术查询!$J$4,$AF$2:$AG$10,2,0)))&lt;&gt;"",IF(法术查询!$J$5="",1,$P461=VLOOKUP(法术查询!$J$5,$AH$2:$AI$11,2,0)),IF(法术查询!$J$6="",1,IF(法术查询!$J$6=$E461,1,0)),IF(法术查询!$J$7="",1,SEARCH(法术查询!$J$7,$F461)),IF(法术查询!$J$8="",1,SEARCH(法术查询!$J$8,G461)),IF(法术查询!$J$9="",1,SEARCH(法术查询!$J$9,N461)),IF(法术查询!$J$10="",1,IF(法术查询!$J$10=$AF$11,IF($M461=1,1,0),IF($M461="",1,0))),IF(法术查询!$J$11="",1,IF(法术查询!$J$11=$AF$11,IF($D461=1,1,0),IF($D461="",1,0))),IF(法术查询!$J$12="",1,SEARCH(法术查询!$J$12,$B461&amp;$C461&amp;$O461)),IF(法术查询!$J$13="",1,SEARCH(法术查询!$J$13,$B461&amp;$C461&amp;$O461)),IF(法术查询!$J$14="",1,SEARCH(法术查询!$J$14,$B461&amp;$C461&amp;$O461)),IF(法术查询!$J$16="",1,IF(法术查询!$J$16=$AF$11,IF($H461=1,1,0),IF($H461="",1,0))),IF(法术查询!$J$17="",1,IF(法术查询!$J$17=$AF$11,IF($I461=1,1,0),IF($I461="",1,0))),IF(法术查询!$J$18="",1,IF(法术查询!$J$18=$AF$11,IF($J461&lt;&gt;"",1,0),IF($J461="",1,0))),IF(法术查询!$J$19="",1,IF(法术查询!$J$19=$AF$11,IF($L461&lt;&gt;"",1,0),IF($L461="",1,0)))),$B461,""),"")</f>
        <v/>
      </c>
      <c r="AD460" s="180" t="str">
        <f t="array" ref="AD460">INDEX(AC:AC,SMALL(IF($AC$2:$AC$516&lt;&gt;"",ROW($2:$516),517),ROW(AC459)))&amp;""</f>
        <v/>
      </c>
      <c r="AE460" s="198" t="str">
        <f t="shared" si="11"/>
        <v/>
      </c>
    </row>
    <row r="461" spans="1:31" ht="14.4" customHeight="1" x14ac:dyDescent="0.25">
      <c r="A461" s="250">
        <v>459</v>
      </c>
      <c r="B461" s="119" t="s">
        <v>8211</v>
      </c>
      <c r="C461" s="119" t="s">
        <v>8212</v>
      </c>
      <c r="E461" s="435" t="s">
        <v>6312</v>
      </c>
      <c r="F461" s="180" t="s">
        <v>6282</v>
      </c>
      <c r="G461" s="180" t="s">
        <v>3682</v>
      </c>
      <c r="H461" s="180">
        <v>1</v>
      </c>
      <c r="I461" s="180">
        <v>1</v>
      </c>
      <c r="J461" s="180">
        <v>1</v>
      </c>
      <c r="L461" s="119" t="s">
        <v>8213</v>
      </c>
      <c r="N461" s="180" t="s">
        <v>6434</v>
      </c>
      <c r="O461" s="119" t="s">
        <v>8214</v>
      </c>
      <c r="P461" s="119">
        <v>7</v>
      </c>
      <c r="Q461" s="119" t="s">
        <v>242</v>
      </c>
      <c r="X461" s="180">
        <v>1</v>
      </c>
      <c r="AA461" s="198"/>
      <c r="AB461" s="250" t="str">
        <f t="array" ref="AB461">INDEX(B:B,SMALL(IF($Q$3:$Q$517&lt;&gt;"",ROW($3:$517),518),ROW(B460)))&amp;""</f>
        <v>众星冠冕</v>
      </c>
      <c r="AC461" s="394" t="str">
        <f>IFERROR(IF(AND($Q462&lt;&gt;"",IF(法术查询!$J$4="",1,INDEX($R462:$Z462,1,VLOOKUP(法术查询!$J$4,$AF$2:$AG$10,2,0)))&lt;&gt;"",IF(法术查询!$J$5="",1,$P462=VLOOKUP(法术查询!$J$5,$AH$2:$AI$11,2,0)),IF(法术查询!$J$6="",1,IF(法术查询!$J$6=$E462,1,0)),IF(法术查询!$J$7="",1,SEARCH(法术查询!$J$7,$F462)),IF(法术查询!$J$8="",1,SEARCH(法术查询!$J$8,G462)),IF(法术查询!$J$9="",1,SEARCH(法术查询!$J$9,N462)),IF(法术查询!$J$10="",1,IF(法术查询!$J$10=$AF$11,IF($M462=1,1,0),IF($M462="",1,0))),IF(法术查询!$J$11="",1,IF(法术查询!$J$11=$AF$11,IF($D462=1,1,0),IF($D462="",1,0))),IF(法术查询!$J$12="",1,SEARCH(法术查询!$J$12,$B462&amp;$C462&amp;$O462)),IF(法术查询!$J$13="",1,SEARCH(法术查询!$J$13,$B462&amp;$C462&amp;$O462)),IF(法术查询!$J$14="",1,SEARCH(法术查询!$J$14,$B462&amp;$C462&amp;$O462)),IF(法术查询!$J$16="",1,IF(法术查询!$J$16=$AF$11,IF($H462=1,1,0),IF($H462="",1,0))),IF(法术查询!$J$17="",1,IF(法术查询!$J$17=$AF$11,IF($I462=1,1,0),IF($I462="",1,0))),IF(法术查询!$J$18="",1,IF(法术查询!$J$18=$AF$11,IF($J462&lt;&gt;"",1,0),IF($J462="",1,0))),IF(法术查询!$J$19="",1,IF(法术查询!$J$19=$AF$11,IF($L462&lt;&gt;"",1,0),IF($L462="",1,0)))),$B462,""),"")</f>
        <v/>
      </c>
      <c r="AD461" s="180" t="str">
        <f t="array" ref="AD461">INDEX(AC:AC,SMALL(IF($AC$2:$AC$516&lt;&gt;"",ROW($2:$516),517),ROW(AC460)))&amp;""</f>
        <v/>
      </c>
      <c r="AE461" s="198" t="str">
        <f t="shared" si="11"/>
        <v/>
      </c>
    </row>
    <row r="462" spans="1:31" ht="14.4" customHeight="1" x14ac:dyDescent="0.25">
      <c r="A462" s="250">
        <v>460</v>
      </c>
      <c r="B462" s="119" t="s">
        <v>8215</v>
      </c>
      <c r="C462" s="119" t="s">
        <v>8216</v>
      </c>
      <c r="E462" s="285" t="s">
        <v>6366</v>
      </c>
      <c r="F462" s="180" t="s">
        <v>6394</v>
      </c>
      <c r="G462" s="180" t="s">
        <v>3682</v>
      </c>
      <c r="H462" s="180">
        <v>1</v>
      </c>
      <c r="I462" s="180">
        <v>1</v>
      </c>
      <c r="J462" s="180">
        <v>1</v>
      </c>
      <c r="L462" s="119" t="s">
        <v>8217</v>
      </c>
      <c r="N462" s="180" t="s">
        <v>6434</v>
      </c>
      <c r="O462" s="119" t="s">
        <v>8218</v>
      </c>
      <c r="P462" s="119">
        <v>7</v>
      </c>
      <c r="Q462" s="119" t="s">
        <v>242</v>
      </c>
      <c r="X462" s="180">
        <v>1</v>
      </c>
      <c r="AA462" s="198"/>
      <c r="AB462" s="250" t="str">
        <f t="array" ref="AB462">INDEX(B:B,SMALL(IF($Q$3:$Q$517&lt;&gt;"",ROW($3:$517),518),ROW(B461)))&amp;""</f>
        <v>律令痛苦</v>
      </c>
      <c r="AC462" s="394" t="str">
        <f>IFERROR(IF(AND($Q463&lt;&gt;"",IF(法术查询!$J$4="",1,INDEX($R463:$Z463,1,VLOOKUP(法术查询!$J$4,$AF$2:$AG$10,2,0)))&lt;&gt;"",IF(法术查询!$J$5="",1,$P463=VLOOKUP(法术查询!$J$5,$AH$2:$AI$11,2,0)),IF(法术查询!$J$6="",1,IF(法术查询!$J$6=$E463,1,0)),IF(法术查询!$J$7="",1,SEARCH(法术查询!$J$7,$F463)),IF(法术查询!$J$8="",1,SEARCH(法术查询!$J$8,G463)),IF(法术查询!$J$9="",1,SEARCH(法术查询!$J$9,N463)),IF(法术查询!$J$10="",1,IF(法术查询!$J$10=$AF$11,IF($M463=1,1,0),IF($M463="",1,0))),IF(法术查询!$J$11="",1,IF(法术查询!$J$11=$AF$11,IF($D463=1,1,0),IF($D463="",1,0))),IF(法术查询!$J$12="",1,SEARCH(法术查询!$J$12,$B463&amp;$C463&amp;$O463)),IF(法术查询!$J$13="",1,SEARCH(法术查询!$J$13,$B463&amp;$C463&amp;$O463)),IF(法术查询!$J$14="",1,SEARCH(法术查询!$J$14,$B463&amp;$C463&amp;$O463)),IF(法术查询!$J$16="",1,IF(法术查询!$J$16=$AF$11,IF($H463=1,1,0),IF($H463="",1,0))),IF(法术查询!$J$17="",1,IF(法术查询!$J$17=$AF$11,IF($I463=1,1,0),IF($I463="",1,0))),IF(法术查询!$J$18="",1,IF(法术查询!$J$18=$AF$11,IF($J463&lt;&gt;"",1,0),IF($J463="",1,0))),IF(法术查询!$J$19="",1,IF(法术查询!$J$19=$AF$11,IF($L463&lt;&gt;"",1,0),IF($L463="",1,0)))),$B463,""),"")</f>
        <v/>
      </c>
      <c r="AD462" s="180" t="str">
        <f t="array" ref="AD462">INDEX(AC:AC,SMALL(IF($AC$2:$AC$516&lt;&gt;"",ROW($2:$516),517),ROW(AC461)))&amp;""</f>
        <v/>
      </c>
      <c r="AE462" s="198" t="str">
        <f t="shared" si="11"/>
        <v/>
      </c>
    </row>
    <row r="463" spans="1:31" ht="14.4" customHeight="1" x14ac:dyDescent="0.25">
      <c r="A463" s="250">
        <v>461</v>
      </c>
      <c r="B463" s="119" t="s">
        <v>8219</v>
      </c>
      <c r="C463" s="119" t="s">
        <v>8220</v>
      </c>
      <c r="E463" s="440" t="s">
        <v>6290</v>
      </c>
      <c r="F463" s="180" t="s">
        <v>6349</v>
      </c>
      <c r="G463" s="180" t="s">
        <v>3682</v>
      </c>
      <c r="H463" s="180">
        <v>1</v>
      </c>
      <c r="I463" s="180">
        <v>1</v>
      </c>
      <c r="J463" s="180">
        <v>1</v>
      </c>
      <c r="L463" s="119" t="s">
        <v>8221</v>
      </c>
      <c r="N463" s="180" t="s">
        <v>6441</v>
      </c>
      <c r="O463" s="119" t="s">
        <v>8222</v>
      </c>
      <c r="P463" s="119">
        <v>7</v>
      </c>
      <c r="Q463" s="119" t="s">
        <v>242</v>
      </c>
      <c r="R463" s="180">
        <v>1</v>
      </c>
      <c r="S463" s="180">
        <v>1</v>
      </c>
      <c r="T463" s="180" t="str">
        <f>IF(综合数据!$B$14=TRUE,"13","")</f>
        <v>13</v>
      </c>
      <c r="AA463" s="198"/>
      <c r="AB463" s="250" t="str">
        <f t="array" ref="AB463">INDEX(B:B,SMALL(IF($Q$3:$Q$517&lt;&gt;"",ROW($3:$517),518),ROW(B462)))&amp;""</f>
        <v>神庙术</v>
      </c>
      <c r="AC463" s="394" t="str">
        <f>IFERROR(IF(AND($Q464&lt;&gt;"",IF(法术查询!$J$4="",1,INDEX($R464:$Z464,1,VLOOKUP(法术查询!$J$4,$AF$2:$AG$10,2,0)))&lt;&gt;"",IF(法术查询!$J$5="",1,$P464=VLOOKUP(法术查询!$J$5,$AH$2:$AI$11,2,0)),IF(法术查询!$J$6="",1,IF(法术查询!$J$6=$E464,1,0)),IF(法术查询!$J$7="",1,SEARCH(法术查询!$J$7,$F464)),IF(法术查询!$J$8="",1,SEARCH(法术查询!$J$8,G464)),IF(法术查询!$J$9="",1,SEARCH(法术查询!$J$9,N464)),IF(法术查询!$J$10="",1,IF(法术查询!$J$10=$AF$11,IF($M464=1,1,0),IF($M464="",1,0))),IF(法术查询!$J$11="",1,IF(法术查询!$J$11=$AF$11,IF($D464=1,1,0),IF($D464="",1,0))),IF(法术查询!$J$12="",1,SEARCH(法术查询!$J$12,$B464&amp;$C464&amp;$O464)),IF(法术查询!$J$13="",1,SEARCH(法术查询!$J$13,$B464&amp;$C464&amp;$O464)),IF(法术查询!$J$14="",1,SEARCH(法术查询!$J$14,$B464&amp;$C464&amp;$O464)),IF(法术查询!$J$16="",1,IF(法术查询!$J$16=$AF$11,IF($H464=1,1,0),IF($H464="",1,0))),IF(法术查询!$J$17="",1,IF(法术查询!$J$17=$AF$11,IF($I464=1,1,0),IF($I464="",1,0))),IF(法术查询!$J$18="",1,IF(法术查询!$J$18=$AF$11,IF($J464&lt;&gt;"",1,0),IF($J464="",1,0))),IF(法术查询!$J$19="",1,IF(法术查询!$J$19=$AF$11,IF($L464&lt;&gt;"",1,0),IF($L464="",1,0)))),$B464,""),"")</f>
        <v/>
      </c>
      <c r="AD463" s="180" t="str">
        <f t="array" ref="AD463">INDEX(AC:AC,SMALL(IF($AC$2:$AC$516&lt;&gt;"",ROW($2:$516),517),ROW(AC462)))&amp;""</f>
        <v/>
      </c>
      <c r="AE463" s="198" t="str">
        <f t="shared" si="11"/>
        <v/>
      </c>
    </row>
    <row r="464" spans="1:31" ht="14.4" customHeight="1" x14ac:dyDescent="0.25">
      <c r="A464" s="250">
        <v>462</v>
      </c>
      <c r="B464" s="119" t="s">
        <v>8223</v>
      </c>
      <c r="C464" s="119" t="s">
        <v>8224</v>
      </c>
      <c r="E464" s="378" t="s">
        <v>6281</v>
      </c>
      <c r="F464" s="180" t="s">
        <v>6282</v>
      </c>
      <c r="G464" s="180" t="s">
        <v>6370</v>
      </c>
      <c r="H464" s="180">
        <v>1</v>
      </c>
      <c r="N464" s="180" t="s">
        <v>6284</v>
      </c>
      <c r="O464" s="119" t="s">
        <v>8225</v>
      </c>
      <c r="P464" s="119">
        <v>7</v>
      </c>
      <c r="Q464" s="119" t="s">
        <v>242</v>
      </c>
      <c r="R464" s="180">
        <v>1</v>
      </c>
      <c r="W464" s="180">
        <v>1</v>
      </c>
      <c r="X464" s="180">
        <v>1</v>
      </c>
      <c r="AA464" s="198"/>
      <c r="AB464" s="250" t="str">
        <f t="array" ref="AB464">INDEX(B:B,SMALL(IF($Q$3:$Q$517&lt;&gt;"",ROW($3:$517),518),ROW(B463)))&amp;""</f>
        <v>旋风</v>
      </c>
      <c r="AC464" s="394" t="str">
        <f>IFERROR(IF(AND($Q465&lt;&gt;"",IF(法术查询!$J$4="",1,INDEX($R465:$Z465,1,VLOOKUP(法术查询!$J$4,$AF$2:$AG$10,2,0)))&lt;&gt;"",IF(法术查询!$J$5="",1,$P465=VLOOKUP(法术查询!$J$5,$AH$2:$AI$11,2,0)),IF(法术查询!$J$6="",1,IF(法术查询!$J$6=$E465,1,0)),IF(法术查询!$J$7="",1,SEARCH(法术查询!$J$7,$F465)),IF(法术查询!$J$8="",1,SEARCH(法术查询!$J$8,G465)),IF(法术查询!$J$9="",1,SEARCH(法术查询!$J$9,N465)),IF(法术查询!$J$10="",1,IF(法术查询!$J$10=$AF$11,IF($M465=1,1,0),IF($M465="",1,0))),IF(法术查询!$J$11="",1,IF(法术查询!$J$11=$AF$11,IF($D465=1,1,0),IF($D465="",1,0))),IF(法术查询!$J$12="",1,SEARCH(法术查询!$J$12,$B465&amp;$C465&amp;$O465)),IF(法术查询!$J$13="",1,SEARCH(法术查询!$J$13,$B465&amp;$C465&amp;$O465)),IF(法术查询!$J$14="",1,SEARCH(法术查询!$J$14,$B465&amp;$C465&amp;$O465)),IF(法术查询!$J$16="",1,IF(法术查询!$J$16=$AF$11,IF($H465=1,1,0),IF($H465="",1,0))),IF(法术查询!$J$17="",1,IF(法术查询!$J$17=$AF$11,IF($I465=1,1,0),IF($I465="",1,0))),IF(法术查询!$J$18="",1,IF(法术查询!$J$18=$AF$11,IF($J465&lt;&gt;"",1,0),IF($J465="",1,0))),IF(法术查询!$J$19="",1,IF(法术查询!$J$19=$AF$11,IF($L465&lt;&gt;"",1,0),IF($L465="",1,0)))),$B465,""),"")</f>
        <v/>
      </c>
      <c r="AD464" s="180" t="str">
        <f t="array" ref="AD464">INDEX(AC:AC,SMALL(IF($AC$2:$AC$516&lt;&gt;"",ROW($2:$516),517),ROW(AC463)))&amp;""</f>
        <v/>
      </c>
      <c r="AE464" s="198" t="str">
        <f t="shared" si="11"/>
        <v/>
      </c>
    </row>
    <row r="465" spans="1:31" ht="14.4" customHeight="1" x14ac:dyDescent="0.25">
      <c r="A465" s="250">
        <v>463</v>
      </c>
      <c r="B465" s="119" t="s">
        <v>8226</v>
      </c>
      <c r="C465" s="119" t="s">
        <v>8227</v>
      </c>
      <c r="E465" s="434" t="s">
        <v>6304</v>
      </c>
      <c r="F465" s="180" t="s">
        <v>6282</v>
      </c>
      <c r="G465" s="180" t="s">
        <v>6291</v>
      </c>
      <c r="H465" s="180">
        <v>1</v>
      </c>
      <c r="I465" s="180">
        <v>1</v>
      </c>
      <c r="N465" s="180" t="s">
        <v>6344</v>
      </c>
      <c r="O465" s="119" t="s">
        <v>8228</v>
      </c>
      <c r="P465" s="119">
        <v>7</v>
      </c>
      <c r="Q465" s="251" t="str">
        <f>IF(综合数据!$B$7=TRUE,"XGE","")</f>
        <v>XGE</v>
      </c>
      <c r="W465" s="180">
        <v>6</v>
      </c>
      <c r="X465" s="180">
        <v>6</v>
      </c>
      <c r="Y465" s="180">
        <v>6</v>
      </c>
      <c r="AA465" s="198"/>
      <c r="AB465" s="250" t="str">
        <f t="array" ref="AB465">INDEX(B:B,SMALL(IF($Q$3:$Q$517&lt;&gt;"",ROW($3:$517),518),ROW(B464)))&amp;""</f>
        <v>系结本源</v>
      </c>
      <c r="AC465" s="394" t="str">
        <f>IFERROR(IF(AND($Q466&lt;&gt;"",IF(法术查询!$J$4="",1,INDEX($R466:$Z466,1,VLOOKUP(法术查询!$J$4,$AF$2:$AG$10,2,0)))&lt;&gt;"",IF(法术查询!$J$5="",1,$P466=VLOOKUP(法术查询!$J$5,$AH$2:$AI$11,2,0)),IF(法术查询!$J$6="",1,IF(法术查询!$J$6=$E466,1,0)),IF(法术查询!$J$7="",1,SEARCH(法术查询!$J$7,$F466)),IF(法术查询!$J$8="",1,SEARCH(法术查询!$J$8,G466)),IF(法术查询!$J$9="",1,SEARCH(法术查询!$J$9,N466)),IF(法术查询!$J$10="",1,IF(法术查询!$J$10=$AF$11,IF($M466=1,1,0),IF($M466="",1,0))),IF(法术查询!$J$11="",1,IF(法术查询!$J$11=$AF$11,IF($D466=1,1,0),IF($D466="",1,0))),IF(法术查询!$J$12="",1,SEARCH(法术查询!$J$12,$B466&amp;$C466&amp;$O466)),IF(法术查询!$J$13="",1,SEARCH(法术查询!$J$13,$B466&amp;$C466&amp;$O466)),IF(法术查询!$J$14="",1,SEARCH(法术查询!$J$14,$B466&amp;$C466&amp;$O466)),IF(法术查询!$J$16="",1,IF(法术查询!$J$16=$AF$11,IF($H466=1,1,0),IF($H466="",1,0))),IF(法术查询!$J$17="",1,IF(法术查询!$J$17=$AF$11,IF($I466=1,1,0),IF($I466="",1,0))),IF(法术查询!$J$18="",1,IF(法术查询!$J$18=$AF$11,IF($J466&lt;&gt;"",1,0),IF($J466="",1,0))),IF(法术查询!$J$19="",1,IF(法术查询!$J$19=$AF$11,IF($L466&lt;&gt;"",1,0),IF($L466="",1,0)))),$B466,""),"")</f>
        <v/>
      </c>
      <c r="AD465" s="180" t="str">
        <f t="array" ref="AD465">INDEX(AC:AC,SMALL(IF($AC$2:$AC$516&lt;&gt;"",ROW($2:$516),517),ROW(AC464)))&amp;""</f>
        <v/>
      </c>
      <c r="AE465" s="198" t="str">
        <f t="shared" si="11"/>
        <v/>
      </c>
    </row>
    <row r="466" spans="1:31" ht="14.4" customHeight="1" x14ac:dyDescent="0.25">
      <c r="A466" s="250">
        <v>464</v>
      </c>
      <c r="B466" s="119" t="s">
        <v>8229</v>
      </c>
      <c r="C466" s="119" t="s">
        <v>8230</v>
      </c>
      <c r="E466" s="379" t="s">
        <v>6328</v>
      </c>
      <c r="F466" s="180" t="s">
        <v>6282</v>
      </c>
      <c r="G466" s="180" t="s">
        <v>6283</v>
      </c>
      <c r="H466" s="180">
        <v>1</v>
      </c>
      <c r="N466" s="180" t="s">
        <v>6284</v>
      </c>
      <c r="O466" s="119" t="s">
        <v>8231</v>
      </c>
      <c r="P466" s="119">
        <v>7</v>
      </c>
      <c r="Q466" s="251" t="str">
        <f>IF(综合数据!$B$7=TRUE,"XGE","")</f>
        <v>XGE</v>
      </c>
      <c r="W466" s="180">
        <v>6</v>
      </c>
      <c r="X466" s="180">
        <v>6</v>
      </c>
      <c r="Y466" s="180">
        <v>6</v>
      </c>
      <c r="AA466" s="198"/>
      <c r="AB466" s="250" t="str">
        <f t="array" ref="AB466">INDEX(B:B,SMALL(IF($Q$3:$Q$517&lt;&gt;"",ROW($3:$517),518),ROW(B465)))&amp;""</f>
        <v>蓝纱一梦</v>
      </c>
      <c r="AC466" s="394" t="str">
        <f>IFERROR(IF(AND($Q467&lt;&gt;"",IF(法术查询!$J$4="",1,INDEX($R467:$Z467,1,VLOOKUP(法术查询!$J$4,$AF$2:$AG$10,2,0)))&lt;&gt;"",IF(法术查询!$J$5="",1,$P467=VLOOKUP(法术查询!$J$5,$AH$2:$AI$11,2,0)),IF(法术查询!$J$6="",1,IF(法术查询!$J$6=$E467,1,0)),IF(法术查询!$J$7="",1,SEARCH(法术查询!$J$7,$F467)),IF(法术查询!$J$8="",1,SEARCH(法术查询!$J$8,G467)),IF(法术查询!$J$9="",1,SEARCH(法术查询!$J$9,N467)),IF(法术查询!$J$10="",1,IF(法术查询!$J$10=$AF$11,IF($M467=1,1,0),IF($M467="",1,0))),IF(法术查询!$J$11="",1,IF(法术查询!$J$11=$AF$11,IF($D467=1,1,0),IF($D467="",1,0))),IF(法术查询!$J$12="",1,SEARCH(法术查询!$J$12,$B467&amp;$C467&amp;$O467)),IF(法术查询!$J$13="",1,SEARCH(法术查询!$J$13,$B467&amp;$C467&amp;$O467)),IF(法术查询!$J$14="",1,SEARCH(法术查询!$J$14,$B467&amp;$C467&amp;$O467)),IF(法术查询!$J$16="",1,IF(法术查询!$J$16=$AF$11,IF($H467=1,1,0),IF($H467="",1,0))),IF(法术查询!$J$17="",1,IF(法术查询!$J$17=$AF$11,IF($I467=1,1,0),IF($I467="",1,0))),IF(法术查询!$J$18="",1,IF(法术查询!$J$18=$AF$11,IF($J467&lt;&gt;"",1,0),IF($J467="",1,0))),IF(法术查询!$J$19="",1,IF(法术查询!$J$19=$AF$11,IF($L467&lt;&gt;"",1,0),IF($L467="",1,0)))),$B467,""),"")</f>
        <v/>
      </c>
      <c r="AD466" s="180" t="str">
        <f t="array" ref="AD466">INDEX(AC:AC,SMALL(IF($AC$2:$AC$516&lt;&gt;"",ROW($2:$516),517),ROW(AC465)))&amp;""</f>
        <v/>
      </c>
      <c r="AE466" s="198" t="str">
        <f t="shared" si="11"/>
        <v/>
      </c>
    </row>
    <row r="467" spans="1:31" ht="14.4" customHeight="1" x14ac:dyDescent="0.25">
      <c r="A467" s="250">
        <v>465</v>
      </c>
      <c r="B467" s="119" t="s">
        <v>8232</v>
      </c>
      <c r="C467" s="119" t="s">
        <v>8233</v>
      </c>
      <c r="E467" s="378" t="s">
        <v>6281</v>
      </c>
      <c r="F467" s="180" t="s">
        <v>6344</v>
      </c>
      <c r="G467" s="180" t="s">
        <v>6298</v>
      </c>
      <c r="H467" s="180">
        <v>1</v>
      </c>
      <c r="I467" s="180">
        <v>1</v>
      </c>
      <c r="J467" s="180">
        <v>1</v>
      </c>
      <c r="K467" s="119" t="s">
        <v>8234</v>
      </c>
      <c r="N467" s="180" t="s">
        <v>6399</v>
      </c>
      <c r="O467" s="119" t="s">
        <v>8235</v>
      </c>
      <c r="P467" s="119">
        <v>7</v>
      </c>
      <c r="Q467" s="251" t="str">
        <f>IF(综合数据!$B$7=TRUE,"XGE","")</f>
        <v>XGE</v>
      </c>
      <c r="S467" s="180">
        <v>6</v>
      </c>
      <c r="AA467" s="198"/>
      <c r="AB467" s="250" t="str">
        <f t="array" ref="AB467">INDEX(B:B,SMALL(IF($Q$3:$Q$517&lt;&gt;"",ROW($3:$517),518),ROW(B466)))&amp;""</f>
        <v>龙类变形</v>
      </c>
      <c r="AC467" s="394" t="str">
        <f>IFERROR(IF(AND($Q468&lt;&gt;"",IF(法术查询!$J$4="",1,INDEX($R468:$Z468,1,VLOOKUP(法术查询!$J$4,$AF$2:$AG$10,2,0)))&lt;&gt;"",IF(法术查询!$J$5="",1,$P468=VLOOKUP(法术查询!$J$5,$AH$2:$AI$11,2,0)),IF(法术查询!$J$6="",1,IF(法术查询!$J$6=$E468,1,0)),IF(法术查询!$J$7="",1,SEARCH(法术查询!$J$7,$F468)),IF(法术查询!$J$8="",1,SEARCH(法术查询!$J$8,G468)),IF(法术查询!$J$9="",1,SEARCH(法术查询!$J$9,N468)),IF(法术查询!$J$10="",1,IF(法术查询!$J$10=$AF$11,IF($M468=1,1,0),IF($M468="",1,0))),IF(法术查询!$J$11="",1,IF(法术查询!$J$11=$AF$11,IF($D468=1,1,0),IF($D468="",1,0))),IF(法术查询!$J$12="",1,SEARCH(法术查询!$J$12,$B468&amp;$C468&amp;$O468)),IF(法术查询!$J$13="",1,SEARCH(法术查询!$J$13,$B468&amp;$C468&amp;$O468)),IF(法术查询!$J$14="",1,SEARCH(法术查询!$J$14,$B468&amp;$C468&amp;$O468)),IF(法术查询!$J$16="",1,IF(法术查询!$J$16=$AF$11,IF($H468=1,1,0),IF($H468="",1,0))),IF(法术查询!$J$17="",1,IF(法术查询!$J$17=$AF$11,IF($I468=1,1,0),IF($I468="",1,0))),IF(法术查询!$J$18="",1,IF(法术查询!$J$18=$AF$11,IF($J468&lt;&gt;"",1,0),IF($J468="",1,0))),IF(法术查询!$J$19="",1,IF(法术查询!$J$19=$AF$11,IF($L468&lt;&gt;"",1,0),IF($L468="",1,0)))),$B468,""),"")</f>
        <v/>
      </c>
      <c r="AD467" s="180" t="str">
        <f t="array" ref="AD467">INDEX(AC:AC,SMALL(IF($AC$2:$AC$516&lt;&gt;"",ROW($2:$516),517),ROW(AC466)))&amp;""</f>
        <v/>
      </c>
      <c r="AE467" s="198" t="str">
        <f t="shared" si="11"/>
        <v/>
      </c>
    </row>
    <row r="468" spans="1:31" ht="14.4" customHeight="1" x14ac:dyDescent="0.25">
      <c r="A468" s="250">
        <v>466</v>
      </c>
      <c r="B468" s="119" t="s">
        <v>8236</v>
      </c>
      <c r="C468" s="119" t="s">
        <v>8237</v>
      </c>
      <c r="E468" s="434" t="s">
        <v>6304</v>
      </c>
      <c r="F468" s="180" t="s">
        <v>6282</v>
      </c>
      <c r="G468" s="180" t="s">
        <v>6426</v>
      </c>
      <c r="H468" s="180">
        <v>1</v>
      </c>
      <c r="J468" s="180">
        <v>1</v>
      </c>
      <c r="K468" s="119" t="s">
        <v>8238</v>
      </c>
      <c r="M468" s="180">
        <v>1</v>
      </c>
      <c r="N468" s="180" t="s">
        <v>6306</v>
      </c>
      <c r="O468" s="119" t="s">
        <v>8239</v>
      </c>
      <c r="P468" s="119">
        <v>7</v>
      </c>
      <c r="Q468" s="251" t="str">
        <f>IF(综合数据!$B$7=TRUE,"XGE","")</f>
        <v>XGE</v>
      </c>
      <c r="T468" s="180">
        <v>6</v>
      </c>
      <c r="W468" s="180">
        <v>6</v>
      </c>
      <c r="X468" s="180">
        <v>6</v>
      </c>
      <c r="AA468" s="198"/>
      <c r="AB468" s="250" t="str">
        <f t="array" ref="AB468">INDEX(B:B,SMALL(IF($Q$3:$Q$517&lt;&gt;"",ROW($3:$517),518),ROW(B467)))&amp;""</f>
        <v>动物形态</v>
      </c>
      <c r="AC468" s="394" t="str">
        <f>IFERROR(IF(AND($Q469&lt;&gt;"",IF(法术查询!$J$4="",1,INDEX($R469:$Z469,1,VLOOKUP(法术查询!$J$4,$AF$2:$AG$10,2,0)))&lt;&gt;"",IF(法术查询!$J$5="",1,$P469=VLOOKUP(法术查询!$J$5,$AH$2:$AI$11,2,0)),IF(法术查询!$J$6="",1,IF(法术查询!$J$6=$E469,1,0)),IF(法术查询!$J$7="",1,SEARCH(法术查询!$J$7,$F469)),IF(法术查询!$J$8="",1,SEARCH(法术查询!$J$8,G469)),IF(法术查询!$J$9="",1,SEARCH(法术查询!$J$9,N469)),IF(法术查询!$J$10="",1,IF(法术查询!$J$10=$AF$11,IF($M469=1,1,0),IF($M469="",1,0))),IF(法术查询!$J$11="",1,IF(法术查询!$J$11=$AF$11,IF($D469=1,1,0),IF($D469="",1,0))),IF(法术查询!$J$12="",1,SEARCH(法术查询!$J$12,$B469&amp;$C469&amp;$O469)),IF(法术查询!$J$13="",1,SEARCH(法术查询!$J$13,$B469&amp;$C469&amp;$O469)),IF(法术查询!$J$14="",1,SEARCH(法术查询!$J$14,$B469&amp;$C469&amp;$O469)),IF(法术查询!$J$16="",1,IF(法术查询!$J$16=$AF$11,IF($H469=1,1,0),IF($H469="",1,0))),IF(法术查询!$J$17="",1,IF(法术查询!$J$17=$AF$11,IF($I469=1,1,0),IF($I469="",1,0))),IF(法术查询!$J$18="",1,IF(法术查询!$J$18=$AF$11,IF($J469&lt;&gt;"",1,0),IF($J469="",1,0))),IF(法术查询!$J$19="",1,IF(法术查询!$J$19=$AF$11,IF($L469&lt;&gt;"",1,0),IF($L469="",1,0)))),$B469,""),"")</f>
        <v/>
      </c>
      <c r="AD468" s="180" t="str">
        <f t="array" ref="AD468">INDEX(AC:AC,SMALL(IF($AC$2:$AC$516&lt;&gt;"",ROW($2:$516),517),ROW(AC467)))&amp;""</f>
        <v/>
      </c>
      <c r="AE468" s="198" t="str">
        <f t="shared" si="11"/>
        <v/>
      </c>
    </row>
    <row r="469" spans="1:31" ht="14.4" customHeight="1" x14ac:dyDescent="0.25">
      <c r="A469" s="250">
        <v>467</v>
      </c>
      <c r="B469" s="119" t="s">
        <v>8240</v>
      </c>
      <c r="C469" s="119" t="s">
        <v>8241</v>
      </c>
      <c r="E469" s="441" t="s">
        <v>6297</v>
      </c>
      <c r="F469" s="180" t="s">
        <v>6282</v>
      </c>
      <c r="G469" s="180" t="s">
        <v>6283</v>
      </c>
      <c r="H469" s="180">
        <v>1</v>
      </c>
      <c r="I469" s="180">
        <v>1</v>
      </c>
      <c r="J469" s="180">
        <v>1</v>
      </c>
      <c r="L469" s="119" t="s">
        <v>8242</v>
      </c>
      <c r="M469" s="180">
        <v>1</v>
      </c>
      <c r="N469" s="180" t="s">
        <v>6379</v>
      </c>
      <c r="O469" s="119" t="s">
        <v>8243</v>
      </c>
      <c r="P469" s="119">
        <v>7</v>
      </c>
      <c r="Q469" s="257" t="str">
        <f>IF(综合数据!$B$11=TRUE,"EGtW","")</f>
        <v>EGtW</v>
      </c>
      <c r="AA469" s="120" t="s">
        <v>6537</v>
      </c>
      <c r="AB469" s="250" t="str">
        <f t="array" ref="AB469">INDEX(B:B,SMALL(IF($Q$3:$Q$517&lt;&gt;"",ROW($3:$517),518),ROW(B468)))&amp;""</f>
        <v>反魔法力场</v>
      </c>
      <c r="AC469" s="394" t="str">
        <f>IFERROR(IF(AND($Q470&lt;&gt;"",IF(法术查询!$J$4="",1,INDEX($R470:$Z470,1,VLOOKUP(法术查询!$J$4,$AF$2:$AG$10,2,0)))&lt;&gt;"",IF(法术查询!$J$5="",1,$P470=VLOOKUP(法术查询!$J$5,$AH$2:$AI$11,2,0)),IF(法术查询!$J$6="",1,IF(法术查询!$J$6=$E470,1,0)),IF(法术查询!$J$7="",1,SEARCH(法术查询!$J$7,$F470)),IF(法术查询!$J$8="",1,SEARCH(法术查询!$J$8,G470)),IF(法术查询!$J$9="",1,SEARCH(法术查询!$J$9,N470)),IF(法术查询!$J$10="",1,IF(法术查询!$J$10=$AF$11,IF($M470=1,1,0),IF($M470="",1,0))),IF(法术查询!$J$11="",1,IF(法术查询!$J$11=$AF$11,IF($D470=1,1,0),IF($D470="",1,0))),IF(法术查询!$J$12="",1,SEARCH(法术查询!$J$12,$B470&amp;$C470&amp;$O470)),IF(法术查询!$J$13="",1,SEARCH(法术查询!$J$13,$B470&amp;$C470&amp;$O470)),IF(法术查询!$J$14="",1,SEARCH(法术查询!$J$14,$B470&amp;$C470&amp;$O470)),IF(法术查询!$J$16="",1,IF(法术查询!$J$16=$AF$11,IF($H470=1,1,0),IF($H470="",1,0))),IF(法术查询!$J$17="",1,IF(法术查询!$J$17=$AF$11,IF($I470=1,1,0),IF($I470="",1,0))),IF(法术查询!$J$18="",1,IF(法术查询!$J$18=$AF$11,IF($J470&lt;&gt;"",1,0),IF($J470="",1,0))),IF(法术查询!$J$19="",1,IF(法术查询!$J$19=$AF$11,IF($L470&lt;&gt;"",1,0),IF($L470="",1,0)))),$B470,""),"")</f>
        <v/>
      </c>
      <c r="AD469" s="180" t="str">
        <f t="array" ref="AD469">INDEX(AC:AC,SMALL(IF($AC$2:$AC$516&lt;&gt;"",ROW($2:$516),517),ROW(AC468)))&amp;""</f>
        <v/>
      </c>
      <c r="AE469" s="198" t="str">
        <f t="shared" si="11"/>
        <v/>
      </c>
    </row>
    <row r="470" spans="1:31" ht="14.4" customHeight="1" x14ac:dyDescent="0.25">
      <c r="A470" s="250">
        <v>468</v>
      </c>
      <c r="B470" s="119" t="s">
        <v>8244</v>
      </c>
      <c r="C470" s="119" t="s">
        <v>8245</v>
      </c>
      <c r="E470" s="378" t="s">
        <v>6281</v>
      </c>
      <c r="F470" s="180" t="s">
        <v>6371</v>
      </c>
      <c r="G470" s="180" t="s">
        <v>6382</v>
      </c>
      <c r="H470" s="180">
        <v>1</v>
      </c>
      <c r="I470" s="180">
        <v>1</v>
      </c>
      <c r="J470" s="180">
        <v>1</v>
      </c>
      <c r="K470" s="119" t="s">
        <v>8246</v>
      </c>
      <c r="L470" s="119"/>
      <c r="N470" s="180" t="s">
        <v>6389</v>
      </c>
      <c r="O470" s="119" t="s">
        <v>8247</v>
      </c>
      <c r="P470" s="119">
        <v>7</v>
      </c>
      <c r="Q470" s="443" t="str">
        <f>IF(综合数据!$B$14=TRUE,"TCE","")</f>
        <v>TCE</v>
      </c>
      <c r="R470" s="180">
        <v>13</v>
      </c>
      <c r="W470" s="180">
        <v>13</v>
      </c>
      <c r="X470" s="180">
        <v>13</v>
      </c>
      <c r="Y470" s="180">
        <v>13</v>
      </c>
      <c r="AA470" s="120"/>
      <c r="AB470" s="250" t="str">
        <f t="array" ref="AB470">INDEX(B:B,SMALL(IF($Q$3:$Q$517&lt;&gt;"",ROW($3:$517),518),ROW(B469)))&amp;""</f>
        <v>嫌恶/关怀术</v>
      </c>
      <c r="AC470" s="394" t="str">
        <f>IFERROR(IF(AND($Q471&lt;&gt;"",IF(法术查询!$J$4="",1,INDEX($R471:$Z471,1,VLOOKUP(法术查询!$J$4,$AF$2:$AG$10,2,0)))&lt;&gt;"",IF(法术查询!$J$5="",1,$P471=VLOOKUP(法术查询!$J$5,$AH$2:$AI$11,2,0)),IF(法术查询!$J$6="",1,IF(法术查询!$J$6=$E471,1,0)),IF(法术查询!$J$7="",1,SEARCH(法术查询!$J$7,$F471)),IF(法术查询!$J$8="",1,SEARCH(法术查询!$J$8,G471)),IF(法术查询!$J$9="",1,SEARCH(法术查询!$J$9,N471)),IF(法术查询!$J$10="",1,IF(法术查询!$J$10=$AF$11,IF($M471=1,1,0),IF($M471="",1,0))),IF(法术查询!$J$11="",1,IF(法术查询!$J$11=$AF$11,IF($D471=1,1,0),IF($D471="",1,0))),IF(法术查询!$J$12="",1,SEARCH(法术查询!$J$12,$B471&amp;$C471&amp;$O471)),IF(法术查询!$J$13="",1,SEARCH(法术查询!$J$13,$B471&amp;$C471&amp;$O471)),IF(法术查询!$J$14="",1,SEARCH(法术查询!$J$14,$B471&amp;$C471&amp;$O471)),IF(法术查询!$J$16="",1,IF(法术查询!$J$16=$AF$11,IF($H471=1,1,0),IF($H471="",1,0))),IF(法术查询!$J$17="",1,IF(法术查询!$J$17=$AF$11,IF($I471=1,1,0),IF($I471="",1,0))),IF(法术查询!$J$18="",1,IF(法术查询!$J$18=$AF$11,IF($J471&lt;&gt;"",1,0),IF($J471="",1,0))),IF(法术查询!$J$19="",1,IF(法术查询!$J$19=$AF$11,IF($L471&lt;&gt;"",1,0),IF($L471="",1,0)))),$B471,""),"")</f>
        <v/>
      </c>
      <c r="AD470" s="180" t="str">
        <f t="array" ref="AD470">INDEX(AC:AC,SMALL(IF($AC$2:$AC$516&lt;&gt;"",ROW($2:$516),517),ROW(AC469)))&amp;""</f>
        <v/>
      </c>
      <c r="AE470" s="198" t="str">
        <f t="shared" si="11"/>
        <v/>
      </c>
    </row>
    <row r="471" spans="1:31" ht="14.4" customHeight="1" x14ac:dyDescent="0.25">
      <c r="A471" s="250">
        <v>469</v>
      </c>
      <c r="B471" s="119" t="s">
        <v>8248</v>
      </c>
      <c r="C471" s="119" t="s">
        <v>8249</v>
      </c>
      <c r="E471" s="435" t="s">
        <v>6312</v>
      </c>
      <c r="F471" s="180" t="s">
        <v>6352</v>
      </c>
      <c r="G471" s="180" t="s">
        <v>6291</v>
      </c>
      <c r="H471" s="180">
        <v>1</v>
      </c>
      <c r="I471" s="180">
        <v>1</v>
      </c>
      <c r="J471" s="180">
        <v>1</v>
      </c>
      <c r="K471" s="119" t="s">
        <v>8250</v>
      </c>
      <c r="M471" s="180">
        <v>1</v>
      </c>
      <c r="N471" s="180" t="s">
        <v>6306</v>
      </c>
      <c r="O471" s="119" t="s">
        <v>8251</v>
      </c>
      <c r="P471" s="180">
        <v>7</v>
      </c>
      <c r="Q471" s="445" t="str">
        <f>IF(综合数据!$B$16=TRUE,"FTD","")</f>
        <v>FTD</v>
      </c>
      <c r="T471" s="119">
        <v>15</v>
      </c>
      <c r="W471" s="180">
        <v>15</v>
      </c>
      <c r="X471" s="180">
        <v>15</v>
      </c>
      <c r="AA471" s="198"/>
      <c r="AB471" s="250" t="str">
        <f t="array" ref="AB471">INDEX(B:B,SMALL(IF($Q$3:$Q$517&lt;&gt;"",ROW($3:$517),518),ROW(B470)))&amp;""</f>
        <v>克隆术</v>
      </c>
      <c r="AC471" s="394" t="str">
        <f>IFERROR(IF(AND($Q472&lt;&gt;"",IF(法术查询!$J$4="",1,INDEX($R472:$Z472,1,VLOOKUP(法术查询!$J$4,$AF$2:$AG$10,2,0)))&lt;&gt;"",IF(法术查询!$J$5="",1,$P472=VLOOKUP(法术查询!$J$5,$AH$2:$AI$11,2,0)),IF(法术查询!$J$6="",1,IF(法术查询!$J$6=$E472,1,0)),IF(法术查询!$J$7="",1,SEARCH(法术查询!$J$7,$F472)),IF(法术查询!$J$8="",1,SEARCH(法术查询!$J$8,G472)),IF(法术查询!$J$9="",1,SEARCH(法术查询!$J$9,N472)),IF(法术查询!$J$10="",1,IF(法术查询!$J$10=$AF$11,IF($M472=1,1,0),IF($M472="",1,0))),IF(法术查询!$J$11="",1,IF(法术查询!$J$11=$AF$11,IF($D472=1,1,0),IF($D472="",1,0))),IF(法术查询!$J$12="",1,SEARCH(法术查询!$J$12,$B472&amp;$C472&amp;$O472)),IF(法术查询!$J$13="",1,SEARCH(法术查询!$J$13,$B472&amp;$C472&amp;$O472)),IF(法术查询!$J$14="",1,SEARCH(法术查询!$J$14,$B472&amp;$C472&amp;$O472)),IF(法术查询!$J$16="",1,IF(法术查询!$J$16=$AF$11,IF($H472=1,1,0),IF($H472="",1,0))),IF(法术查询!$J$17="",1,IF(法术查询!$J$17=$AF$11,IF($I472=1,1,0),IF($I472="",1,0))),IF(法术查询!$J$18="",1,IF(法术查询!$J$18=$AF$11,IF($J472&lt;&gt;"",1,0),IF($J472="",1,0))),IF(法术查询!$J$19="",1,IF(法术查询!$J$19=$AF$11,IF($L472&lt;&gt;"",1,0),IF($L472="",1,0)))),$B472,""),"")</f>
        <v/>
      </c>
      <c r="AD471" s="180" t="str">
        <f t="array" ref="AD471">INDEX(AC:AC,SMALL(IF($AC$2:$AC$516&lt;&gt;"",ROW($2:$516),517),ROW(AC470)))&amp;""</f>
        <v/>
      </c>
      <c r="AE471" s="198" t="str">
        <f t="shared" si="11"/>
        <v/>
      </c>
    </row>
    <row r="472" spans="1:31" ht="14.4" customHeight="1" x14ac:dyDescent="0.25">
      <c r="A472" s="250">
        <v>470</v>
      </c>
      <c r="B472" s="119" t="s">
        <v>8252</v>
      </c>
      <c r="C472" s="119" t="s">
        <v>8253</v>
      </c>
      <c r="E472" s="435" t="s">
        <v>6312</v>
      </c>
      <c r="F472" s="180" t="s">
        <v>6282</v>
      </c>
      <c r="G472" s="180" t="s">
        <v>6313</v>
      </c>
      <c r="H472" s="180">
        <v>1</v>
      </c>
      <c r="I472" s="180">
        <v>1</v>
      </c>
      <c r="M472" s="180">
        <v>1</v>
      </c>
      <c r="N472" s="180" t="s">
        <v>6490</v>
      </c>
      <c r="O472" s="119" t="s">
        <v>8254</v>
      </c>
      <c r="P472" s="119">
        <v>8</v>
      </c>
      <c r="Q472" s="119" t="s">
        <v>242</v>
      </c>
      <c r="T472" s="180">
        <v>1</v>
      </c>
      <c r="AA472" s="198"/>
      <c r="AB472" s="250" t="str">
        <f t="array" ref="AB472">INDEX(B:B,SMALL(IF($Q$3:$Q$517&lt;&gt;"",ROW($3:$517),518),ROW(B471)))&amp;""</f>
        <v>操控天气</v>
      </c>
      <c r="AC472" s="394" t="str">
        <f>IFERROR(IF(AND($Q473&lt;&gt;"",IF(法术查询!$J$4="",1,INDEX($R473:$Z473,1,VLOOKUP(法术查询!$J$4,$AF$2:$AG$10,2,0)))&lt;&gt;"",IF(法术查询!$J$5="",1,$P473=VLOOKUP(法术查询!$J$5,$AH$2:$AI$11,2,0)),IF(法术查询!$J$6="",1,IF(法术查询!$J$6=$E473,1,0)),IF(法术查询!$J$7="",1,SEARCH(法术查询!$J$7,$F473)),IF(法术查询!$J$8="",1,SEARCH(法术查询!$J$8,G473)),IF(法术查询!$J$9="",1,SEARCH(法术查询!$J$9,N473)),IF(法术查询!$J$10="",1,IF(法术查询!$J$10=$AF$11,IF($M473=1,1,0),IF($M473="",1,0))),IF(法术查询!$J$11="",1,IF(法术查询!$J$11=$AF$11,IF($D473=1,1,0),IF($D473="",1,0))),IF(法术查询!$J$12="",1,SEARCH(法术查询!$J$12,$B473&amp;$C473&amp;$O473)),IF(法术查询!$J$13="",1,SEARCH(法术查询!$J$13,$B473&amp;$C473&amp;$O473)),IF(法术查询!$J$14="",1,SEARCH(法术查询!$J$14,$B473&amp;$C473&amp;$O473)),IF(法术查询!$J$16="",1,IF(法术查询!$J$16=$AF$11,IF($H473=1,1,0),IF($H473="",1,0))),IF(法术查询!$J$17="",1,IF(法术查询!$J$17=$AF$11,IF($I473=1,1,0),IF($I473="",1,0))),IF(法术查询!$J$18="",1,IF(法术查询!$J$18=$AF$11,IF($J473&lt;&gt;"",1,0),IF($J473="",1,0))),IF(法术查询!$J$19="",1,IF(法术查询!$J$19=$AF$11,IF($L473&lt;&gt;"",1,0),IF($L473="",1,0)))),$B473,""),"")</f>
        <v/>
      </c>
      <c r="AD472" s="180" t="str">
        <f t="array" ref="AD472">INDEX(AC:AC,SMALL(IF($AC$2:$AC$516&lt;&gt;"",ROW($2:$516),517),ROW(AC471)))&amp;""</f>
        <v/>
      </c>
      <c r="AE472" s="198" t="str">
        <f t="shared" si="11"/>
        <v/>
      </c>
    </row>
    <row r="473" spans="1:31" ht="14.4" customHeight="1" x14ac:dyDescent="0.25">
      <c r="A473" s="250">
        <v>471</v>
      </c>
      <c r="B473" s="119" t="s">
        <v>8255</v>
      </c>
      <c r="C473" s="119" t="s">
        <v>8256</v>
      </c>
      <c r="E473" s="440" t="s">
        <v>6290</v>
      </c>
      <c r="F473" s="180" t="s">
        <v>6282</v>
      </c>
      <c r="G473" s="180" t="s">
        <v>6489</v>
      </c>
      <c r="H473" s="180">
        <v>1</v>
      </c>
      <c r="I473" s="180">
        <v>1</v>
      </c>
      <c r="J473" s="180">
        <v>1</v>
      </c>
      <c r="K473" s="119" t="s">
        <v>8257</v>
      </c>
      <c r="M473" s="180">
        <v>1</v>
      </c>
      <c r="N473" s="180" t="s">
        <v>6379</v>
      </c>
      <c r="O473" s="119" t="s">
        <v>8258</v>
      </c>
      <c r="P473" s="119">
        <v>8</v>
      </c>
      <c r="Q473" s="119" t="s">
        <v>242</v>
      </c>
      <c r="S473" s="180">
        <v>1</v>
      </c>
      <c r="X473" s="180">
        <v>1</v>
      </c>
      <c r="AA473" s="120" t="s">
        <v>7798</v>
      </c>
      <c r="AB473" s="250" t="str">
        <f t="array" ref="AB473">INDEX(B:B,SMALL(IF($Q$3:$Q$517&lt;&gt;"",ROW($3:$517),518),ROW(B472)))&amp;""</f>
        <v>创造半位面</v>
      </c>
      <c r="AC473" s="394" t="str">
        <f>IFERROR(IF(AND($Q474&lt;&gt;"",IF(法术查询!$J$4="",1,INDEX($R474:$Z474,1,VLOOKUP(法术查询!$J$4,$AF$2:$AG$10,2,0)))&lt;&gt;"",IF(法术查询!$J$5="",1,$P474=VLOOKUP(法术查询!$J$5,$AH$2:$AI$11,2,0)),IF(法术查询!$J$6="",1,IF(法术查询!$J$6=$E474,1,0)),IF(法术查询!$J$7="",1,SEARCH(法术查询!$J$7,$F474)),IF(法术查询!$J$8="",1,SEARCH(法术查询!$J$8,G474)),IF(法术查询!$J$9="",1,SEARCH(法术查询!$J$9,N474)),IF(法术查询!$J$10="",1,IF(法术查询!$J$10=$AF$11,IF($M474=1,1,0),IF($M474="",1,0))),IF(法术查询!$J$11="",1,IF(法术查询!$J$11=$AF$11,IF($D474=1,1,0),IF($D474="",1,0))),IF(法术查询!$J$12="",1,SEARCH(法术查询!$J$12,$B474&amp;$C474&amp;$O474)),IF(法术查询!$J$13="",1,SEARCH(法术查询!$J$13,$B474&amp;$C474&amp;$O474)),IF(法术查询!$J$14="",1,SEARCH(法术查询!$J$14,$B474&amp;$C474&amp;$O474)),IF(法术查询!$J$16="",1,IF(法术查询!$J$16=$AF$11,IF($H474=1,1,0),IF($H474="",1,0))),IF(法术查询!$J$17="",1,IF(法术查询!$J$17=$AF$11,IF($I474=1,1,0),IF($I474="",1,0))),IF(法术查询!$J$18="",1,IF(法术查询!$J$18=$AF$11,IF($J474&lt;&gt;"",1,0),IF($J474="",1,0))),IF(法术查询!$J$19="",1,IF(法术查询!$J$19=$AF$11,IF($L474&lt;&gt;"",1,0),IF($L474="",1,0)))),$B474,""),"")</f>
        <v/>
      </c>
      <c r="AD473" s="180" t="str">
        <f t="array" ref="AD473">INDEX(AC:AC,SMALL(IF($AC$2:$AC$516&lt;&gt;"",ROW($2:$516),517),ROW(AC472)))&amp;""</f>
        <v/>
      </c>
      <c r="AE473" s="198" t="str">
        <f t="shared" si="11"/>
        <v/>
      </c>
    </row>
    <row r="474" spans="1:31" ht="14.4" customHeight="1" x14ac:dyDescent="0.25">
      <c r="A474" s="250">
        <v>472</v>
      </c>
      <c r="B474" s="119" t="s">
        <v>8259</v>
      </c>
      <c r="C474" s="119" t="s">
        <v>8260</v>
      </c>
      <c r="E474" s="379" t="s">
        <v>6328</v>
      </c>
      <c r="F474" s="180" t="s">
        <v>6344</v>
      </c>
      <c r="G474" s="180" t="s">
        <v>6283</v>
      </c>
      <c r="H474" s="180">
        <v>1</v>
      </c>
      <c r="I474" s="180">
        <v>1</v>
      </c>
      <c r="J474" s="180">
        <v>1</v>
      </c>
      <c r="K474" s="119" t="s">
        <v>8261</v>
      </c>
      <c r="N474" s="180" t="s">
        <v>6420</v>
      </c>
      <c r="O474" s="119" t="s">
        <v>8262</v>
      </c>
      <c r="P474" s="119">
        <v>8</v>
      </c>
      <c r="Q474" s="119" t="s">
        <v>242</v>
      </c>
      <c r="R474" s="180" t="str">
        <f>IF(综合数据!$B$14=TRUE,"13","")</f>
        <v>13</v>
      </c>
      <c r="T474" s="180">
        <v>1</v>
      </c>
      <c r="X474" s="180">
        <v>1</v>
      </c>
      <c r="AA474" s="198"/>
      <c r="AB474" s="250" t="str">
        <f t="array" ref="AB474">INDEX(B:B,SMALL(IF($Q$3:$Q$517&lt;&gt;"",ROW($3:$517),518),ROW(B473)))&amp;""</f>
        <v>支配怪物</v>
      </c>
      <c r="AC474" s="394" t="str">
        <f>IFERROR(IF(AND($Q475&lt;&gt;"",IF(法术查询!$J$4="",1,INDEX($R475:$Z475,1,VLOOKUP(法术查询!$J$4,$AF$2:$AG$10,2,0)))&lt;&gt;"",IF(法术查询!$J$5="",1,$P475=VLOOKUP(法术查询!$J$5,$AH$2:$AI$11,2,0)),IF(法术查询!$J$6="",1,IF(法术查询!$J$6=$E475,1,0)),IF(法术查询!$J$7="",1,SEARCH(法术查询!$J$7,$F475)),IF(法术查询!$J$8="",1,SEARCH(法术查询!$J$8,G475)),IF(法术查询!$J$9="",1,SEARCH(法术查询!$J$9,N475)),IF(法术查询!$J$10="",1,IF(法术查询!$J$10=$AF$11,IF($M475=1,1,0),IF($M475="",1,0))),IF(法术查询!$J$11="",1,IF(法术查询!$J$11=$AF$11,IF($D475=1,1,0),IF($D475="",1,0))),IF(法术查询!$J$12="",1,SEARCH(法术查询!$J$12,$B475&amp;$C475&amp;$O475)),IF(法术查询!$J$13="",1,SEARCH(法术查询!$J$13,$B475&amp;$C475&amp;$O475)),IF(法术查询!$J$14="",1,SEARCH(法术查询!$J$14,$B475&amp;$C475&amp;$O475)),IF(法术查询!$J$16="",1,IF(法术查询!$J$16=$AF$11,IF($H475=1,1,0),IF($H475="",1,0))),IF(法术查询!$J$17="",1,IF(法术查询!$J$17=$AF$11,IF($I475=1,1,0),IF($I475="",1,0))),IF(法术查询!$J$18="",1,IF(法术查询!$J$18=$AF$11,IF($J475&lt;&gt;"",1,0),IF($J475="",1,0))),IF(法术查询!$J$19="",1,IF(法术查询!$J$19=$AF$11,IF($L475&lt;&gt;"",1,0),IF($L475="",1,0)))),$B475,""),"")</f>
        <v/>
      </c>
      <c r="AD474" s="180" t="str">
        <f t="array" ref="AD474">INDEX(AC:AC,SMALL(IF($AC$2:$AC$516&lt;&gt;"",ROW($2:$516),517),ROW(AC473)))&amp;""</f>
        <v/>
      </c>
      <c r="AE474" s="198" t="str">
        <f t="shared" si="11"/>
        <v/>
      </c>
    </row>
    <row r="475" spans="1:31" ht="14.4" customHeight="1" x14ac:dyDescent="0.25">
      <c r="A475" s="250">
        <v>473</v>
      </c>
      <c r="B475" s="119" t="s">
        <v>8263</v>
      </c>
      <c r="C475" s="119" t="s">
        <v>8264</v>
      </c>
      <c r="E475" s="441" t="s">
        <v>6297</v>
      </c>
      <c r="F475" s="180" t="s">
        <v>6344</v>
      </c>
      <c r="G475" s="180" t="s">
        <v>3682</v>
      </c>
      <c r="H475" s="180">
        <v>1</v>
      </c>
      <c r="I475" s="180">
        <v>1</v>
      </c>
      <c r="J475" s="180">
        <v>2</v>
      </c>
      <c r="K475" s="119" t="s">
        <v>8265</v>
      </c>
      <c r="L475" s="119" t="s">
        <v>8266</v>
      </c>
      <c r="N475" s="180" t="s">
        <v>6284</v>
      </c>
      <c r="O475" s="119" t="s">
        <v>8267</v>
      </c>
      <c r="P475" s="119">
        <v>8</v>
      </c>
      <c r="Q475" s="119" t="s">
        <v>242</v>
      </c>
      <c r="X475" s="180">
        <v>1</v>
      </c>
      <c r="AA475" s="198"/>
      <c r="AB475" s="250" t="str">
        <f t="array" ref="AB475">INDEX(B:B,SMALL(IF($Q$3:$Q$517&lt;&gt;"",ROW($3:$517),518),ROW(B474)))&amp;""</f>
        <v>地震术</v>
      </c>
      <c r="AC475" s="394" t="str">
        <f>IFERROR(IF(AND($Q476&lt;&gt;"",IF(法术查询!$J$4="",1,INDEX($R476:$Z476,1,VLOOKUP(法术查询!$J$4,$AF$2:$AG$10,2,0)))&lt;&gt;"",IF(法术查询!$J$5="",1,$P476=VLOOKUP(法术查询!$J$5,$AH$2:$AI$11,2,0)),IF(法术查询!$J$6="",1,IF(法术查询!$J$6=$E476,1,0)),IF(法术查询!$J$7="",1,SEARCH(法术查询!$J$7,$F476)),IF(法术查询!$J$8="",1,SEARCH(法术查询!$J$8,G476)),IF(法术查询!$J$9="",1,SEARCH(法术查询!$J$9,N476)),IF(法术查询!$J$10="",1,IF(法术查询!$J$10=$AF$11,IF($M476=1,1,0),IF($M476="",1,0))),IF(法术查询!$J$11="",1,IF(法术查询!$J$11=$AF$11,IF($D476=1,1,0),IF($D476="",1,0))),IF(法术查询!$J$12="",1,SEARCH(法术查询!$J$12,$B476&amp;$C476&amp;$O476)),IF(法术查询!$J$13="",1,SEARCH(法术查询!$J$13,$B476&amp;$C476&amp;$O476)),IF(法术查询!$J$14="",1,SEARCH(法术查询!$J$14,$B476&amp;$C476&amp;$O476)),IF(法术查询!$J$16="",1,IF(法术查询!$J$16=$AF$11,IF($H476=1,1,0),IF($H476="",1,0))),IF(法术查询!$J$17="",1,IF(法术查询!$J$17=$AF$11,IF($I476=1,1,0),IF($I476="",1,0))),IF(法术查询!$J$18="",1,IF(法术查询!$J$18=$AF$11,IF($J476&lt;&gt;"",1,0),IF($J476="",1,0))),IF(法术查询!$J$19="",1,IF(法术查询!$J$19=$AF$11,IF($L476&lt;&gt;"",1,0),IF($L476="",1,0)))),$B476,""),"")</f>
        <v/>
      </c>
      <c r="AD475" s="180" t="str">
        <f t="array" ref="AD475">INDEX(AC:AC,SMALL(IF($AC$2:$AC$516&lt;&gt;"",ROW($2:$516),517),ROW(AC474)))&amp;""</f>
        <v/>
      </c>
      <c r="AE475" s="198" t="str">
        <f t="shared" si="11"/>
        <v/>
      </c>
    </row>
    <row r="476" spans="1:31" ht="14.4" customHeight="1" x14ac:dyDescent="0.25">
      <c r="A476" s="250">
        <v>474</v>
      </c>
      <c r="B476" s="119" t="s">
        <v>8268</v>
      </c>
      <c r="C476" s="119" t="s">
        <v>8269</v>
      </c>
      <c r="E476" s="435" t="s">
        <v>6312</v>
      </c>
      <c r="F476" s="180" t="s">
        <v>6371</v>
      </c>
      <c r="G476" s="180" t="s">
        <v>6533</v>
      </c>
      <c r="H476" s="180">
        <v>1</v>
      </c>
      <c r="I476" s="180">
        <v>1</v>
      </c>
      <c r="J476" s="180">
        <v>1</v>
      </c>
      <c r="K476" s="119" t="s">
        <v>8270</v>
      </c>
      <c r="M476" s="180">
        <v>1</v>
      </c>
      <c r="N476" s="180" t="s">
        <v>6485</v>
      </c>
      <c r="O476" s="119" t="s">
        <v>8271</v>
      </c>
      <c r="P476" s="119">
        <v>8</v>
      </c>
      <c r="Q476" s="119" t="s">
        <v>242</v>
      </c>
      <c r="S476" s="180">
        <v>1</v>
      </c>
      <c r="T476" s="180">
        <v>1</v>
      </c>
      <c r="X476" s="180">
        <v>1</v>
      </c>
      <c r="AA476" s="198"/>
      <c r="AB476" s="250" t="str">
        <f t="array" ref="AB476">INDEX(B:B,SMALL(IF($Q$3:$Q$517&lt;&gt;"",ROW($3:$517),518),ROW(B475)))&amp;""</f>
        <v>弱智术</v>
      </c>
      <c r="AC476" s="394" t="str">
        <f>IFERROR(IF(AND($Q477&lt;&gt;"",IF(法术查询!$J$4="",1,INDEX($R477:$Z477,1,VLOOKUP(法术查询!$J$4,$AF$2:$AG$10,2,0)))&lt;&gt;"",IF(法术查询!$J$5="",1,$P477=VLOOKUP(法术查询!$J$5,$AH$2:$AI$11,2,0)),IF(法术查询!$J$6="",1,IF(法术查询!$J$6=$E477,1,0)),IF(法术查询!$J$7="",1,SEARCH(法术查询!$J$7,$F477)),IF(法术查询!$J$8="",1,SEARCH(法术查询!$J$8,G477)),IF(法术查询!$J$9="",1,SEARCH(法术查询!$J$9,N477)),IF(法术查询!$J$10="",1,IF(法术查询!$J$10=$AF$11,IF($M477=1,1,0),IF($M477="",1,0))),IF(法术查询!$J$11="",1,IF(法术查询!$J$11=$AF$11,IF($D477=1,1,0),IF($D477="",1,0))),IF(法术查询!$J$12="",1,SEARCH(法术查询!$J$12,$B477&amp;$C477&amp;$O477)),IF(法术查询!$J$13="",1,SEARCH(法术查询!$J$13,$B477&amp;$C477&amp;$O477)),IF(法术查询!$J$14="",1,SEARCH(法术查询!$J$14,$B477&amp;$C477&amp;$O477)),IF(法术查询!$J$16="",1,IF(法术查询!$J$16=$AF$11,IF($H477=1,1,0),IF($H477="",1,0))),IF(法术查询!$J$17="",1,IF(法术查询!$J$17=$AF$11,IF($I477=1,1,0),IF($I477="",1,0))),IF(法术查询!$J$18="",1,IF(法术查询!$J$18=$AF$11,IF($J477&lt;&gt;"",1,0),IF($J477="",1,0))),IF(法术查询!$J$19="",1,IF(法术查询!$J$19=$AF$11,IF($L477&lt;&gt;"",1,0),IF($L477="",1,0)))),$B477,""),"")</f>
        <v/>
      </c>
      <c r="AD476" s="180" t="str">
        <f t="array" ref="AD476">INDEX(AC:AC,SMALL(IF($AC$2:$AC$516&lt;&gt;"",ROW($2:$516),517),ROW(AC475)))&amp;""</f>
        <v/>
      </c>
      <c r="AE476" s="198" t="str">
        <f t="shared" si="11"/>
        <v/>
      </c>
    </row>
    <row r="477" spans="1:31" ht="14.4" customHeight="1" x14ac:dyDescent="0.25">
      <c r="A477" s="250">
        <v>475</v>
      </c>
      <c r="B477" s="119" t="s">
        <v>8272</v>
      </c>
      <c r="C477" s="119" t="s">
        <v>8273</v>
      </c>
      <c r="E477" s="378" t="s">
        <v>6281</v>
      </c>
      <c r="F477" s="180" t="s">
        <v>6282</v>
      </c>
      <c r="G477" s="180" t="s">
        <v>6283</v>
      </c>
      <c r="I477" s="180">
        <v>1</v>
      </c>
      <c r="N477" s="180" t="s">
        <v>6344</v>
      </c>
      <c r="O477" s="119" t="s">
        <v>8274</v>
      </c>
      <c r="P477" s="119">
        <v>8</v>
      </c>
      <c r="Q477" s="119" t="s">
        <v>242</v>
      </c>
      <c r="W477" s="180" t="str">
        <f>IF(综合数据!$B$14=TRUE,"13","")</f>
        <v>13</v>
      </c>
      <c r="X477" s="180">
        <v>1</v>
      </c>
      <c r="Y477" s="180">
        <v>1</v>
      </c>
      <c r="AA477" s="198"/>
      <c r="AB477" s="250" t="str">
        <f t="array" ref="AB477">INDEX(B:B,SMALL(IF($Q$3:$Q$517&lt;&gt;"",ROW($3:$517),518),ROW(B476)))&amp;""</f>
        <v>花言巧语</v>
      </c>
      <c r="AC477" s="394" t="str">
        <f>IFERROR(IF(AND($Q478&lt;&gt;"",IF(法术查询!$J$4="",1,INDEX($R478:$Z478,1,VLOOKUP(法术查询!$J$4,$AF$2:$AG$10,2,0)))&lt;&gt;"",IF(法术查询!$J$5="",1,$P478=VLOOKUP(法术查询!$J$5,$AH$2:$AI$11,2,0)),IF(法术查询!$J$6="",1,IF(法术查询!$J$6=$E478,1,0)),IF(法术查询!$J$7="",1,SEARCH(法术查询!$J$7,$F478)),IF(法术查询!$J$8="",1,SEARCH(法术查询!$J$8,G478)),IF(法术查询!$J$9="",1,SEARCH(法术查询!$J$9,N478)),IF(法术查询!$J$10="",1,IF(法术查询!$J$10=$AF$11,IF($M478=1,1,0),IF($M478="",1,0))),IF(法术查询!$J$11="",1,IF(法术查询!$J$11=$AF$11,IF($D478=1,1,0),IF($D478="",1,0))),IF(法术查询!$J$12="",1,SEARCH(法术查询!$J$12,$B478&amp;$C478&amp;$O478)),IF(法术查询!$J$13="",1,SEARCH(法术查询!$J$13,$B478&amp;$C478&amp;$O478)),IF(法术查询!$J$14="",1,SEARCH(法术查询!$J$14,$B478&amp;$C478&amp;$O478)),IF(法术查询!$J$16="",1,IF(法术查询!$J$16=$AF$11,IF($H478=1,1,0),IF($H478="",1,0))),IF(法术查询!$J$17="",1,IF(法术查询!$J$17=$AF$11,IF($I478=1,1,0),IF($I478="",1,0))),IF(法术查询!$J$18="",1,IF(法术查询!$J$18=$AF$11,IF($J478&lt;&gt;"",1,0),IF($J478="",1,0))),IF(法术查询!$J$19="",1,IF(法术查询!$J$19=$AF$11,IF($L478&lt;&gt;"",1,0),IF($L478="",1,0)))),$B478,""),"")</f>
        <v/>
      </c>
      <c r="AD477" s="180" t="str">
        <f t="array" ref="AD477">INDEX(AC:AC,SMALL(IF($AC$2:$AC$516&lt;&gt;"",ROW($2:$516),517),ROW(AC476)))&amp;""</f>
        <v/>
      </c>
      <c r="AE477" s="198" t="str">
        <f t="shared" si="11"/>
        <v/>
      </c>
    </row>
    <row r="478" spans="1:31" ht="14.4" customHeight="1" x14ac:dyDescent="0.25">
      <c r="A478" s="250">
        <v>476</v>
      </c>
      <c r="B478" s="119" t="s">
        <v>8275</v>
      </c>
      <c r="C478" s="119" t="s">
        <v>8276</v>
      </c>
      <c r="E478" s="379" t="s">
        <v>6328</v>
      </c>
      <c r="F478" s="180" t="s">
        <v>6282</v>
      </c>
      <c r="G478" s="180" t="s">
        <v>6283</v>
      </c>
      <c r="H478" s="180">
        <v>1</v>
      </c>
      <c r="I478" s="180">
        <v>1</v>
      </c>
      <c r="M478" s="180">
        <v>1</v>
      </c>
      <c r="N478" s="180" t="s">
        <v>6379</v>
      </c>
      <c r="O478" s="119" t="s">
        <v>8277</v>
      </c>
      <c r="P478" s="119">
        <v>8</v>
      </c>
      <c r="Q478" s="119" t="s">
        <v>242</v>
      </c>
      <c r="R478" s="180">
        <v>1</v>
      </c>
      <c r="W478" s="180">
        <v>1</v>
      </c>
      <c r="X478" s="180">
        <v>1</v>
      </c>
      <c r="Y478" s="180">
        <v>1</v>
      </c>
      <c r="AA478" s="198"/>
      <c r="AB478" s="250" t="str">
        <f t="array" ref="AB478">INDEX(B:B,SMALL(IF($Q$3:$Q$517&lt;&gt;"",ROW($3:$517),518),ROW(B477)))&amp;""</f>
        <v>圣洁灵光</v>
      </c>
      <c r="AC478" s="394" t="str">
        <f>IFERROR(IF(AND($Q479&lt;&gt;"",IF(法术查询!$J$4="",1,INDEX($R479:$Z479,1,VLOOKUP(法术查询!$J$4,$AF$2:$AG$10,2,0)))&lt;&gt;"",IF(法术查询!$J$5="",1,$P479=VLOOKUP(法术查询!$J$5,$AH$2:$AI$11,2,0)),IF(法术查询!$J$6="",1,IF(法术查询!$J$6=$E479,1,0)),IF(法术查询!$J$7="",1,SEARCH(法术查询!$J$7,$F479)),IF(法术查询!$J$8="",1,SEARCH(法术查询!$J$8,G479)),IF(法术查询!$J$9="",1,SEARCH(法术查询!$J$9,N479)),IF(法术查询!$J$10="",1,IF(法术查询!$J$10=$AF$11,IF($M479=1,1,0),IF($M479="",1,0))),IF(法术查询!$J$11="",1,IF(法术查询!$J$11=$AF$11,IF($D479=1,1,0),IF($D479="",1,0))),IF(法术查询!$J$12="",1,SEARCH(法术查询!$J$12,$B479&amp;$C479&amp;$O479)),IF(法术查询!$J$13="",1,SEARCH(法术查询!$J$13,$B479&amp;$C479&amp;$O479)),IF(法术查询!$J$14="",1,SEARCH(法术查询!$J$14,$B479&amp;$C479&amp;$O479)),IF(法术查询!$J$16="",1,IF(法术查询!$J$16=$AF$11,IF($H479=1,1,0),IF($H479="",1,0))),IF(法术查询!$J$17="",1,IF(法术查询!$J$17=$AF$11,IF($I479=1,1,0),IF($I479="",1,0))),IF(法术查询!$J$18="",1,IF(法术查询!$J$18=$AF$11,IF($J479&lt;&gt;"",1,0),IF($J479="",1,0))),IF(法术查询!$J$19="",1,IF(法术查询!$J$19=$AF$11,IF($L479&lt;&gt;"",1,0),IF($L479="",1,0)))),$B479,""),"")</f>
        <v/>
      </c>
      <c r="AD478" s="180" t="str">
        <f t="array" ref="AD478">INDEX(AC:AC,SMALL(IF($AC$2:$AC$516&lt;&gt;"",ROW($2:$516),517),ROW(AC477)))&amp;""</f>
        <v/>
      </c>
      <c r="AE478" s="198" t="str">
        <f t="shared" si="11"/>
        <v/>
      </c>
    </row>
    <row r="479" spans="1:31" ht="14.4" customHeight="1" x14ac:dyDescent="0.25">
      <c r="A479" s="250">
        <v>477</v>
      </c>
      <c r="B479" s="119" t="s">
        <v>8278</v>
      </c>
      <c r="C479" s="119" t="s">
        <v>8279</v>
      </c>
      <c r="E479" s="434" t="s">
        <v>6304</v>
      </c>
      <c r="F479" s="180" t="s">
        <v>6282</v>
      </c>
      <c r="G479" s="180" t="s">
        <v>6433</v>
      </c>
      <c r="H479" s="180">
        <v>1</v>
      </c>
      <c r="I479" s="180">
        <v>1</v>
      </c>
      <c r="J479" s="180">
        <v>1</v>
      </c>
      <c r="K479" s="119" t="s">
        <v>8280</v>
      </c>
      <c r="M479" s="180">
        <v>1</v>
      </c>
      <c r="N479" s="180" t="s">
        <v>6306</v>
      </c>
      <c r="O479" s="119" t="s">
        <v>8281</v>
      </c>
      <c r="P479" s="119">
        <v>8</v>
      </c>
      <c r="Q479" s="119" t="s">
        <v>242</v>
      </c>
      <c r="S479" s="180">
        <v>1</v>
      </c>
      <c r="T479" s="180">
        <v>1</v>
      </c>
      <c r="W479" s="180">
        <v>1</v>
      </c>
      <c r="AA479" s="198"/>
      <c r="AB479" s="250" t="str">
        <f t="array" ref="AB479">INDEX(B:B,SMALL(IF($Q$3:$Q$517&lt;&gt;"",ROW($3:$517),518),ROW(B478)))&amp;""</f>
        <v>焚云术</v>
      </c>
      <c r="AC479" s="394" t="str">
        <f>IFERROR(IF(AND($Q480&lt;&gt;"",IF(法术查询!$J$4="",1,INDEX($R480:$Z480,1,VLOOKUP(法术查询!$J$4,$AF$2:$AG$10,2,0)))&lt;&gt;"",IF(法术查询!$J$5="",1,$P480=VLOOKUP(法术查询!$J$5,$AH$2:$AI$11,2,0)),IF(法术查询!$J$6="",1,IF(法术查询!$J$6=$E480,1,0)),IF(法术查询!$J$7="",1,SEARCH(法术查询!$J$7,$F480)),IF(法术查询!$J$8="",1,SEARCH(法术查询!$J$8,G480)),IF(法术查询!$J$9="",1,SEARCH(法术查询!$J$9,N480)),IF(法术查询!$J$10="",1,IF(法术查询!$J$10=$AF$11,IF($M480=1,1,0),IF($M480="",1,0))),IF(法术查询!$J$11="",1,IF(法术查询!$J$11=$AF$11,IF($D480=1,1,0),IF($D480="",1,0))),IF(法术查询!$J$12="",1,SEARCH(法术查询!$J$12,$B480&amp;$C480&amp;$O480)),IF(法术查询!$J$13="",1,SEARCH(法术查询!$J$13,$B480&amp;$C480&amp;$O480)),IF(法术查询!$J$14="",1,SEARCH(法术查询!$J$14,$B480&amp;$C480&amp;$O480)),IF(法术查询!$J$16="",1,IF(法术查询!$J$16=$AF$11,IF($H480=1,1,0),IF($H480="",1,0))),IF(法术查询!$J$17="",1,IF(法术查询!$J$17=$AF$11,IF($I480=1,1,0),IF($I480="",1,0))),IF(法术查询!$J$18="",1,IF(法术查询!$J$18=$AF$11,IF($J480&lt;&gt;"",1,0),IF($J480="",1,0))),IF(法术查询!$J$19="",1,IF(法术查询!$J$19=$AF$11,IF($L480&lt;&gt;"",1,0),IF($L480="",1,0)))),$B480,""),"")</f>
        <v/>
      </c>
      <c r="AD479" s="180" t="str">
        <f t="array" ref="AD479">INDEX(AC:AC,SMALL(IF($AC$2:$AC$516&lt;&gt;"",ROW($2:$516),517),ROW(AC478)))&amp;""</f>
        <v/>
      </c>
      <c r="AE479" s="198" t="str">
        <f t="shared" si="11"/>
        <v/>
      </c>
    </row>
    <row r="480" spans="1:31" ht="14.4" customHeight="1" x14ac:dyDescent="0.25">
      <c r="A480" s="250">
        <v>478</v>
      </c>
      <c r="B480" s="119" t="s">
        <v>8282</v>
      </c>
      <c r="C480" s="119" t="s">
        <v>8283</v>
      </c>
      <c r="E480" s="379" t="s">
        <v>6328</v>
      </c>
      <c r="F480" s="180" t="s">
        <v>6282</v>
      </c>
      <c r="G480" s="180" t="s">
        <v>6419</v>
      </c>
      <c r="H480" s="180">
        <v>1</v>
      </c>
      <c r="I480" s="180">
        <v>1</v>
      </c>
      <c r="J480" s="180">
        <v>1</v>
      </c>
      <c r="K480" s="119" t="s">
        <v>8284</v>
      </c>
      <c r="N480" s="180" t="s">
        <v>6284</v>
      </c>
      <c r="O480" s="119" t="s">
        <v>8285</v>
      </c>
      <c r="P480" s="119">
        <v>8</v>
      </c>
      <c r="Q480" s="119" t="s">
        <v>242</v>
      </c>
      <c r="R480" s="180">
        <v>1</v>
      </c>
      <c r="T480" s="180">
        <v>1</v>
      </c>
      <c r="X480" s="180">
        <v>1</v>
      </c>
      <c r="Y480" s="180">
        <v>1</v>
      </c>
      <c r="AA480" s="198"/>
      <c r="AB480" s="250" t="str">
        <f t="array" ref="AB480">INDEX(B:B,SMALL(IF($Q$3:$Q$517&lt;&gt;"",ROW($3:$517),518),ROW(B479)))&amp;""</f>
        <v>迷宫术</v>
      </c>
      <c r="AC480" s="394" t="str">
        <f>IFERROR(IF(AND($Q481&lt;&gt;"",IF(法术查询!$J$4="",1,INDEX($R481:$Z481,1,VLOOKUP(法术查询!$J$4,$AF$2:$AG$10,2,0)))&lt;&gt;"",IF(法术查询!$J$5="",1,$P481=VLOOKUP(法术查询!$J$5,$AH$2:$AI$11,2,0)),IF(法术查询!$J$6="",1,IF(法术查询!$J$6=$E481,1,0)),IF(法术查询!$J$7="",1,SEARCH(法术查询!$J$7,$F481)),IF(法术查询!$J$8="",1,SEARCH(法术查询!$J$8,G481)),IF(法术查询!$J$9="",1,SEARCH(法术查询!$J$9,N481)),IF(法术查询!$J$10="",1,IF(法术查询!$J$10=$AF$11,IF($M481=1,1,0),IF($M481="",1,0))),IF(法术查询!$J$11="",1,IF(法术查询!$J$11=$AF$11,IF($D481=1,1,0),IF($D481="",1,0))),IF(法术查询!$J$12="",1,SEARCH(法术查询!$J$12,$B481&amp;$C481&amp;$O481)),IF(法术查询!$J$13="",1,SEARCH(法术查询!$J$13,$B481&amp;$C481&amp;$O481)),IF(法术查询!$J$14="",1,SEARCH(法术查询!$J$14,$B481&amp;$C481&amp;$O481)),IF(法术查询!$J$16="",1,IF(法术查询!$J$16=$AF$11,IF($H481=1,1,0),IF($H481="",1,0))),IF(法术查询!$J$17="",1,IF(法术查询!$J$17=$AF$11,IF($I481=1,1,0),IF($I481="",1,0))),IF(法术查询!$J$18="",1,IF(法术查询!$J$18=$AF$11,IF($J481&lt;&gt;"",1,0),IF($J481="",1,0))),IF(法术查询!$J$19="",1,IF(法术查询!$J$19=$AF$11,IF($L481&lt;&gt;"",1,0),IF($L481="",1,0)))),$B481,""),"")</f>
        <v/>
      </c>
      <c r="AD480" s="180" t="str">
        <f t="array" ref="AD480">INDEX(AC:AC,SMALL(IF($AC$2:$AC$516&lt;&gt;"",ROW($2:$516),517),ROW(AC479)))&amp;""</f>
        <v/>
      </c>
      <c r="AE480" s="198" t="str">
        <f t="shared" si="11"/>
        <v/>
      </c>
    </row>
    <row r="481" spans="1:31" ht="14.4" customHeight="1" x14ac:dyDescent="0.25">
      <c r="A481" s="250">
        <v>479</v>
      </c>
      <c r="B481" s="119" t="s">
        <v>8286</v>
      </c>
      <c r="C481" s="119" t="s">
        <v>8287</v>
      </c>
      <c r="E481" s="435" t="s">
        <v>6312</v>
      </c>
      <c r="F481" s="180" t="s">
        <v>6282</v>
      </c>
      <c r="G481" s="180" t="s">
        <v>6291</v>
      </c>
      <c r="H481" s="180">
        <v>1</v>
      </c>
      <c r="N481" s="180" t="s">
        <v>6344</v>
      </c>
      <c r="O481" s="119" t="s">
        <v>8288</v>
      </c>
      <c r="P481" s="119">
        <v>8</v>
      </c>
      <c r="Q481" s="119" t="s">
        <v>242</v>
      </c>
      <c r="R481" s="180">
        <v>1</v>
      </c>
      <c r="Y481" s="180">
        <v>1</v>
      </c>
      <c r="AA481" s="198"/>
      <c r="AB481" s="250" t="str">
        <f t="array" ref="AB481">INDEX(B:B,SMALL(IF($Q$3:$Q$517&lt;&gt;"",ROW($3:$517),518),ROW(B480)))&amp;""</f>
        <v>心灵屏障</v>
      </c>
      <c r="AC481" s="394" t="str">
        <f>IFERROR(IF(AND($Q482&lt;&gt;"",IF(法术查询!$J$4="",1,INDEX($R482:$Z482,1,VLOOKUP(法术查询!$J$4,$AF$2:$AG$10,2,0)))&lt;&gt;"",IF(法术查询!$J$5="",1,$P482=VLOOKUP(法术查询!$J$5,$AH$2:$AI$11,2,0)),IF(法术查询!$J$6="",1,IF(法术查询!$J$6=$E482,1,0)),IF(法术查询!$J$7="",1,SEARCH(法术查询!$J$7,$F482)),IF(法术查询!$J$8="",1,SEARCH(法术查询!$J$8,G482)),IF(法术查询!$J$9="",1,SEARCH(法术查询!$J$9,N482)),IF(法术查询!$J$10="",1,IF(法术查询!$J$10=$AF$11,IF($M482=1,1,0),IF($M482="",1,0))),IF(法术查询!$J$11="",1,IF(法术查询!$J$11=$AF$11,IF($D482=1,1,0),IF($D482="",1,0))),IF(法术查询!$J$12="",1,SEARCH(法术查询!$J$12,$B482&amp;$C482&amp;$O482)),IF(法术查询!$J$13="",1,SEARCH(法术查询!$J$13,$B482&amp;$C482&amp;$O482)),IF(法术查询!$J$14="",1,SEARCH(法术查询!$J$14,$B482&amp;$C482&amp;$O482)),IF(法术查询!$J$16="",1,IF(法术查询!$J$16=$AF$11,IF($H482=1,1,0),IF($H482="",1,0))),IF(法术查询!$J$17="",1,IF(法术查询!$J$17=$AF$11,IF($I482=1,1,0),IF($I482="",1,0))),IF(法术查询!$J$18="",1,IF(法术查询!$J$18=$AF$11,IF($J482&lt;&gt;"",1,0),IF($J482="",1,0))),IF(法术查询!$J$19="",1,IF(法术查询!$J$19=$AF$11,IF($L482&lt;&gt;"",1,0),IF($L482="",1,0)))),$B482,""),"")</f>
        <v/>
      </c>
      <c r="AD481" s="180" t="str">
        <f t="array" ref="AD481">INDEX(AC:AC,SMALL(IF($AC$2:$AC$516&lt;&gt;"",ROW($2:$516),517),ROW(AC480)))&amp;""</f>
        <v/>
      </c>
      <c r="AE481" s="198" t="str">
        <f t="shared" si="11"/>
        <v/>
      </c>
    </row>
    <row r="482" spans="1:31" ht="14.4" customHeight="1" x14ac:dyDescent="0.25">
      <c r="A482" s="250">
        <v>480</v>
      </c>
      <c r="B482" s="119" t="s">
        <v>8289</v>
      </c>
      <c r="C482" s="119" t="s">
        <v>8290</v>
      </c>
      <c r="E482" s="440" t="s">
        <v>6290</v>
      </c>
      <c r="F482" s="180" t="s">
        <v>6282</v>
      </c>
      <c r="G482" s="180" t="s">
        <v>6291</v>
      </c>
      <c r="H482" s="180">
        <v>1</v>
      </c>
      <c r="I482" s="180">
        <v>1</v>
      </c>
      <c r="J482" s="180">
        <v>1</v>
      </c>
      <c r="K482" s="119" t="s">
        <v>8291</v>
      </c>
      <c r="M482" s="180">
        <v>1</v>
      </c>
      <c r="N482" s="180" t="s">
        <v>6306</v>
      </c>
      <c r="O482" s="119" t="s">
        <v>8292</v>
      </c>
      <c r="P482" s="119">
        <v>8</v>
      </c>
      <c r="Q482" s="119" t="s">
        <v>242</v>
      </c>
      <c r="S482" s="180">
        <v>1</v>
      </c>
      <c r="AA482" s="198"/>
      <c r="AB482" s="250" t="str">
        <f t="array" ref="AB482">INDEX(B:B,SMALL(IF($Q$3:$Q$517&lt;&gt;"",ROW($3:$517),518),ROW(B481)))&amp;""</f>
        <v>律令震慑</v>
      </c>
      <c r="AC482" s="394" t="str">
        <f>IFERROR(IF(AND($Q483&lt;&gt;"",IF(法术查询!$J$4="",1,INDEX($R483:$Z483,1,VLOOKUP(法术查询!$J$4,$AF$2:$AG$10,2,0)))&lt;&gt;"",IF(法术查询!$J$5="",1,$P483=VLOOKUP(法术查询!$J$5,$AH$2:$AI$11,2,0)),IF(法术查询!$J$6="",1,IF(法术查询!$J$6=$E483,1,0)),IF(法术查询!$J$7="",1,SEARCH(法术查询!$J$7,$F483)),IF(法术查询!$J$8="",1,SEARCH(法术查询!$J$8,G483)),IF(法术查询!$J$9="",1,SEARCH(法术查询!$J$9,N483)),IF(法术查询!$J$10="",1,IF(法术查询!$J$10=$AF$11,IF($M483=1,1,0),IF($M483="",1,0))),IF(法术查询!$J$11="",1,IF(法术查询!$J$11=$AF$11,IF($D483=1,1,0),IF($D483="",1,0))),IF(法术查询!$J$12="",1,SEARCH(法术查询!$J$12,$B483&amp;$C483&amp;$O483)),IF(法术查询!$J$13="",1,SEARCH(法术查询!$J$13,$B483&amp;$C483&amp;$O483)),IF(法术查询!$J$14="",1,SEARCH(法术查询!$J$14,$B483&amp;$C483&amp;$O483)),IF(法术查询!$J$16="",1,IF(法术查询!$J$16=$AF$11,IF($H483=1,1,0),IF($H483="",1,0))),IF(法术查询!$J$17="",1,IF(法术查询!$J$17=$AF$11,IF($I483=1,1,0),IF($I483="",1,0))),IF(法术查询!$J$18="",1,IF(法术查询!$J$18=$AF$11,IF($J483&lt;&gt;"",1,0),IF($J483="",1,0))),IF(法术查询!$J$19="",1,IF(法术查询!$J$19=$AF$11,IF($L483&lt;&gt;"",1,0),IF($L483="",1,0)))),$B483,""),"")</f>
        <v/>
      </c>
      <c r="AD482" s="180" t="str">
        <f t="array" ref="AD482">INDEX(AC:AC,SMALL(IF($AC$2:$AC$516&lt;&gt;"",ROW($2:$516),517),ROW(AC481)))&amp;""</f>
        <v/>
      </c>
      <c r="AE482" s="198" t="str">
        <f t="shared" si="11"/>
        <v/>
      </c>
    </row>
    <row r="483" spans="1:31" ht="14.4" customHeight="1" x14ac:dyDescent="0.25">
      <c r="A483" s="250">
        <v>481</v>
      </c>
      <c r="B483" s="119" t="s">
        <v>8293</v>
      </c>
      <c r="C483" s="119" t="s">
        <v>8294</v>
      </c>
      <c r="E483" s="378" t="s">
        <v>6281</v>
      </c>
      <c r="F483" s="180" t="s">
        <v>6282</v>
      </c>
      <c r="G483" s="180" t="s">
        <v>6419</v>
      </c>
      <c r="H483" s="180">
        <v>1</v>
      </c>
      <c r="I483" s="180">
        <v>1</v>
      </c>
      <c r="M483" s="180">
        <v>1</v>
      </c>
      <c r="N483" s="180" t="s">
        <v>6306</v>
      </c>
      <c r="O483" s="119" t="s">
        <v>8295</v>
      </c>
      <c r="P483" s="119">
        <v>8</v>
      </c>
      <c r="Q483" s="119" t="s">
        <v>242</v>
      </c>
      <c r="T483" s="180" t="str">
        <f>IF(综合数据!$B$14=TRUE,"13","")</f>
        <v>13</v>
      </c>
      <c r="W483" s="180">
        <v>1</v>
      </c>
      <c r="X483" s="180">
        <v>1</v>
      </c>
      <c r="AA483" s="198"/>
      <c r="AB483" s="250" t="str">
        <f t="array" ref="AB483">INDEX(B:B,SMALL(IF($Q$3:$Q$517&lt;&gt;"",ROW($3:$517),518),ROW(B482)))&amp;""</f>
        <v>阳炎爆</v>
      </c>
      <c r="AC483" s="394" t="str">
        <f>IFERROR(IF(AND($Q484&lt;&gt;"",IF(法术查询!$J$4="",1,INDEX($R484:$Z484,1,VLOOKUP(法术查询!$J$4,$AF$2:$AG$10,2,0)))&lt;&gt;"",IF(法术查询!$J$5="",1,$P484=VLOOKUP(法术查询!$J$5,$AH$2:$AI$11,2,0)),IF(法术查询!$J$6="",1,IF(法术查询!$J$6=$E484,1,0)),IF(法术查询!$J$7="",1,SEARCH(法术查询!$J$7,$F484)),IF(法术查询!$J$8="",1,SEARCH(法术查询!$J$8,G484)),IF(法术查询!$J$9="",1,SEARCH(法术查询!$J$9,N484)),IF(法术查询!$J$10="",1,IF(法术查询!$J$10=$AF$11,IF($M484=1,1,0),IF($M484="",1,0))),IF(法术查询!$J$11="",1,IF(法术查询!$J$11=$AF$11,IF($D484=1,1,0),IF($D484="",1,0))),IF(法术查询!$J$12="",1,SEARCH(法术查询!$J$12,$B484&amp;$C484&amp;$O484)),IF(法术查询!$J$13="",1,SEARCH(法术查询!$J$13,$B484&amp;$C484&amp;$O484)),IF(法术查询!$J$14="",1,SEARCH(法术查询!$J$14,$B484&amp;$C484&amp;$O484)),IF(法术查询!$J$16="",1,IF(法术查询!$J$16=$AF$11,IF($H484=1,1,0),IF($H484="",1,0))),IF(法术查询!$J$17="",1,IF(法术查询!$J$17=$AF$11,IF($I484=1,1,0),IF($I484="",1,0))),IF(法术查询!$J$18="",1,IF(法术查询!$J$18=$AF$11,IF($J484&lt;&gt;"",1,0),IF($J484="",1,0))),IF(法术查询!$J$19="",1,IF(法术查询!$J$19=$AF$11,IF($L484&lt;&gt;"",1,0),IF($L484="",1,0)))),$B484,""),"")</f>
        <v/>
      </c>
      <c r="AD483" s="180" t="str">
        <f t="array" ref="AD483">INDEX(AC:AC,SMALL(IF($AC$2:$AC$516&lt;&gt;"",ROW($2:$516),517),ROW(AC482)))&amp;""</f>
        <v/>
      </c>
      <c r="AE483" s="198" t="str">
        <f t="shared" si="11"/>
        <v/>
      </c>
    </row>
    <row r="484" spans="1:31" ht="14.4" customHeight="1" x14ac:dyDescent="0.25">
      <c r="A484" s="250">
        <v>482</v>
      </c>
      <c r="B484" s="119" t="s">
        <v>8296</v>
      </c>
      <c r="C484" s="119" t="s">
        <v>8297</v>
      </c>
      <c r="E484" s="378" t="s">
        <v>6281</v>
      </c>
      <c r="F484" s="180" t="s">
        <v>6282</v>
      </c>
      <c r="G484" s="180" t="s">
        <v>6283</v>
      </c>
      <c r="H484" s="180">
        <v>1</v>
      </c>
      <c r="I484" s="180">
        <v>1</v>
      </c>
      <c r="M484" s="180">
        <v>1</v>
      </c>
      <c r="N484" s="180" t="s">
        <v>6471</v>
      </c>
      <c r="O484" s="119" t="s">
        <v>8298</v>
      </c>
      <c r="P484" s="119">
        <v>8</v>
      </c>
      <c r="Q484" s="119" t="s">
        <v>242</v>
      </c>
      <c r="X484" s="180">
        <v>1</v>
      </c>
      <c r="AA484" s="198"/>
      <c r="AB484" s="250" t="str">
        <f t="array" ref="AB484">INDEX(B:B,SMALL(IF($Q$3:$Q$517&lt;&gt;"",ROW($3:$517),518),ROW(B483)))&amp;""</f>
        <v>心灵感应</v>
      </c>
      <c r="AC484" s="394" t="str">
        <f>IFERROR(IF(AND($Q485&lt;&gt;"",IF(法术查询!$J$4="",1,INDEX($R485:$Z485,1,VLOOKUP(法术查询!$J$4,$AF$2:$AG$10,2,0)))&lt;&gt;"",IF(法术查询!$J$5="",1,$P485=VLOOKUP(法术查询!$J$5,$AH$2:$AI$11,2,0)),IF(法术查询!$J$6="",1,IF(法术查询!$J$6=$E485,1,0)),IF(法术查询!$J$7="",1,SEARCH(法术查询!$J$7,$F485)),IF(法术查询!$J$8="",1,SEARCH(法术查询!$J$8,G485)),IF(法术查询!$J$9="",1,SEARCH(法术查询!$J$9,N485)),IF(法术查询!$J$10="",1,IF(法术查询!$J$10=$AF$11,IF($M485=1,1,0),IF($M485="",1,0))),IF(法术查询!$J$11="",1,IF(法术查询!$J$11=$AF$11,IF($D485=1,1,0),IF($D485="",1,0))),IF(法术查询!$J$12="",1,SEARCH(法术查询!$J$12,$B485&amp;$C485&amp;$O485)),IF(法术查询!$J$13="",1,SEARCH(法术查询!$J$13,$B485&amp;$C485&amp;$O485)),IF(法术查询!$J$14="",1,SEARCH(法术查询!$J$14,$B485&amp;$C485&amp;$O485)),IF(法术查询!$J$16="",1,IF(法术查询!$J$16=$AF$11,IF($H485=1,1,0),IF($H485="",1,0))),IF(法术查询!$J$17="",1,IF(法术查询!$J$17=$AF$11,IF($I485=1,1,0),IF($I485="",1,0))),IF(法术查询!$J$18="",1,IF(法术查询!$J$18=$AF$11,IF($J485&lt;&gt;"",1,0),IF($J485="",1,0))),IF(法术查询!$J$19="",1,IF(法术查询!$J$19=$AF$11,IF($L485&lt;&gt;"",1,0),IF($L485="",1,0)))),$B485,""),"")</f>
        <v/>
      </c>
      <c r="AD484" s="180" t="str">
        <f t="array" ref="AD484">INDEX(AC:AC,SMALL(IF($AC$2:$AC$516&lt;&gt;"",ROW($2:$516),517),ROW(AC483)))&amp;""</f>
        <v/>
      </c>
      <c r="AE484" s="198" t="str">
        <f t="shared" si="11"/>
        <v/>
      </c>
    </row>
    <row r="485" spans="1:31" ht="14.4" customHeight="1" x14ac:dyDescent="0.25">
      <c r="A485" s="250">
        <v>483</v>
      </c>
      <c r="B485" s="119" t="s">
        <v>8299</v>
      </c>
      <c r="C485" s="119" t="s">
        <v>8300</v>
      </c>
      <c r="E485" s="440" t="s">
        <v>6290</v>
      </c>
      <c r="F485" s="180" t="s">
        <v>6282</v>
      </c>
      <c r="G485" s="180" t="s">
        <v>3682</v>
      </c>
      <c r="H485" s="180">
        <v>1</v>
      </c>
      <c r="I485" s="180">
        <v>1</v>
      </c>
      <c r="N485" s="180" t="s">
        <v>6399</v>
      </c>
      <c r="O485" s="119" t="s">
        <v>8301</v>
      </c>
      <c r="P485" s="119">
        <v>8</v>
      </c>
      <c r="Q485" s="119" t="s">
        <v>242</v>
      </c>
      <c r="R485" s="180">
        <v>1</v>
      </c>
      <c r="X485" s="180">
        <v>1</v>
      </c>
      <c r="AA485" s="198"/>
      <c r="AB485" s="250" t="str">
        <f t="array" ref="AB485">INDEX(B:B,SMALL(IF($Q$3:$Q$517&lt;&gt;"",ROW($3:$517),518),ROW(B484)))&amp;""</f>
        <v>海啸术</v>
      </c>
      <c r="AC485" s="394" t="str">
        <f>IFERROR(IF(AND($Q486&lt;&gt;"",IF(法术查询!$J$4="",1,INDEX($R486:$Z486,1,VLOOKUP(法术查询!$J$4,$AF$2:$AG$10,2,0)))&lt;&gt;"",IF(法术查询!$J$5="",1,$P486=VLOOKUP(法术查询!$J$5,$AH$2:$AI$11,2,0)),IF(法术查询!$J$6="",1,IF(法术查询!$J$6=$E486,1,0)),IF(法术查询!$J$7="",1,SEARCH(法术查询!$J$7,$F486)),IF(法术查询!$J$8="",1,SEARCH(法术查询!$J$8,G486)),IF(法术查询!$J$9="",1,SEARCH(法术查询!$J$9,N486)),IF(法术查询!$J$10="",1,IF(法术查询!$J$10=$AF$11,IF($M486=1,1,0),IF($M486="",1,0))),IF(法术查询!$J$11="",1,IF(法术查询!$J$11=$AF$11,IF($D486=1,1,0),IF($D486="",1,0))),IF(法术查询!$J$12="",1,SEARCH(法术查询!$J$12,$B486&amp;$C486&amp;$O486)),IF(法术查询!$J$13="",1,SEARCH(法术查询!$J$13,$B486&amp;$C486&amp;$O486)),IF(法术查询!$J$14="",1,SEARCH(法术查询!$J$14,$B486&amp;$C486&amp;$O486)),IF(法术查询!$J$16="",1,IF(法术查询!$J$16=$AF$11,IF($H486=1,1,0),IF($H486="",1,0))),IF(法术查询!$J$17="",1,IF(法术查询!$J$17=$AF$11,IF($I486=1,1,0),IF($I486="",1,0))),IF(法术查询!$J$18="",1,IF(法术查询!$J$18=$AF$11,IF($J486&lt;&gt;"",1,0),IF($J486="",1,0))),IF(法术查询!$J$19="",1,IF(法术查询!$J$19=$AF$11,IF($L486&lt;&gt;"",1,0),IF($L486="",1,0)))),$B486,""),"")</f>
        <v/>
      </c>
      <c r="AD485" s="180" t="str">
        <f t="array" ref="AD485">INDEX(AC:AC,SMALL(IF($AC$2:$AC$516&lt;&gt;"",ROW($2:$516),517),ROW(AC484)))&amp;""</f>
        <v/>
      </c>
      <c r="AE485" s="198" t="str">
        <f t="shared" si="11"/>
        <v/>
      </c>
    </row>
    <row r="486" spans="1:31" ht="14.4" customHeight="1" x14ac:dyDescent="0.25">
      <c r="A486" s="250">
        <v>484</v>
      </c>
      <c r="B486" s="119" t="s">
        <v>8302</v>
      </c>
      <c r="C486" s="119" t="s">
        <v>8303</v>
      </c>
      <c r="E486" s="379" t="s">
        <v>6328</v>
      </c>
      <c r="F486" s="180" t="s">
        <v>6282</v>
      </c>
      <c r="G486" s="180" t="s">
        <v>6283</v>
      </c>
      <c r="H486" s="180">
        <v>1</v>
      </c>
      <c r="N486" s="180" t="s">
        <v>6284</v>
      </c>
      <c r="O486" s="119" t="s">
        <v>8304</v>
      </c>
      <c r="P486" s="119">
        <v>8</v>
      </c>
      <c r="Q486" s="119" t="s">
        <v>242</v>
      </c>
      <c r="R486" s="180">
        <v>1</v>
      </c>
      <c r="W486" s="180">
        <v>1</v>
      </c>
      <c r="X486" s="180">
        <v>1</v>
      </c>
      <c r="Y486" s="180">
        <v>1</v>
      </c>
      <c r="AA486" s="198"/>
      <c r="AB486" s="250" t="str">
        <f t="array" ref="AB486">INDEX(B:B,SMALL(IF($Q$3:$Q$517&lt;&gt;"",ROW($3:$517),518),ROW(B485)))&amp;""</f>
        <v>亚比达奇凋死术</v>
      </c>
      <c r="AC486" s="394" t="str">
        <f>IFERROR(IF(AND($Q487&lt;&gt;"",IF(法术查询!$J$4="",1,INDEX($R487:$Z487,1,VLOOKUP(法术查询!$J$4,$AF$2:$AG$10,2,0)))&lt;&gt;"",IF(法术查询!$J$5="",1,$P487=VLOOKUP(法术查询!$J$5,$AH$2:$AI$11,2,0)),IF(法术查询!$J$6="",1,IF(法术查询!$J$6=$E487,1,0)),IF(法术查询!$J$7="",1,SEARCH(法术查询!$J$7,$F487)),IF(法术查询!$J$8="",1,SEARCH(法术查询!$J$8,G487)),IF(法术查询!$J$9="",1,SEARCH(法术查询!$J$9,N487)),IF(法术查询!$J$10="",1,IF(法术查询!$J$10=$AF$11,IF($M487=1,1,0),IF($M487="",1,0))),IF(法术查询!$J$11="",1,IF(法术查询!$J$11=$AF$11,IF($D487=1,1,0),IF($D487="",1,0))),IF(法术查询!$J$12="",1,SEARCH(法术查询!$J$12,$B487&amp;$C487&amp;$O487)),IF(法术查询!$J$13="",1,SEARCH(法术查询!$J$13,$B487&amp;$C487&amp;$O487)),IF(法术查询!$J$14="",1,SEARCH(法术查询!$J$14,$B487&amp;$C487&amp;$O487)),IF(法术查询!$J$16="",1,IF(法术查询!$J$16=$AF$11,IF($H487=1,1,0),IF($H487="",1,0))),IF(法术查询!$J$17="",1,IF(法术查询!$J$17=$AF$11,IF($I487=1,1,0),IF($I487="",1,0))),IF(法术查询!$J$18="",1,IF(法术查询!$J$18=$AF$11,IF($J487&lt;&gt;"",1,0),IF($J487="",1,0))),IF(法术查询!$J$19="",1,IF(法术查询!$J$19=$AF$11,IF($L487&lt;&gt;"",1,0),IF($L487="",1,0)))),$B487,""),"")</f>
        <v/>
      </c>
      <c r="AD486" s="180" t="str">
        <f t="array" ref="AD486">INDEX(AC:AC,SMALL(IF($AC$2:$AC$516&lt;&gt;"",ROW($2:$516),517),ROW(AC485)))&amp;""</f>
        <v/>
      </c>
      <c r="AE486" s="198" t="str">
        <f t="shared" si="11"/>
        <v/>
      </c>
    </row>
    <row r="487" spans="1:31" ht="14.4" customHeight="1" x14ac:dyDescent="0.25">
      <c r="A487" s="250">
        <v>485</v>
      </c>
      <c r="B487" s="119" t="s">
        <v>8305</v>
      </c>
      <c r="C487" s="119" t="s">
        <v>8306</v>
      </c>
      <c r="E487" s="434" t="s">
        <v>6304</v>
      </c>
      <c r="F487" s="180" t="s">
        <v>6282</v>
      </c>
      <c r="G487" s="180" t="s">
        <v>6419</v>
      </c>
      <c r="H487" s="180">
        <v>1</v>
      </c>
      <c r="I487" s="180">
        <v>1</v>
      </c>
      <c r="J487" s="180">
        <v>1</v>
      </c>
      <c r="K487" s="119" t="s">
        <v>8307</v>
      </c>
      <c r="N487" s="180" t="s">
        <v>6284</v>
      </c>
      <c r="O487" s="119" t="s">
        <v>8308</v>
      </c>
      <c r="P487" s="119">
        <v>8</v>
      </c>
      <c r="Q487" s="119" t="s">
        <v>242</v>
      </c>
      <c r="S487" s="180" t="str">
        <f>IF(综合数据!$B$14=TRUE,"13","")</f>
        <v>13</v>
      </c>
      <c r="T487" s="180">
        <v>1</v>
      </c>
      <c r="W487" s="180">
        <v>1</v>
      </c>
      <c r="X487" s="180">
        <v>1</v>
      </c>
      <c r="AA487" s="198"/>
      <c r="AB487" s="250" t="str">
        <f t="array" ref="AB487">INDEX(B:B,SMALL(IF($Q$3:$Q$517&lt;&gt;"",ROW($3:$517),518),ROW(B486)))&amp;""</f>
        <v>幻影巨龙</v>
      </c>
      <c r="AC487" s="394" t="str">
        <f>IFERROR(IF(AND($Q488&lt;&gt;"",IF(法术查询!$J$4="",1,INDEX($R488:$Z488,1,VLOOKUP(法术查询!$J$4,$AF$2:$AG$10,2,0)))&lt;&gt;"",IF(法术查询!$J$5="",1,$P488=VLOOKUP(法术查询!$J$5,$AH$2:$AI$11,2,0)),IF(法术查询!$J$6="",1,IF(法术查询!$J$6=$E488,1,0)),IF(法术查询!$J$7="",1,SEARCH(法术查询!$J$7,$F488)),IF(法术查询!$J$8="",1,SEARCH(法术查询!$J$8,G488)),IF(法术查询!$J$9="",1,SEARCH(法术查询!$J$9,N488)),IF(法术查询!$J$10="",1,IF(法术查询!$J$10=$AF$11,IF($M488=1,1,0),IF($M488="",1,0))),IF(法术查询!$J$11="",1,IF(法术查询!$J$11=$AF$11,IF($D488=1,1,0),IF($D488="",1,0))),IF(法术查询!$J$12="",1,SEARCH(法术查询!$J$12,$B488&amp;$C488&amp;$O488)),IF(法术查询!$J$13="",1,SEARCH(法术查询!$J$13,$B488&amp;$C488&amp;$O488)),IF(法术查询!$J$14="",1,SEARCH(法术查询!$J$14,$B488&amp;$C488&amp;$O488)),IF(法术查询!$J$16="",1,IF(法术查询!$J$16=$AF$11,IF($H488=1,1,0),IF($H488="",1,0))),IF(法术查询!$J$17="",1,IF(法术查询!$J$17=$AF$11,IF($I488=1,1,0),IF($I488="",1,0))),IF(法术查询!$J$18="",1,IF(法术查询!$J$18=$AF$11,IF($J488&lt;&gt;"",1,0),IF($J488="",1,0))),IF(法术查询!$J$19="",1,IF(法术查询!$J$19=$AF$11,IF($L488&lt;&gt;"",1,0),IF($L488="",1,0)))),$B488,""),"")</f>
        <v/>
      </c>
      <c r="AD487" s="180" t="str">
        <f t="array" ref="AD487">INDEX(AC:AC,SMALL(IF($AC$2:$AC$516&lt;&gt;"",ROW($2:$516),517),ROW(AC486)))&amp;""</f>
        <v/>
      </c>
      <c r="AE487" s="198" t="str">
        <f t="shared" si="11"/>
        <v/>
      </c>
    </row>
    <row r="488" spans="1:31" ht="14.4" customHeight="1" x14ac:dyDescent="0.25">
      <c r="A488" s="250">
        <v>486</v>
      </c>
      <c r="B488" s="119" t="s">
        <v>8309</v>
      </c>
      <c r="C488" s="119" t="s">
        <v>8310</v>
      </c>
      <c r="E488" s="434" t="s">
        <v>6304</v>
      </c>
      <c r="F488" s="180" t="s">
        <v>6282</v>
      </c>
      <c r="G488" s="180" t="s">
        <v>6466</v>
      </c>
      <c r="H488" s="180">
        <v>1</v>
      </c>
      <c r="I488" s="180">
        <v>1</v>
      </c>
      <c r="J488" s="180">
        <v>1</v>
      </c>
      <c r="K488" s="119" t="s">
        <v>8311</v>
      </c>
      <c r="N488" s="180" t="s">
        <v>6399</v>
      </c>
      <c r="O488" s="119" t="s">
        <v>8312</v>
      </c>
      <c r="P488" s="119">
        <v>8</v>
      </c>
      <c r="Q488" s="119" t="s">
        <v>242</v>
      </c>
      <c r="X488" s="180">
        <v>1</v>
      </c>
      <c r="AA488" s="198"/>
      <c r="AB488" s="250" t="str">
        <f t="array" ref="AB488">INDEX(B:B,SMALL(IF($Q$3:$Q$517&lt;&gt;"",ROW($3:$517),518),ROW(B487)))&amp;""</f>
        <v>疯狂之暗</v>
      </c>
      <c r="AC488" s="394" t="str">
        <f>IFERROR(IF(AND($Q489&lt;&gt;"",IF(法术查询!$J$4="",1,INDEX($R489:$Z489,1,VLOOKUP(法术查询!$J$4,$AF$2:$AG$10,2,0)))&lt;&gt;"",IF(法术查询!$J$5="",1,$P489=VLOOKUP(法术查询!$J$5,$AH$2:$AI$11,2,0)),IF(法术查询!$J$6="",1,IF(法术查询!$J$6=$E489,1,0)),IF(法术查询!$J$7="",1,SEARCH(法术查询!$J$7,$F489)),IF(法术查询!$J$8="",1,SEARCH(法术查询!$J$8,G489)),IF(法术查询!$J$9="",1,SEARCH(法术查询!$J$9,N489)),IF(法术查询!$J$10="",1,IF(法术查询!$J$10=$AF$11,IF($M489=1,1,0),IF($M489="",1,0))),IF(法术查询!$J$11="",1,IF(法术查询!$J$11=$AF$11,IF($D489=1,1,0),IF($D489="",1,0))),IF(法术查询!$J$12="",1,SEARCH(法术查询!$J$12,$B489&amp;$C489&amp;$O489)),IF(法术查询!$J$13="",1,SEARCH(法术查询!$J$13,$B489&amp;$C489&amp;$O489)),IF(法术查询!$J$14="",1,SEARCH(法术查询!$J$14,$B489&amp;$C489&amp;$O489)),IF(法术查询!$J$16="",1,IF(法术查询!$J$16=$AF$11,IF($H489=1,1,0),IF($H489="",1,0))),IF(法术查询!$J$17="",1,IF(法术查询!$J$17=$AF$11,IF($I489=1,1,0),IF($I489="",1,0))),IF(法术查询!$J$18="",1,IF(法术查询!$J$18=$AF$11,IF($J489&lt;&gt;"",1,0),IF($J489="",1,0))),IF(法术查询!$J$19="",1,IF(法术查询!$J$19=$AF$11,IF($L489&lt;&gt;"",1,0),IF($L489="",1,0)))),$B489,""),"")</f>
        <v/>
      </c>
      <c r="AD488" s="180" t="str">
        <f t="array" ref="AD488">INDEX(AC:AC,SMALL(IF($AC$2:$AC$516&lt;&gt;"",ROW($2:$516),517),ROW(AC487)))&amp;""</f>
        <v/>
      </c>
      <c r="AE488" s="198" t="str">
        <f t="shared" si="11"/>
        <v/>
      </c>
    </row>
    <row r="489" spans="1:31" ht="14.4" customHeight="1" x14ac:dyDescent="0.25">
      <c r="A489" s="250">
        <v>487</v>
      </c>
      <c r="B489" s="119" t="s">
        <v>8313</v>
      </c>
      <c r="C489" s="119" t="s">
        <v>8314</v>
      </c>
      <c r="E489" s="378" t="s">
        <v>6281</v>
      </c>
      <c r="F489" s="180" t="s">
        <v>6349</v>
      </c>
      <c r="G489" s="180" t="s">
        <v>6460</v>
      </c>
      <c r="H489" s="180">
        <v>1</v>
      </c>
      <c r="I489" s="180">
        <v>1</v>
      </c>
      <c r="M489" s="180">
        <v>1</v>
      </c>
      <c r="N489" s="180" t="s">
        <v>6461</v>
      </c>
      <c r="O489" s="119" t="s">
        <v>8315</v>
      </c>
      <c r="P489" s="119">
        <v>8</v>
      </c>
      <c r="Q489" s="119" t="s">
        <v>242</v>
      </c>
      <c r="T489" s="180">
        <v>1</v>
      </c>
      <c r="AA489" s="198"/>
      <c r="AB489" s="250" t="str">
        <f t="array" ref="AB489">INDEX(B:B,SMALL(IF($Q$3:$Q$517&lt;&gt;"",ROW($3:$517),518),ROW(B488)))&amp;""</f>
        <v>坚固堡垒</v>
      </c>
      <c r="AC489" s="394" t="str">
        <f>IFERROR(IF(AND($Q490&lt;&gt;"",IF(法术查询!$J$4="",1,INDEX($R490:$Z490,1,VLOOKUP(法术查询!$J$4,$AF$2:$AG$10,2,0)))&lt;&gt;"",IF(法术查询!$J$5="",1,$P490=VLOOKUP(法术查询!$J$5,$AH$2:$AI$11,2,0)),IF(法术查询!$J$6="",1,IF(法术查询!$J$6=$E490,1,0)),IF(法术查询!$J$7="",1,SEARCH(法术查询!$J$7,$F490)),IF(法术查询!$J$8="",1,SEARCH(法术查询!$J$8,G490)),IF(法术查询!$J$9="",1,SEARCH(法术查询!$J$9,N490)),IF(法术查询!$J$10="",1,IF(法术查询!$J$10=$AF$11,IF($M490=1,1,0),IF($M490="",1,0))),IF(法术查询!$J$11="",1,IF(法术查询!$J$11=$AF$11,IF($D490=1,1,0),IF($D490="",1,0))),IF(法术查询!$J$12="",1,SEARCH(法术查询!$J$12,$B490&amp;$C490&amp;$O490)),IF(法术查询!$J$13="",1,SEARCH(法术查询!$J$13,$B490&amp;$C490&amp;$O490)),IF(法术查询!$J$14="",1,SEARCH(法术查询!$J$14,$B490&amp;$C490&amp;$O490)),IF(法术查询!$J$16="",1,IF(法术查询!$J$16=$AF$11,IF($H490=1,1,0),IF($H490="",1,0))),IF(法术查询!$J$17="",1,IF(法术查询!$J$17=$AF$11,IF($I490=1,1,0),IF($I490="",1,0))),IF(法术查询!$J$18="",1,IF(法术查询!$J$18=$AF$11,IF($J490&lt;&gt;"",1,0),IF($J490="",1,0))),IF(法术查询!$J$19="",1,IF(法术查询!$J$19=$AF$11,IF($L490&lt;&gt;"",1,0),IF($L490="",1,0)))),$B490,""),"")</f>
        <v/>
      </c>
      <c r="AD489" s="180" t="str">
        <f t="array" ref="AD489">INDEX(AC:AC,SMALL(IF($AC$2:$AC$516&lt;&gt;"",ROW($2:$516),517),ROW(AC488)))&amp;""</f>
        <v/>
      </c>
      <c r="AE489" s="198" t="str">
        <f t="shared" si="11"/>
        <v/>
      </c>
    </row>
    <row r="490" spans="1:31" ht="14.4" customHeight="1" x14ac:dyDescent="0.25">
      <c r="A490" s="250">
        <v>488</v>
      </c>
      <c r="B490" s="119" t="s">
        <v>8316</v>
      </c>
      <c r="C490" s="119" t="s">
        <v>8317</v>
      </c>
      <c r="E490" s="441" t="s">
        <v>6297</v>
      </c>
      <c r="F490" s="180" t="s">
        <v>6282</v>
      </c>
      <c r="G490" s="180" t="s">
        <v>6419</v>
      </c>
      <c r="H490" s="180">
        <v>1</v>
      </c>
      <c r="I490" s="180">
        <v>1</v>
      </c>
      <c r="J490" s="180">
        <v>1</v>
      </c>
      <c r="K490" s="119" t="s">
        <v>8318</v>
      </c>
      <c r="N490" s="180" t="s">
        <v>6284</v>
      </c>
      <c r="O490" s="119" t="s">
        <v>8319</v>
      </c>
      <c r="P490" s="119">
        <v>8</v>
      </c>
      <c r="Q490" s="251" t="str">
        <f>IF(综合数据!$B$7=TRUE,"XGE","")</f>
        <v>XGE</v>
      </c>
      <c r="W490" s="180">
        <v>6</v>
      </c>
      <c r="X490" s="180">
        <v>6</v>
      </c>
      <c r="AA490" s="198"/>
      <c r="AB490" s="250" t="str">
        <f t="array" ref="AB490">INDEX(B:B,SMALL(IF($Q$3:$Q$517&lt;&gt;"",ROW($3:$517),518),ROW(B489)))&amp;""</f>
        <v>暗黑星辰</v>
      </c>
      <c r="AC490" s="394" t="str">
        <f>IFERROR(IF(AND($Q491&lt;&gt;"",IF(法术查询!$J$4="",1,INDEX($R491:$Z491,1,VLOOKUP(法术查询!$J$4,$AF$2:$AG$10,2,0)))&lt;&gt;"",IF(法术查询!$J$5="",1,$P491=VLOOKUP(法术查询!$J$5,$AH$2:$AI$11,2,0)),IF(法术查询!$J$6="",1,IF(法术查询!$J$6=$E491,1,0)),IF(法术查询!$J$7="",1,SEARCH(法术查询!$J$7,$F491)),IF(法术查询!$J$8="",1,SEARCH(法术查询!$J$8,G491)),IF(法术查询!$J$9="",1,SEARCH(法术查询!$J$9,N491)),IF(法术查询!$J$10="",1,IF(法术查询!$J$10=$AF$11,IF($M491=1,1,0),IF($M491="",1,0))),IF(法术查询!$J$11="",1,IF(法术查询!$J$11=$AF$11,IF($D491=1,1,0),IF($D491="",1,0))),IF(法术查询!$J$12="",1,SEARCH(法术查询!$J$12,$B491&amp;$C491&amp;$O491)),IF(法术查询!$J$13="",1,SEARCH(法术查询!$J$13,$B491&amp;$C491&amp;$O491)),IF(法术查询!$J$14="",1,SEARCH(法术查询!$J$14,$B491&amp;$C491&amp;$O491)),IF(法术查询!$J$16="",1,IF(法术查询!$J$16=$AF$11,IF($H491=1,1,0),IF($H491="",1,0))),IF(法术查询!$J$17="",1,IF(法术查询!$J$17=$AF$11,IF($I491=1,1,0),IF($I491="",1,0))),IF(法术查询!$J$18="",1,IF(法术查询!$J$18=$AF$11,IF($J491&lt;&gt;"",1,0),IF($J491="",1,0))),IF(法术查询!$J$19="",1,IF(法术查询!$J$19=$AF$11,IF($L491&lt;&gt;"",1,0),IF($L491="",1,0)))),$B491,""),"")</f>
        <v/>
      </c>
      <c r="AD490" s="180" t="str">
        <f t="array" ref="AD490">INDEX(AC:AC,SMALL(IF($AC$2:$AC$516&lt;&gt;"",ROW($2:$516),517),ROW(AC489)))&amp;""</f>
        <v/>
      </c>
      <c r="AE490" s="198" t="str">
        <f t="shared" si="11"/>
        <v/>
      </c>
    </row>
    <row r="491" spans="1:31" ht="14.4" customHeight="1" x14ac:dyDescent="0.25">
      <c r="A491" s="250">
        <v>489</v>
      </c>
      <c r="B491" s="119" t="s">
        <v>8320</v>
      </c>
      <c r="C491" s="119" t="s">
        <v>8321</v>
      </c>
      <c r="E491" s="285" t="s">
        <v>6366</v>
      </c>
      <c r="F491" s="180" t="s">
        <v>6282</v>
      </c>
      <c r="G491" s="180" t="s">
        <v>6298</v>
      </c>
      <c r="I491" s="180">
        <v>1</v>
      </c>
      <c r="M491" s="180">
        <v>1</v>
      </c>
      <c r="N491" s="180" t="s">
        <v>6306</v>
      </c>
      <c r="O491" s="119" t="s">
        <v>8322</v>
      </c>
      <c r="P491" s="119">
        <v>8</v>
      </c>
      <c r="Q491" s="251" t="str">
        <f>IF(综合数据!$B$7=TRUE,"XGE","")</f>
        <v>XGE</v>
      </c>
      <c r="X491" s="180">
        <v>6</v>
      </c>
      <c r="AA491" s="198"/>
      <c r="AB491" s="250" t="str">
        <f t="array" ref="AB491">INDEX(B:B,SMALL(IF($Q$3:$Q$517&lt;&gt;"",ROW($3:$517),518),ROW(B490)))&amp;""</f>
        <v>崩坏现实</v>
      </c>
      <c r="AC491" s="394" t="str">
        <f>IFERROR(IF(AND($Q492&lt;&gt;"",IF(法术查询!$J$4="",1,INDEX($R492:$Z492,1,VLOOKUP(法术查询!$J$4,$AF$2:$AG$10,2,0)))&lt;&gt;"",IF(法术查询!$J$5="",1,$P492=VLOOKUP(法术查询!$J$5,$AH$2:$AI$11,2,0)),IF(法术查询!$J$6="",1,IF(法术查询!$J$6=$E492,1,0)),IF(法术查询!$J$7="",1,SEARCH(法术查询!$J$7,$F492)),IF(法术查询!$J$8="",1,SEARCH(法术查询!$J$8,G492)),IF(法术查询!$J$9="",1,SEARCH(法术查询!$J$9,N492)),IF(法术查询!$J$10="",1,IF(法术查询!$J$10=$AF$11,IF($M492=1,1,0),IF($M492="",1,0))),IF(法术查询!$J$11="",1,IF(法术查询!$J$11=$AF$11,IF($D492=1,1,0),IF($D492="",1,0))),IF(法术查询!$J$12="",1,SEARCH(法术查询!$J$12,$B492&amp;$C492&amp;$O492)),IF(法术查询!$J$13="",1,SEARCH(法术查询!$J$13,$B492&amp;$C492&amp;$O492)),IF(法术查询!$J$14="",1,SEARCH(法术查询!$J$14,$B492&amp;$C492&amp;$O492)),IF(法术查询!$J$16="",1,IF(法术查询!$J$16=$AF$11,IF($H492=1,1,0),IF($H492="",1,0))),IF(法术查询!$J$17="",1,IF(法术查询!$J$17=$AF$11,IF($I492=1,1,0),IF($I492="",1,0))),IF(法术查询!$J$18="",1,IF(法术查询!$J$18=$AF$11,IF($J492&lt;&gt;"",1,0),IF($J492="",1,0))),IF(法术查询!$J$19="",1,IF(法术查询!$J$19=$AF$11,IF($L492&lt;&gt;"",1,0),IF($L492="",1,0)))),$B492,""),"")</f>
        <v/>
      </c>
      <c r="AD491" s="180" t="str">
        <f t="array" ref="AD491">INDEX(AC:AC,SMALL(IF($AC$2:$AC$516&lt;&gt;"",ROW($2:$516),517),ROW(AC490)))&amp;""</f>
        <v/>
      </c>
      <c r="AE491" s="198" t="str">
        <f t="shared" si="11"/>
        <v/>
      </c>
    </row>
    <row r="492" spans="1:31" ht="14.4" customHeight="1" x14ac:dyDescent="0.25">
      <c r="A492" s="250">
        <v>490</v>
      </c>
      <c r="B492" s="119" t="s">
        <v>8323</v>
      </c>
      <c r="C492" s="119" t="s">
        <v>8324</v>
      </c>
      <c r="E492" s="434" t="s">
        <v>6304</v>
      </c>
      <c r="F492" s="180" t="s">
        <v>6282</v>
      </c>
      <c r="G492" s="180" t="s">
        <v>6419</v>
      </c>
      <c r="H492" s="180">
        <v>1</v>
      </c>
      <c r="J492" s="180">
        <v>1</v>
      </c>
      <c r="K492" s="119" t="s">
        <v>8325</v>
      </c>
      <c r="M492" s="180">
        <v>1</v>
      </c>
      <c r="N492" s="180" t="s">
        <v>6471</v>
      </c>
      <c r="O492" s="119" t="s">
        <v>8326</v>
      </c>
      <c r="P492" s="119">
        <v>8</v>
      </c>
      <c r="Q492" s="251" t="str">
        <f>IF(综合数据!$B$7=TRUE,"XGE","")</f>
        <v>XGE</v>
      </c>
      <c r="X492" s="180">
        <v>6</v>
      </c>
      <c r="Y492" s="180">
        <v>6</v>
      </c>
      <c r="AA492" s="198"/>
      <c r="AB492" s="250" t="str">
        <f t="array" ref="AB492">INDEX(B:B,SMALL(IF($Q$3:$Q$517&lt;&gt;"",ROW($3:$517),518),ROW(B491)))&amp;""</f>
        <v>星界投影</v>
      </c>
      <c r="AC492" s="394" t="str">
        <f>IFERROR(IF(AND($Q493&lt;&gt;"",IF(法术查询!$J$4="",1,INDEX($R493:$Z493,1,VLOOKUP(法术查询!$J$4,$AF$2:$AG$10,2,0)))&lt;&gt;"",IF(法术查询!$J$5="",1,$P493=VLOOKUP(法术查询!$J$5,$AH$2:$AI$11,2,0)),IF(法术查询!$J$6="",1,IF(法术查询!$J$6=$E493,1,0)),IF(法术查询!$J$7="",1,SEARCH(法术查询!$J$7,$F493)),IF(法术查询!$J$8="",1,SEARCH(法术查询!$J$8,G493)),IF(法术查询!$J$9="",1,SEARCH(法术查询!$J$9,N493)),IF(法术查询!$J$10="",1,IF(法术查询!$J$10=$AF$11,IF($M493=1,1,0),IF($M493="",1,0))),IF(法术查询!$J$11="",1,IF(法术查询!$J$11=$AF$11,IF($D493=1,1,0),IF($D493="",1,0))),IF(法术查询!$J$12="",1,SEARCH(法术查询!$J$12,$B493&amp;$C493&amp;$O493)),IF(法术查询!$J$13="",1,SEARCH(法术查询!$J$13,$B493&amp;$C493&amp;$O493)),IF(法术查询!$J$14="",1,SEARCH(法术查询!$J$14,$B493&amp;$C493&amp;$O493)),IF(法术查询!$J$16="",1,IF(法术查询!$J$16=$AF$11,IF($H493=1,1,0),IF($H493="",1,0))),IF(法术查询!$J$17="",1,IF(法术查询!$J$17=$AF$11,IF($I493=1,1,0),IF($I493="",1,0))),IF(法术查询!$J$18="",1,IF(法术查询!$J$18=$AF$11,IF($J493&lt;&gt;"",1,0),IF($J493="",1,0))),IF(法术查询!$J$19="",1,IF(法术查询!$J$19=$AF$11,IF($L493&lt;&gt;"",1,0),IF($L493="",1,0)))),$B493,""),"")</f>
        <v/>
      </c>
      <c r="AD492" s="180" t="str">
        <f t="array" ref="AD492">INDEX(AC:AC,SMALL(IF($AC$2:$AC$516&lt;&gt;"",ROW($2:$516),517),ROW(AC491)))&amp;""</f>
        <v/>
      </c>
      <c r="AE492" s="198" t="str">
        <f t="shared" si="11"/>
        <v/>
      </c>
    </row>
    <row r="493" spans="1:31" ht="14.4" customHeight="1" x14ac:dyDescent="0.25">
      <c r="A493" s="250">
        <v>491</v>
      </c>
      <c r="B493" s="119" t="s">
        <v>8327</v>
      </c>
      <c r="C493" s="119" t="s">
        <v>8328</v>
      </c>
      <c r="E493" s="378" t="s">
        <v>6281</v>
      </c>
      <c r="F493" s="180" t="s">
        <v>6349</v>
      </c>
      <c r="G493" s="180" t="s">
        <v>6440</v>
      </c>
      <c r="H493" s="180">
        <v>1</v>
      </c>
      <c r="I493" s="180">
        <v>1</v>
      </c>
      <c r="J493" s="180">
        <v>1</v>
      </c>
      <c r="L493" s="119" t="s">
        <v>8329</v>
      </c>
      <c r="N493" s="180" t="s">
        <v>6284</v>
      </c>
      <c r="O493" s="119" t="s">
        <v>8330</v>
      </c>
      <c r="P493" s="119">
        <v>8</v>
      </c>
      <c r="Q493" s="251" t="str">
        <f>IF(综合数据!$B$7=TRUE,"XGE","")</f>
        <v>XGE</v>
      </c>
      <c r="X493" s="180">
        <v>6</v>
      </c>
      <c r="AA493" s="198"/>
      <c r="AB493" s="250" t="str">
        <f t="array" ref="AB493">INDEX(B:B,SMALL(IF($Q$3:$Q$517&lt;&gt;"",ROW($3:$517),518),ROW(B492)))&amp;""</f>
        <v>预警术</v>
      </c>
      <c r="AC493" s="394" t="str">
        <f>IFERROR(IF(AND($Q494&lt;&gt;"",IF(法术查询!$J$4="",1,INDEX($R494:$Z494,1,VLOOKUP(法术查询!$J$4,$AF$2:$AG$10,2,0)))&lt;&gt;"",IF(法术查询!$J$5="",1,$P494=VLOOKUP(法术查询!$J$5,$AH$2:$AI$11,2,0)),IF(法术查询!$J$6="",1,IF(法术查询!$J$6=$E494,1,0)),IF(法术查询!$J$7="",1,SEARCH(法术查询!$J$7,$F494)),IF(法术查询!$J$8="",1,SEARCH(法术查询!$J$8,G494)),IF(法术查询!$J$9="",1,SEARCH(法术查询!$J$9,N494)),IF(法术查询!$J$10="",1,IF(法术查询!$J$10=$AF$11,IF($M494=1,1,0),IF($M494="",1,0))),IF(法术查询!$J$11="",1,IF(法术查询!$J$11=$AF$11,IF($D494=1,1,0),IF($D494="",1,0))),IF(法术查询!$J$12="",1,SEARCH(法术查询!$J$12,$B494&amp;$C494&amp;$O494)),IF(法术查询!$J$13="",1,SEARCH(法术查询!$J$13,$B494&amp;$C494&amp;$O494)),IF(法术查询!$J$14="",1,SEARCH(法术查询!$J$14,$B494&amp;$C494&amp;$O494)),IF(法术查询!$J$16="",1,IF(法术查询!$J$16=$AF$11,IF($H494=1,1,0),IF($H494="",1,0))),IF(法术查询!$J$17="",1,IF(法术查询!$J$17=$AF$11,IF($I494=1,1,0),IF($I494="",1,0))),IF(法术查询!$J$18="",1,IF(法术查询!$J$18=$AF$11,IF($J494&lt;&gt;"",1,0),IF($J494="",1,0))),IF(法术查询!$J$19="",1,IF(法术查询!$J$19=$AF$11,IF($L494&lt;&gt;"",1,0),IF($L494="",1,0)))),$B494,""),"")</f>
        <v/>
      </c>
      <c r="AD493" s="180" t="str">
        <f t="array" ref="AD493">INDEX(AC:AC,SMALL(IF($AC$2:$AC$516&lt;&gt;"",ROW($2:$516),517),ROW(AC492)))&amp;""</f>
        <v/>
      </c>
      <c r="AE493" s="198" t="str">
        <f t="shared" si="11"/>
        <v/>
      </c>
    </row>
    <row r="494" spans="1:31" ht="14.4" customHeight="1" x14ac:dyDescent="0.25">
      <c r="A494" s="250">
        <v>492</v>
      </c>
      <c r="B494" s="119" t="s">
        <v>8331</v>
      </c>
      <c r="C494" s="119" t="s">
        <v>8332</v>
      </c>
      <c r="E494" s="434" t="s">
        <v>6304</v>
      </c>
      <c r="F494" s="180" t="s">
        <v>6282</v>
      </c>
      <c r="G494" s="180" t="s">
        <v>6419</v>
      </c>
      <c r="H494" s="180">
        <v>1</v>
      </c>
      <c r="I494" s="180">
        <v>1</v>
      </c>
      <c r="J494" s="180">
        <v>1</v>
      </c>
      <c r="L494" s="119" t="s">
        <v>8333</v>
      </c>
      <c r="M494" s="180">
        <v>1</v>
      </c>
      <c r="N494" s="180" t="s">
        <v>6306</v>
      </c>
      <c r="O494" s="119" t="s">
        <v>8334</v>
      </c>
      <c r="P494" s="119">
        <v>8</v>
      </c>
      <c r="Q494" s="257" t="str">
        <f>IF(综合数据!$B$11=TRUE,"EGtW","")</f>
        <v>EGtW</v>
      </c>
      <c r="AA494" s="120" t="s">
        <v>3558</v>
      </c>
      <c r="AB494" s="250" t="str">
        <f t="array" ref="AB494">INDEX(B:B,SMALL(IF($Q$3:$Q$517&lt;&gt;"",ROW($3:$517),518),ROW(B493)))&amp;""</f>
        <v>异界之门</v>
      </c>
      <c r="AC494" s="394" t="str">
        <f>IFERROR(IF(AND($Q495&lt;&gt;"",IF(法术查询!$J$4="",1,INDEX($R495:$Z495,1,VLOOKUP(法术查询!$J$4,$AF$2:$AG$10,2,0)))&lt;&gt;"",IF(法术查询!$J$5="",1,$P495=VLOOKUP(法术查询!$J$5,$AH$2:$AI$11,2,0)),IF(法术查询!$J$6="",1,IF(法术查询!$J$6=$E495,1,0)),IF(法术查询!$J$7="",1,SEARCH(法术查询!$J$7,$F495)),IF(法术查询!$J$8="",1,SEARCH(法术查询!$J$8,G495)),IF(法术查询!$J$9="",1,SEARCH(法术查询!$J$9,N495)),IF(法术查询!$J$10="",1,IF(法术查询!$J$10=$AF$11,IF($M495=1,1,0),IF($M495="",1,0))),IF(法术查询!$J$11="",1,IF(法术查询!$J$11=$AF$11,IF($D495=1,1,0),IF($D495="",1,0))),IF(法术查询!$J$12="",1,SEARCH(法术查询!$J$12,$B495&amp;$C495&amp;$O495)),IF(法术查询!$J$13="",1,SEARCH(法术查询!$J$13,$B495&amp;$C495&amp;$O495)),IF(法术查询!$J$14="",1,SEARCH(法术查询!$J$14,$B495&amp;$C495&amp;$O495)),IF(法术查询!$J$16="",1,IF(法术查询!$J$16=$AF$11,IF($H495=1,1,0),IF($H495="",1,0))),IF(法术查询!$J$17="",1,IF(法术查询!$J$17=$AF$11,IF($I495=1,1,0),IF($I495="",1,0))),IF(法术查询!$J$18="",1,IF(法术查询!$J$18=$AF$11,IF($J495&lt;&gt;"",1,0),IF($J495="",1,0))),IF(法术查询!$J$19="",1,IF(法术查询!$J$19=$AF$11,IF($L495&lt;&gt;"",1,0),IF($L495="",1,0)))),$B495,""),"")</f>
        <v/>
      </c>
      <c r="AD494" s="180" t="str">
        <f t="array" ref="AD494">INDEX(AC:AC,SMALL(IF($AC$2:$AC$516&lt;&gt;"",ROW($2:$516),517),ROW(AC493)))&amp;""</f>
        <v/>
      </c>
      <c r="AE494" s="198" t="str">
        <f t="shared" si="11"/>
        <v/>
      </c>
    </row>
    <row r="495" spans="1:31" ht="14.4" customHeight="1" x14ac:dyDescent="0.25">
      <c r="A495" s="250">
        <v>493</v>
      </c>
      <c r="B495" s="119" t="s">
        <v>8335</v>
      </c>
      <c r="C495" s="119" t="s">
        <v>8336</v>
      </c>
      <c r="E495" s="378" t="s">
        <v>6281</v>
      </c>
      <c r="F495" s="180" t="s">
        <v>6282</v>
      </c>
      <c r="G495" s="180" t="s">
        <v>6283</v>
      </c>
      <c r="H495" s="180">
        <v>1</v>
      </c>
      <c r="I495" s="180">
        <v>1</v>
      </c>
      <c r="J495" s="180">
        <v>1</v>
      </c>
      <c r="K495" s="119" t="s">
        <v>8337</v>
      </c>
      <c r="M495" s="180">
        <v>1</v>
      </c>
      <c r="N495" s="180" t="s">
        <v>6306</v>
      </c>
      <c r="O495" s="119" t="s">
        <v>8338</v>
      </c>
      <c r="P495" s="119">
        <v>8</v>
      </c>
      <c r="Q495" s="257" t="str">
        <f>IF(综合数据!$B$11=TRUE,"EGtW","")</f>
        <v>EGtW</v>
      </c>
      <c r="AA495" s="120" t="s">
        <v>3551</v>
      </c>
      <c r="AB495" s="250" t="str">
        <f t="array" ref="AB495">INDEX(B:B,SMALL(IF($Q$3:$Q$517&lt;&gt;"",ROW($3:$517),518),ROW(B494)))&amp;""</f>
        <v>禁锢术</v>
      </c>
      <c r="AC495" s="394" t="str">
        <f>IFERROR(IF(AND($Q496&lt;&gt;"",IF(法术查询!$J$4="",1,INDEX($R496:$Z496,1,VLOOKUP(法术查询!$J$4,$AF$2:$AG$10,2,0)))&lt;&gt;"",IF(法术查询!$J$5="",1,$P496=VLOOKUP(法术查询!$J$5,$AH$2:$AI$11,2,0)),IF(法术查询!$J$6="",1,IF(法术查询!$J$6=$E496,1,0)),IF(法术查询!$J$7="",1,SEARCH(法术查询!$J$7,$F496)),IF(法术查询!$J$8="",1,SEARCH(法术查询!$J$8,G496)),IF(法术查询!$J$9="",1,SEARCH(法术查询!$J$9,N496)),IF(法术查询!$J$10="",1,IF(法术查询!$J$10=$AF$11,IF($M496=1,1,0),IF($M496="",1,0))),IF(法术查询!$J$11="",1,IF(法术查询!$J$11=$AF$11,IF($D496=1,1,0),IF($D496="",1,0))),IF(法术查询!$J$12="",1,SEARCH(法术查询!$J$12,$B496&amp;$C496&amp;$O496)),IF(法术查询!$J$13="",1,SEARCH(法术查询!$J$13,$B496&amp;$C496&amp;$O496)),IF(法术查询!$J$14="",1,SEARCH(法术查询!$J$14,$B496&amp;$C496&amp;$O496)),IF(法术查询!$J$16="",1,IF(法术查询!$J$16=$AF$11,IF($H496=1,1,0),IF($H496="",1,0))),IF(法术查询!$J$17="",1,IF(法术查询!$J$17=$AF$11,IF($I496=1,1,0),IF($I496="",1,0))),IF(法术查询!$J$18="",1,IF(法术查询!$J$18=$AF$11,IF($J496&lt;&gt;"",1,0),IF($J496="",1,0))),IF(法术查询!$J$19="",1,IF(法术查询!$J$19=$AF$11,IF($L496&lt;&gt;"",1,0),IF($L496="",1,0)))),$B496,""),"")</f>
        <v/>
      </c>
      <c r="AD495" s="180" t="str">
        <f t="array" ref="AD495">INDEX(AC:AC,SMALL(IF($AC$2:$AC$516&lt;&gt;"",ROW($2:$516),517),ROW(AC494)))&amp;""</f>
        <v/>
      </c>
      <c r="AE495" s="198" t="str">
        <f t="shared" si="11"/>
        <v/>
      </c>
    </row>
    <row r="496" spans="1:31" ht="14.4" customHeight="1" x14ac:dyDescent="0.25">
      <c r="A496" s="250">
        <v>494</v>
      </c>
      <c r="B496" s="119" t="s">
        <v>8339</v>
      </c>
      <c r="C496" s="119" t="s">
        <v>8340</v>
      </c>
      <c r="E496" s="441" t="s">
        <v>6297</v>
      </c>
      <c r="F496" s="180" t="s">
        <v>6344</v>
      </c>
      <c r="G496" s="180" t="s">
        <v>6370</v>
      </c>
      <c r="H496" s="180">
        <v>1</v>
      </c>
      <c r="I496" s="180">
        <v>1</v>
      </c>
      <c r="J496" s="180">
        <v>1</v>
      </c>
      <c r="L496" s="119" t="s">
        <v>8341</v>
      </c>
      <c r="N496" s="180" t="s">
        <v>6279</v>
      </c>
      <c r="O496" s="119" t="s">
        <v>8342</v>
      </c>
      <c r="P496" s="119">
        <v>9</v>
      </c>
      <c r="Q496" s="119" t="s">
        <v>242</v>
      </c>
      <c r="S496" s="180">
        <v>1</v>
      </c>
      <c r="X496" s="180">
        <v>1</v>
      </c>
      <c r="Y496" s="180">
        <v>1</v>
      </c>
      <c r="AA496" s="198"/>
      <c r="AB496" s="250" t="str">
        <f t="array" ref="AB496">INDEX(B:B,SMALL(IF($Q$3:$Q$517&lt;&gt;"",ROW($3:$517),518),ROW(B495)))&amp;""</f>
        <v>群体医疗术</v>
      </c>
      <c r="AC496" s="394" t="str">
        <f>IFERROR(IF(AND($Q497&lt;&gt;"",IF(法术查询!$J$4="",1,INDEX($R497:$Z497,1,VLOOKUP(法术查询!$J$4,$AF$2:$AG$10,2,0)))&lt;&gt;"",IF(法术查询!$J$5="",1,$P497=VLOOKUP(法术查询!$J$5,$AH$2:$AI$11,2,0)),IF(法术查询!$J$6="",1,IF(法术查询!$J$6=$E497,1,0)),IF(法术查询!$J$7="",1,SEARCH(法术查询!$J$7,$F497)),IF(法术查询!$J$8="",1,SEARCH(法术查询!$J$8,G497)),IF(法术查询!$J$9="",1,SEARCH(法术查询!$J$9,N497)),IF(法术查询!$J$10="",1,IF(法术查询!$J$10=$AF$11,IF($M497=1,1,0),IF($M497="",1,0))),IF(法术查询!$J$11="",1,IF(法术查询!$J$11=$AF$11,IF($D497=1,1,0),IF($D497="",1,0))),IF(法术查询!$J$12="",1,SEARCH(法术查询!$J$12,$B497&amp;$C497&amp;$O497)),IF(法术查询!$J$13="",1,SEARCH(法术查询!$J$13,$B497&amp;$C497&amp;$O497)),IF(法术查询!$J$14="",1,SEARCH(法术查询!$J$14,$B497&amp;$C497&amp;$O497)),IF(法术查询!$J$16="",1,IF(法术查询!$J$16=$AF$11,IF($H497=1,1,0),IF($H497="",1,0))),IF(法术查询!$J$17="",1,IF(法术查询!$J$17=$AF$11,IF($I497=1,1,0),IF($I497="",1,0))),IF(法术查询!$J$18="",1,IF(法术查询!$J$18=$AF$11,IF($J497&lt;&gt;"",1,0),IF($J497="",1,0))),IF(法术查询!$J$19="",1,IF(法术查询!$J$19=$AF$11,IF($L497&lt;&gt;"",1,0),IF($L497="",1,0)))),$B497,""),"")</f>
        <v/>
      </c>
      <c r="AD496" s="180" t="str">
        <f t="array" ref="AD496">INDEX(AC:AC,SMALL(IF($AC$2:$AC$516&lt;&gt;"",ROW($2:$516),517),ROW(AC495)))&amp;""</f>
        <v/>
      </c>
      <c r="AE496" s="198" t="str">
        <f t="shared" si="11"/>
        <v/>
      </c>
    </row>
    <row r="497" spans="1:31" ht="14.4" customHeight="1" x14ac:dyDescent="0.25">
      <c r="A497" s="250">
        <v>495</v>
      </c>
      <c r="B497" s="119" t="s">
        <v>8343</v>
      </c>
      <c r="C497" s="119" t="s">
        <v>8344</v>
      </c>
      <c r="E497" s="438" t="s">
        <v>6335</v>
      </c>
      <c r="F497" s="180" t="s">
        <v>6349</v>
      </c>
      <c r="G497" s="180" t="s">
        <v>3682</v>
      </c>
      <c r="H497" s="180">
        <v>1</v>
      </c>
      <c r="I497" s="180">
        <v>1</v>
      </c>
      <c r="J497" s="180">
        <v>1</v>
      </c>
      <c r="K497" s="119" t="s">
        <v>8345</v>
      </c>
      <c r="N497" s="180" t="s">
        <v>6388</v>
      </c>
      <c r="O497" s="119" t="s">
        <v>8346</v>
      </c>
      <c r="P497" s="119">
        <v>9</v>
      </c>
      <c r="Q497" s="119" t="s">
        <v>242</v>
      </c>
      <c r="R497" s="180">
        <v>1</v>
      </c>
      <c r="T497" s="180">
        <v>1</v>
      </c>
      <c r="X497" s="180">
        <v>1</v>
      </c>
      <c r="Y497" s="180">
        <v>1</v>
      </c>
      <c r="AA497" s="198"/>
      <c r="AB497" s="250" t="str">
        <f t="array" ref="AB497">INDEX(B:B,SMALL(IF($Q$3:$Q$517&lt;&gt;"",ROW($3:$517),518),ROW(B496)))&amp;""</f>
        <v>流星爆</v>
      </c>
      <c r="AC497" s="394" t="str">
        <f>IFERROR(IF(AND($Q498&lt;&gt;"",IF(法术查询!$J$4="",1,INDEX($R498:$Z498,1,VLOOKUP(法术查询!$J$4,$AF$2:$AG$10,2,0)))&lt;&gt;"",IF(法术查询!$J$5="",1,$P498=VLOOKUP(法术查询!$J$5,$AH$2:$AI$11,2,0)),IF(法术查询!$J$6="",1,IF(法术查询!$J$6=$E498,1,0)),IF(法术查询!$J$7="",1,SEARCH(法术查询!$J$7,$F498)),IF(法术查询!$J$8="",1,SEARCH(法术查询!$J$8,G498)),IF(法术查询!$J$9="",1,SEARCH(法术查询!$J$9,N498)),IF(法术查询!$J$10="",1,IF(法术查询!$J$10=$AF$11,IF($M498=1,1,0),IF($M498="",1,0))),IF(法术查询!$J$11="",1,IF(法术查询!$J$11=$AF$11,IF($D498=1,1,0),IF($D498="",1,0))),IF(法术查询!$J$12="",1,SEARCH(法术查询!$J$12,$B498&amp;$C498&amp;$O498)),IF(法术查询!$J$13="",1,SEARCH(法术查询!$J$13,$B498&amp;$C498&amp;$O498)),IF(法术查询!$J$14="",1,SEARCH(法术查询!$J$14,$B498&amp;$C498&amp;$O498)),IF(法术查询!$J$16="",1,IF(法术查询!$J$16=$AF$11,IF($H498=1,1,0),IF($H498="",1,0))),IF(法术查询!$J$17="",1,IF(法术查询!$J$17=$AF$11,IF($I498=1,1,0),IF($I498="",1,0))),IF(法术查询!$J$18="",1,IF(法术查询!$J$18=$AF$11,IF($J498&lt;&gt;"",1,0),IF($J498="",1,0))),IF(法术查询!$J$19="",1,IF(法术查询!$J$19=$AF$11,IF($L498&lt;&gt;"",1,0),IF($L498="",1,0)))),$B498,""),"")</f>
        <v/>
      </c>
      <c r="AD497" s="180" t="str">
        <f t="array" ref="AD497">INDEX(AC:AC,SMALL(IF($AC$2:$AC$516&lt;&gt;"",ROW($2:$516),517),ROW(AC496)))&amp;""</f>
        <v/>
      </c>
      <c r="AE497" s="198" t="str">
        <f t="shared" si="11"/>
        <v/>
      </c>
    </row>
    <row r="498" spans="1:31" ht="14.4" customHeight="1" x14ac:dyDescent="0.25">
      <c r="A498" s="250">
        <v>496</v>
      </c>
      <c r="B498" s="119" t="s">
        <v>8347</v>
      </c>
      <c r="C498" s="119" t="s">
        <v>8348</v>
      </c>
      <c r="E498" s="378" t="s">
        <v>6281</v>
      </c>
      <c r="F498" s="180" t="s">
        <v>6282</v>
      </c>
      <c r="G498" s="180" t="s">
        <v>6283</v>
      </c>
      <c r="H498" s="180">
        <v>1</v>
      </c>
      <c r="I498" s="180">
        <v>1</v>
      </c>
      <c r="J498" s="180">
        <v>1</v>
      </c>
      <c r="K498" s="119" t="s">
        <v>8349</v>
      </c>
      <c r="M498" s="180">
        <v>1</v>
      </c>
      <c r="N498" s="180" t="s">
        <v>6306</v>
      </c>
      <c r="O498" s="119" t="s">
        <v>8350</v>
      </c>
      <c r="P498" s="119">
        <v>9</v>
      </c>
      <c r="Q498" s="119" t="s">
        <v>242</v>
      </c>
      <c r="S498" s="180">
        <v>1</v>
      </c>
      <c r="W498" s="180">
        <v>1</v>
      </c>
      <c r="X498" s="180">
        <v>1</v>
      </c>
      <c r="Y498" s="180" t="str">
        <f>IF(综合数据!$B$14=TRUE,"13","")</f>
        <v>13</v>
      </c>
      <c r="AA498" s="198"/>
      <c r="AB498" s="250" t="str">
        <f t="array" ref="AB498">INDEX(B:B,SMALL(IF($Q$3:$Q$517&lt;&gt;"",ROW($3:$517),518),ROW(B497)))&amp;""</f>
        <v>律令医疗</v>
      </c>
      <c r="AC498" s="394" t="str">
        <f>IFERROR(IF(AND($Q499&lt;&gt;"",IF(法术查询!$J$4="",1,INDEX($R499:$Z499,1,VLOOKUP(法术查询!$J$4,$AF$2:$AG$10,2,0)))&lt;&gt;"",IF(法术查询!$J$5="",1,$P499=VLOOKUP(法术查询!$J$5,$AH$2:$AI$11,2,0)),IF(法术查询!$J$6="",1,IF(法术查询!$J$6=$E499,1,0)),IF(法术查询!$J$7="",1,SEARCH(法术查询!$J$7,$F499)),IF(法术查询!$J$8="",1,SEARCH(法术查询!$J$8,G499)),IF(法术查询!$J$9="",1,SEARCH(法术查询!$J$9,N499)),IF(法术查询!$J$10="",1,IF(法术查询!$J$10=$AF$11,IF($M499=1,1,0),IF($M499="",1,0))),IF(法术查询!$J$11="",1,IF(法术查询!$J$11=$AF$11,IF($D499=1,1,0),IF($D499="",1,0))),IF(法术查询!$J$12="",1,SEARCH(法术查询!$J$12,$B499&amp;$C499&amp;$O499)),IF(法术查询!$J$13="",1,SEARCH(法术查询!$J$13,$B499&amp;$C499&amp;$O499)),IF(法术查询!$J$14="",1,SEARCH(法术查询!$J$14,$B499&amp;$C499&amp;$O499)),IF(法术查询!$J$16="",1,IF(法术查询!$J$16=$AF$11,IF($H499=1,1,0),IF($H499="",1,0))),IF(法术查询!$J$17="",1,IF(法术查询!$J$17=$AF$11,IF($I499=1,1,0),IF($I499="",1,0))),IF(法术查询!$J$18="",1,IF(法术查询!$J$18=$AF$11,IF($J499&lt;&gt;"",1,0),IF($J499="",1,0))),IF(法术查询!$J$19="",1,IF(法术查询!$J$19=$AF$11,IF($L499&lt;&gt;"",1,0),IF($L499="",1,0)))),$B499,""),"")</f>
        <v/>
      </c>
      <c r="AD498" s="180" t="str">
        <f t="array" ref="AD498">INDEX(AC:AC,SMALL(IF($AC$2:$AC$516&lt;&gt;"",ROW($2:$516),517),ROW(AC497)))&amp;""</f>
        <v/>
      </c>
      <c r="AE498" s="198" t="str">
        <f t="shared" si="11"/>
        <v/>
      </c>
    </row>
    <row r="499" spans="1:31" ht="14.4" customHeight="1" x14ac:dyDescent="0.25">
      <c r="A499" s="250">
        <v>497</v>
      </c>
      <c r="B499" s="119" t="s">
        <v>8351</v>
      </c>
      <c r="C499" s="119" t="s">
        <v>8352</v>
      </c>
      <c r="E499" s="440" t="s">
        <v>6290</v>
      </c>
      <c r="F499" s="180" t="s">
        <v>6349</v>
      </c>
      <c r="G499" s="180" t="s">
        <v>6313</v>
      </c>
      <c r="H499" s="180">
        <v>1</v>
      </c>
      <c r="I499" s="180">
        <v>1</v>
      </c>
      <c r="J499" s="180">
        <v>1</v>
      </c>
      <c r="K499" s="119" t="s">
        <v>8353</v>
      </c>
      <c r="N499" s="180" t="s">
        <v>6434</v>
      </c>
      <c r="O499" s="119" t="s">
        <v>8354</v>
      </c>
      <c r="P499" s="119">
        <v>9</v>
      </c>
      <c r="Q499" s="119" t="s">
        <v>242</v>
      </c>
      <c r="X499" s="180">
        <v>1</v>
      </c>
      <c r="Y499" s="180">
        <v>1</v>
      </c>
      <c r="AA499" s="198"/>
      <c r="AB499" s="250" t="str">
        <f t="array" ref="AB499">INDEX(B:B,SMALL(IF($Q$3:$Q$517&lt;&gt;"",ROW($3:$517),518),ROW(B498)))&amp;""</f>
        <v>律令死亡</v>
      </c>
      <c r="AC499" s="394" t="str">
        <f>IFERROR(IF(AND($Q500&lt;&gt;"",IF(法术查询!$J$4="",1,INDEX($R500:$Z500,1,VLOOKUP(法术查询!$J$4,$AF$2:$AG$10,2,0)))&lt;&gt;"",IF(法术查询!$J$5="",1,$P500=VLOOKUP(法术查询!$J$5,$AH$2:$AI$11,2,0)),IF(法术查询!$J$6="",1,IF(法术查询!$J$6=$E500,1,0)),IF(法术查询!$J$7="",1,SEARCH(法术查询!$J$7,$F500)),IF(法术查询!$J$8="",1,SEARCH(法术查询!$J$8,G500)),IF(法术查询!$J$9="",1,SEARCH(法术查询!$J$9,N500)),IF(法术查询!$J$10="",1,IF(法术查询!$J$10=$AF$11,IF($M500=1,1,0),IF($M500="",1,0))),IF(法术查询!$J$11="",1,IF(法术查询!$J$11=$AF$11,IF($D500=1,1,0),IF($D500="",1,0))),IF(法术查询!$J$12="",1,SEARCH(法术查询!$J$12,$B500&amp;$C500&amp;$O500)),IF(法术查询!$J$13="",1,SEARCH(法术查询!$J$13,$B500&amp;$C500&amp;$O500)),IF(法术查询!$J$14="",1,SEARCH(法术查询!$J$14,$B500&amp;$C500&amp;$O500)),IF(法术查询!$J$16="",1,IF(法术查询!$J$16=$AF$11,IF($H500=1,1,0),IF($H500="",1,0))),IF(法术查询!$J$17="",1,IF(法术查询!$J$17=$AF$11,IF($I500=1,1,0),IF($I500="",1,0))),IF(法术查询!$J$18="",1,IF(法术查询!$J$18=$AF$11,IF($J500&lt;&gt;"",1,0),IF($J500="",1,0))),IF(法术查询!$J$19="",1,IF(法术查询!$J$19=$AF$11,IF($L500&lt;&gt;"",1,0),IF($L500="",1,0)))),$B500,""),"")</f>
        <v/>
      </c>
      <c r="AD499" s="180" t="str">
        <f t="array" ref="AD499">INDEX(AC:AC,SMALL(IF($AC$2:$AC$516&lt;&gt;"",ROW($2:$516),517),ROW(AC498)))&amp;""</f>
        <v/>
      </c>
      <c r="AE499" s="198" t="str">
        <f t="shared" si="11"/>
        <v/>
      </c>
    </row>
    <row r="500" spans="1:31" ht="14.4" customHeight="1" x14ac:dyDescent="0.25">
      <c r="A500" s="250">
        <v>498</v>
      </c>
      <c r="B500" s="119" t="s">
        <v>8355</v>
      </c>
      <c r="C500" s="119" t="s">
        <v>8356</v>
      </c>
      <c r="E500" s="434" t="s">
        <v>6304</v>
      </c>
      <c r="F500" s="180" t="s">
        <v>6282</v>
      </c>
      <c r="G500" s="180" t="s">
        <v>6283</v>
      </c>
      <c r="H500" s="180">
        <v>1</v>
      </c>
      <c r="I500" s="180">
        <v>1</v>
      </c>
      <c r="N500" s="180" t="s">
        <v>6284</v>
      </c>
      <c r="O500" s="119" t="s">
        <v>8357</v>
      </c>
      <c r="P500" s="119">
        <v>9</v>
      </c>
      <c r="Q500" s="119" t="s">
        <v>242</v>
      </c>
      <c r="S500" s="180">
        <v>1</v>
      </c>
      <c r="AA500" s="198"/>
      <c r="AB500" s="250" t="str">
        <f t="array" ref="AB500">INDEX(B:B,SMALL(IF($Q$3:$Q$517&lt;&gt;"",ROW($3:$517),518),ROW(B499)))&amp;""</f>
        <v>虹光法墙</v>
      </c>
      <c r="AC500" s="394" t="str">
        <f>IFERROR(IF(AND($Q501&lt;&gt;"",IF(法术查询!$J$4="",1,INDEX($R501:$Z501,1,VLOOKUP(法术查询!$J$4,$AF$2:$AG$10,2,0)))&lt;&gt;"",IF(法术查询!$J$5="",1,$P501=VLOOKUP(法术查询!$J$5,$AH$2:$AI$11,2,0)),IF(法术查询!$J$6="",1,IF(法术查询!$J$6=$E501,1,0)),IF(法术查询!$J$7="",1,SEARCH(法术查询!$J$7,$F501)),IF(法术查询!$J$8="",1,SEARCH(法术查询!$J$8,G501)),IF(法术查询!$J$9="",1,SEARCH(法术查询!$J$9,N501)),IF(法术查询!$J$10="",1,IF(法术查询!$J$10=$AF$11,IF($M501=1,1,0),IF($M501="",1,0))),IF(法术查询!$J$11="",1,IF(法术查询!$J$11=$AF$11,IF($D501=1,1,0),IF($D501="",1,0))),IF(法术查询!$J$12="",1,SEARCH(法术查询!$J$12,$B501&amp;$C501&amp;$O501)),IF(法术查询!$J$13="",1,SEARCH(法术查询!$J$13,$B501&amp;$C501&amp;$O501)),IF(法术查询!$J$14="",1,SEARCH(法术查询!$J$14,$B501&amp;$C501&amp;$O501)),IF(法术查询!$J$16="",1,IF(法术查询!$J$16=$AF$11,IF($H501=1,1,0),IF($H501="",1,0))),IF(法术查询!$J$17="",1,IF(法术查询!$J$17=$AF$11,IF($I501=1,1,0),IF($I501="",1,0))),IF(法术查询!$J$18="",1,IF(法术查询!$J$18=$AF$11,IF($J501&lt;&gt;"",1,0),IF($J501="",1,0))),IF(法术查询!$J$19="",1,IF(法术查询!$J$19=$AF$11,IF($L501&lt;&gt;"",1,0),IF($L501="",1,0)))),$B501,""),"")</f>
        <v/>
      </c>
      <c r="AD500" s="180" t="str">
        <f t="array" ref="AD500">INDEX(AC:AC,SMALL(IF($AC$2:$AC$516&lt;&gt;"",ROW($2:$516),517),ROW(AC499)))&amp;""</f>
        <v/>
      </c>
      <c r="AE500" s="198" t="str">
        <f t="shared" si="11"/>
        <v/>
      </c>
    </row>
    <row r="501" spans="1:31" ht="14.4" customHeight="1" x14ac:dyDescent="0.25">
      <c r="A501" s="250">
        <v>499</v>
      </c>
      <c r="B501" s="119" t="s">
        <v>8358</v>
      </c>
      <c r="C501" s="119" t="s">
        <v>8359</v>
      </c>
      <c r="E501" s="434" t="s">
        <v>6304</v>
      </c>
      <c r="F501" s="180" t="s">
        <v>6282</v>
      </c>
      <c r="G501" s="180" t="s">
        <v>6440</v>
      </c>
      <c r="H501" s="180">
        <v>1</v>
      </c>
      <c r="I501" s="180">
        <v>1</v>
      </c>
      <c r="N501" s="180" t="s">
        <v>6284</v>
      </c>
      <c r="O501" s="119" t="s">
        <v>8360</v>
      </c>
      <c r="P501" s="119">
        <v>9</v>
      </c>
      <c r="Q501" s="119" t="s">
        <v>242</v>
      </c>
      <c r="W501" s="180">
        <v>1</v>
      </c>
      <c r="X501" s="180">
        <v>1</v>
      </c>
      <c r="AA501" s="198"/>
      <c r="AB501" s="250" t="str">
        <f t="array" ref="AB501">INDEX(B:B,SMALL(IF($Q$3:$Q$517&lt;&gt;"",ROW($3:$517),518),ROW(B500)))&amp;""</f>
        <v>形体变化</v>
      </c>
      <c r="AC501" s="394" t="str">
        <f>IFERROR(IF(AND($Q502&lt;&gt;"",IF(法术查询!$J$4="",1,INDEX($R502:$Z502,1,VLOOKUP(法术查询!$J$4,$AF$2:$AG$10,2,0)))&lt;&gt;"",IF(法术查询!$J$5="",1,$P502=VLOOKUP(法术查询!$J$5,$AH$2:$AI$11,2,0)),IF(法术查询!$J$6="",1,IF(法术查询!$J$6=$E502,1,0)),IF(法术查询!$J$7="",1,SEARCH(法术查询!$J$7,$F502)),IF(法术查询!$J$8="",1,SEARCH(法术查询!$J$8,G502)),IF(法术查询!$J$9="",1,SEARCH(法术查询!$J$9,N502)),IF(法术查询!$J$10="",1,IF(法术查询!$J$10=$AF$11,IF($M502=1,1,0),IF($M502="",1,0))),IF(法术查询!$J$11="",1,IF(法术查询!$J$11=$AF$11,IF($D502=1,1,0),IF($D502="",1,0))),IF(法术查询!$J$12="",1,SEARCH(法术查询!$J$12,$B502&amp;$C502&amp;$O502)),IF(法术查询!$J$13="",1,SEARCH(法术查询!$J$13,$B502&amp;$C502&amp;$O502)),IF(法术查询!$J$14="",1,SEARCH(法术查询!$J$14,$B502&amp;$C502&amp;$O502)),IF(法术查询!$J$16="",1,IF(法术查询!$J$16=$AF$11,IF($H502=1,1,0),IF($H502="",1,0))),IF(法术查询!$J$17="",1,IF(法术查询!$J$17=$AF$11,IF($I502=1,1,0),IF($I502="",1,0))),IF(法术查询!$J$18="",1,IF(法术查询!$J$18=$AF$11,IF($J502&lt;&gt;"",1,0),IF($J502="",1,0))),IF(法术查询!$J$19="",1,IF(法术查询!$J$19=$AF$11,IF($L502&lt;&gt;"",1,0),IF($L502="",1,0)))),$B502,""),"")</f>
        <v/>
      </c>
      <c r="AD501" s="180" t="str">
        <f t="array" ref="AD501">INDEX(AC:AC,SMALL(IF($AC$2:$AC$516&lt;&gt;"",ROW($2:$516),517),ROW(AC500)))&amp;""</f>
        <v/>
      </c>
      <c r="AE501" s="198" t="str">
        <f t="shared" si="11"/>
        <v/>
      </c>
    </row>
    <row r="502" spans="1:31" ht="14.4" customHeight="1" x14ac:dyDescent="0.25">
      <c r="A502" s="250">
        <v>500</v>
      </c>
      <c r="B502" s="119" t="s">
        <v>8361</v>
      </c>
      <c r="C502" s="119" t="s">
        <v>8362</v>
      </c>
      <c r="E502" s="434" t="s">
        <v>6304</v>
      </c>
      <c r="F502" s="180" t="s">
        <v>6282</v>
      </c>
      <c r="G502" s="180" t="s">
        <v>3682</v>
      </c>
      <c r="H502" s="180">
        <v>1</v>
      </c>
      <c r="I502" s="180">
        <v>1</v>
      </c>
      <c r="N502" s="180" t="s">
        <v>6284</v>
      </c>
      <c r="O502" s="119" t="s">
        <v>8363</v>
      </c>
      <c r="P502" s="119">
        <v>9</v>
      </c>
      <c r="Q502" s="119" t="s">
        <v>242</v>
      </c>
      <c r="R502" s="180">
        <v>1</v>
      </c>
      <c r="S502" s="180" t="str">
        <f>IF(综合数据!$B$14=TRUE,"13","")</f>
        <v>13</v>
      </c>
      <c r="AA502" s="198"/>
      <c r="AB502" s="250" t="str">
        <f t="array" ref="AB502">INDEX(B:B,SMALL(IF($Q$3:$Q$517&lt;&gt;"",ROW($3:$517),518),ROW(B501)))&amp;""</f>
        <v>复仇风暴</v>
      </c>
      <c r="AC502" s="394" t="str">
        <f>IFERROR(IF(AND($Q503&lt;&gt;"",IF(法术查询!$J$4="",1,INDEX($R503:$Z503,1,VLOOKUP(法术查询!$J$4,$AF$2:$AG$10,2,0)))&lt;&gt;"",IF(法术查询!$J$5="",1,$P503=VLOOKUP(法术查询!$J$5,$AH$2:$AI$11,2,0)),IF(法术查询!$J$6="",1,IF(法术查询!$J$6=$E503,1,0)),IF(法术查询!$J$7="",1,SEARCH(法术查询!$J$7,$F503)),IF(法术查询!$J$8="",1,SEARCH(法术查询!$J$8,G503)),IF(法术查询!$J$9="",1,SEARCH(法术查询!$J$9,N503)),IF(法术查询!$J$10="",1,IF(法术查询!$J$10=$AF$11,IF($M503=1,1,0),IF($M503="",1,0))),IF(法术查询!$J$11="",1,IF(法术查询!$J$11=$AF$11,IF($D503=1,1,0),IF($D503="",1,0))),IF(法术查询!$J$12="",1,SEARCH(法术查询!$J$12,$B503&amp;$C503&amp;$O503)),IF(法术查询!$J$13="",1,SEARCH(法术查询!$J$13,$B503&amp;$C503&amp;$O503)),IF(法术查询!$J$14="",1,SEARCH(法术查询!$J$14,$B503&amp;$C503&amp;$O503)),IF(法术查询!$J$16="",1,IF(法术查询!$J$16=$AF$11,IF($H503=1,1,0),IF($H503="",1,0))),IF(法术查询!$J$17="",1,IF(法术查询!$J$17=$AF$11,IF($I503=1,1,0),IF($I503="",1,0))),IF(法术查询!$J$18="",1,IF(法术查询!$J$18=$AF$11,IF($J503&lt;&gt;"",1,0),IF($J503="",1,0))),IF(法术查询!$J$19="",1,IF(法术查询!$J$19=$AF$11,IF($L503&lt;&gt;"",1,0),IF($L503="",1,0)))),$B503,""),"")</f>
        <v/>
      </c>
      <c r="AD502" s="180" t="str">
        <f t="array" ref="AD502">INDEX(AC:AC,SMALL(IF($AC$2:$AC$516&lt;&gt;"",ROW($2:$516),517),ROW(AC501)))&amp;""</f>
        <v/>
      </c>
      <c r="AE502" s="198" t="str">
        <f t="shared" si="11"/>
        <v/>
      </c>
    </row>
    <row r="503" spans="1:31" ht="14.4" customHeight="1" x14ac:dyDescent="0.25">
      <c r="A503" s="250">
        <v>501</v>
      </c>
      <c r="B503" s="119" t="s">
        <v>8364</v>
      </c>
      <c r="C503" s="119" t="s">
        <v>8365</v>
      </c>
      <c r="E503" s="379" t="s">
        <v>6328</v>
      </c>
      <c r="F503" s="180" t="s">
        <v>6282</v>
      </c>
      <c r="G503" s="180" t="s">
        <v>6283</v>
      </c>
      <c r="H503" s="180">
        <v>1</v>
      </c>
      <c r="N503" s="180" t="s">
        <v>6284</v>
      </c>
      <c r="O503" s="119" t="s">
        <v>8366</v>
      </c>
      <c r="P503" s="119">
        <v>9</v>
      </c>
      <c r="Q503" s="119" t="s">
        <v>242</v>
      </c>
      <c r="R503" s="180">
        <v>1</v>
      </c>
      <c r="W503" s="180">
        <v>1</v>
      </c>
      <c r="X503" s="180">
        <v>1</v>
      </c>
      <c r="Y503" s="180">
        <v>1</v>
      </c>
      <c r="AA503" s="198"/>
      <c r="AB503" s="250" t="str">
        <f t="array" ref="AB503">INDEX(B:B,SMALL(IF($Q$3:$Q$517&lt;&gt;"",ROW($3:$517),518),ROW(B502)))&amp;""</f>
        <v>时间停止</v>
      </c>
      <c r="AC503" s="394" t="str">
        <f>IFERROR(IF(AND($Q504&lt;&gt;"",IF(法术查询!$J$4="",1,INDEX($R504:$Z504,1,VLOOKUP(法术查询!$J$4,$AF$2:$AG$10,2,0)))&lt;&gt;"",IF(法术查询!$J$5="",1,$P504=VLOOKUP(法术查询!$J$5,$AH$2:$AI$11,2,0)),IF(法术查询!$J$6="",1,IF(法术查询!$J$6=$E504,1,0)),IF(法术查询!$J$7="",1,SEARCH(法术查询!$J$7,$F504)),IF(法术查询!$J$8="",1,SEARCH(法术查询!$J$8,G504)),IF(法术查询!$J$9="",1,SEARCH(法术查询!$J$9,N504)),IF(法术查询!$J$10="",1,IF(法术查询!$J$10=$AF$11,IF($M504=1,1,0),IF($M504="",1,0))),IF(法术查询!$J$11="",1,IF(法术查询!$J$11=$AF$11,IF($D504=1,1,0),IF($D504="",1,0))),IF(法术查询!$J$12="",1,SEARCH(法术查询!$J$12,$B504&amp;$C504&amp;$O504)),IF(法术查询!$J$13="",1,SEARCH(法术查询!$J$13,$B504&amp;$C504&amp;$O504)),IF(法术查询!$J$14="",1,SEARCH(法术查询!$J$14,$B504&amp;$C504&amp;$O504)),IF(法术查询!$J$16="",1,IF(法术查询!$J$16=$AF$11,IF($H504=1,1,0),IF($H504="",1,0))),IF(法术查询!$J$17="",1,IF(法术查询!$J$17=$AF$11,IF($I504=1,1,0),IF($I504="",1,0))),IF(法术查询!$J$18="",1,IF(法术查询!$J$18=$AF$11,IF($J504&lt;&gt;"",1,0),IF($J504="",1,0))),IF(法术查询!$J$19="",1,IF(法术查询!$J$19=$AF$11,IF($L504&lt;&gt;"",1,0),IF($L504="",1,0)))),$B504,""),"")</f>
        <v/>
      </c>
      <c r="AD503" s="180" t="str">
        <f t="array" ref="AD503">INDEX(AC:AC,SMALL(IF($AC$2:$AC$516&lt;&gt;"",ROW($2:$516),517),ROW(AC502)))&amp;""</f>
        <v/>
      </c>
      <c r="AE503" s="198" t="str">
        <f t="shared" si="11"/>
        <v/>
      </c>
    </row>
    <row r="504" spans="1:31" ht="14.4" customHeight="1" x14ac:dyDescent="0.25">
      <c r="A504" s="250">
        <v>502</v>
      </c>
      <c r="B504" s="119" t="s">
        <v>8367</v>
      </c>
      <c r="C504" s="119" t="s">
        <v>8368</v>
      </c>
      <c r="E504" s="440" t="s">
        <v>6290</v>
      </c>
      <c r="F504" s="180" t="s">
        <v>6282</v>
      </c>
      <c r="G504" s="180" t="s">
        <v>6283</v>
      </c>
      <c r="H504" s="180">
        <v>1</v>
      </c>
      <c r="I504" s="180">
        <v>1</v>
      </c>
      <c r="N504" s="180" t="s">
        <v>6371</v>
      </c>
      <c r="O504" s="119" t="s">
        <v>8369</v>
      </c>
      <c r="P504" s="119">
        <v>9</v>
      </c>
      <c r="Q504" s="119" t="s">
        <v>242</v>
      </c>
      <c r="R504" s="180" t="str">
        <f>IF(综合数据!$B$14=TRUE,"13","")</f>
        <v>13</v>
      </c>
      <c r="X504" s="180">
        <v>1</v>
      </c>
      <c r="AA504" s="198"/>
      <c r="AB504" s="250" t="str">
        <f t="array" ref="AB504">INDEX(B:B,SMALL(IF($Q$3:$Q$517&lt;&gt;"",ROW($3:$517),518),ROW(B503)))&amp;""</f>
        <v>完全变形术</v>
      </c>
      <c r="AC504" s="394" t="str">
        <f>IFERROR(IF(AND($Q505&lt;&gt;"",IF(法术查询!$J$4="",1,INDEX($R505:$Z505,1,VLOOKUP(法术查询!$J$4,$AF$2:$AG$10,2,0)))&lt;&gt;"",IF(法术查询!$J$5="",1,$P505=VLOOKUP(法术查询!$J$5,$AH$2:$AI$11,2,0)),IF(法术查询!$J$6="",1,IF(法术查询!$J$6=$E505,1,0)),IF(法术查询!$J$7="",1,SEARCH(法术查询!$J$7,$F505)),IF(法术查询!$J$8="",1,SEARCH(法术查询!$J$8,G505)),IF(法术查询!$J$9="",1,SEARCH(法术查询!$J$9,N505)),IF(法术查询!$J$10="",1,IF(法术查询!$J$10=$AF$11,IF($M505=1,1,0),IF($M505="",1,0))),IF(法术查询!$J$11="",1,IF(法术查询!$J$11=$AF$11,IF($D505=1,1,0),IF($D505="",1,0))),IF(法术查询!$J$12="",1,SEARCH(法术查询!$J$12,$B505&amp;$C505&amp;$O505)),IF(法术查询!$J$13="",1,SEARCH(法术查询!$J$13,$B505&amp;$C505&amp;$O505)),IF(法术查询!$J$14="",1,SEARCH(法术查询!$J$14,$B505&amp;$C505&amp;$O505)),IF(法术查询!$J$16="",1,IF(法术查询!$J$16=$AF$11,IF($H505=1,1,0),IF($H505="",1,0))),IF(法术查询!$J$17="",1,IF(法术查询!$J$17=$AF$11,IF($I505=1,1,0),IF($I505="",1,0))),IF(法术查询!$J$18="",1,IF(法术查询!$J$18=$AF$11,IF($J505&lt;&gt;"",1,0),IF($J505="",1,0))),IF(法术查询!$J$19="",1,IF(法术查询!$J$19=$AF$11,IF($L505&lt;&gt;"",1,0),IF($L505="",1,0)))),$B505,""),"")</f>
        <v/>
      </c>
      <c r="AD504" s="180" t="str">
        <f t="array" ref="AD504">INDEX(AC:AC,SMALL(IF($AC$2:$AC$516&lt;&gt;"",ROW($2:$516),517),ROW(AC503)))&amp;""</f>
        <v/>
      </c>
      <c r="AE504" s="198" t="str">
        <f t="shared" si="11"/>
        <v/>
      </c>
    </row>
    <row r="505" spans="1:31" ht="14.4" customHeight="1" x14ac:dyDescent="0.25">
      <c r="A505" s="250">
        <v>503</v>
      </c>
      <c r="B505" s="119" t="s">
        <v>8370</v>
      </c>
      <c r="C505" s="119" t="s">
        <v>8371</v>
      </c>
      <c r="E505" s="435" t="s">
        <v>6312</v>
      </c>
      <c r="F505" s="180" t="s">
        <v>6282</v>
      </c>
      <c r="G505" s="180" t="s">
        <v>6291</v>
      </c>
      <c r="H505" s="180">
        <v>1</v>
      </c>
      <c r="I505" s="180">
        <v>1</v>
      </c>
      <c r="J505" s="180">
        <v>1</v>
      </c>
      <c r="K505" s="119" t="s">
        <v>8372</v>
      </c>
      <c r="M505" s="180">
        <v>1</v>
      </c>
      <c r="N505" s="180" t="s">
        <v>6379</v>
      </c>
      <c r="O505" s="119" t="s">
        <v>8373</v>
      </c>
      <c r="P505" s="119">
        <v>9</v>
      </c>
      <c r="Q505" s="119" t="s">
        <v>242</v>
      </c>
      <c r="T505" s="180">
        <v>1</v>
      </c>
      <c r="X505" s="180">
        <v>1</v>
      </c>
      <c r="AA505" s="198"/>
      <c r="AB505" s="250" t="str">
        <f t="array" ref="AB505">INDEX(B:B,SMALL(IF($Q$3:$Q$517&lt;&gt;"",ROW($3:$517),518),ROW(B504)))&amp;""</f>
        <v>完全复生术</v>
      </c>
      <c r="AC505" s="394" t="str">
        <f>IFERROR(IF(AND($Q506&lt;&gt;"",IF(法术查询!$J$4="",1,INDEX($R506:$Z506,1,VLOOKUP(法术查询!$J$4,$AF$2:$AG$10,2,0)))&lt;&gt;"",IF(法术查询!$J$5="",1,$P506=VLOOKUP(法术查询!$J$5,$AH$2:$AI$11,2,0)),IF(法术查询!$J$6="",1,IF(法术查询!$J$6=$E506,1,0)),IF(法术查询!$J$7="",1,SEARCH(法术查询!$J$7,$F506)),IF(法术查询!$J$8="",1,SEARCH(法术查询!$J$8,G506)),IF(法术查询!$J$9="",1,SEARCH(法术查询!$J$9,N506)),IF(法术查询!$J$10="",1,IF(法术查询!$J$10=$AF$11,IF($M506=1,1,0),IF($M506="",1,0))),IF(法术查询!$J$11="",1,IF(法术查询!$J$11=$AF$11,IF($D506=1,1,0),IF($D506="",1,0))),IF(法术查询!$J$12="",1,SEARCH(法术查询!$J$12,$B506&amp;$C506&amp;$O506)),IF(法术查询!$J$13="",1,SEARCH(法术查询!$J$13,$B506&amp;$C506&amp;$O506)),IF(法术查询!$J$14="",1,SEARCH(法术查询!$J$14,$B506&amp;$C506&amp;$O506)),IF(法术查询!$J$16="",1,IF(法术查询!$J$16=$AF$11,IF($H506=1,1,0),IF($H506="",1,0))),IF(法术查询!$J$17="",1,IF(法术查询!$J$17=$AF$11,IF($I506=1,1,0),IF($I506="",1,0))),IF(法术查询!$J$18="",1,IF(法术查询!$J$18=$AF$11,IF($J506&lt;&gt;"",1,0),IF($J506="",1,0))),IF(法术查询!$J$19="",1,IF(法术查询!$J$19=$AF$11,IF($L506&lt;&gt;"",1,0),IF($L506="",1,0)))),$B506,""),"")</f>
        <v/>
      </c>
      <c r="AD505" s="180" t="str">
        <f t="array" ref="AD505">INDEX(AC:AC,SMALL(IF($AC$2:$AC$516&lt;&gt;"",ROW($2:$516),517),ROW(AC504)))&amp;""</f>
        <v/>
      </c>
      <c r="AE505" s="198" t="str">
        <f t="shared" si="11"/>
        <v/>
      </c>
    </row>
    <row r="506" spans="1:31" ht="14.4" customHeight="1" x14ac:dyDescent="0.25">
      <c r="A506" s="250">
        <v>504</v>
      </c>
      <c r="B506" s="119" t="s">
        <v>8374</v>
      </c>
      <c r="C506" s="119" t="s">
        <v>8375</v>
      </c>
      <c r="E506" s="378" t="s">
        <v>6281</v>
      </c>
      <c r="F506" s="180" t="s">
        <v>6282</v>
      </c>
      <c r="G506" s="180" t="s">
        <v>6460</v>
      </c>
      <c r="H506" s="180">
        <v>1</v>
      </c>
      <c r="I506" s="180">
        <v>1</v>
      </c>
      <c r="M506" s="180">
        <v>1</v>
      </c>
      <c r="N506" s="180" t="s">
        <v>6306</v>
      </c>
      <c r="O506" s="119" t="s">
        <v>8376</v>
      </c>
      <c r="P506" s="119">
        <v>9</v>
      </c>
      <c r="Q506" s="119" t="s">
        <v>242</v>
      </c>
      <c r="T506" s="180">
        <v>1</v>
      </c>
      <c r="AA506" s="198"/>
      <c r="AB506" s="250" t="str">
        <f t="array" ref="AB506">INDEX(B:B,SMALL(IF($Q$3:$Q$517&lt;&gt;"",ROW($3:$517),518),ROW(B505)))&amp;""</f>
        <v>怪影杀手</v>
      </c>
      <c r="AC506" s="394" t="str">
        <f>IFERROR(IF(AND($Q507&lt;&gt;"",IF(法术查询!$J$4="",1,INDEX($R507:$Z507,1,VLOOKUP(法术查询!$J$4,$AF$2:$AG$10,2,0)))&lt;&gt;"",IF(法术查询!$J$5="",1,$P507=VLOOKUP(法术查询!$J$5,$AH$2:$AI$11,2,0)),IF(法术查询!$J$6="",1,IF(法术查询!$J$6=$E507,1,0)),IF(法术查询!$J$7="",1,SEARCH(法术查询!$J$7,$F507)),IF(法术查询!$J$8="",1,SEARCH(法术查询!$J$8,G507)),IF(法术查询!$J$9="",1,SEARCH(法术查询!$J$9,N507)),IF(法术查询!$J$10="",1,IF(法术查询!$J$10=$AF$11,IF($M507=1,1,0),IF($M507="",1,0))),IF(法术查询!$J$11="",1,IF(法术查询!$J$11=$AF$11,IF($D507=1,1,0),IF($D507="",1,0))),IF(法术查询!$J$12="",1,SEARCH(法术查询!$J$12,$B507&amp;$C507&amp;$O507)),IF(法术查询!$J$13="",1,SEARCH(法术查询!$J$13,$B507&amp;$C507&amp;$O507)),IF(法术查询!$J$14="",1,SEARCH(法术查询!$J$14,$B507&amp;$C507&amp;$O507)),IF(法术查询!$J$16="",1,IF(法术查询!$J$16=$AF$11,IF($H507=1,1,0),IF($H507="",1,0))),IF(法术查询!$J$17="",1,IF(法术查询!$J$17=$AF$11,IF($I507=1,1,0),IF($I507="",1,0))),IF(法术查询!$J$18="",1,IF(法术查询!$J$18=$AF$11,IF($J507&lt;&gt;"",1,0),IF($J507="",1,0))),IF(法术查询!$J$19="",1,IF(法术查询!$J$19=$AF$11,IF($L507&lt;&gt;"",1,0),IF($L507="",1,0)))),$B507,""),"")</f>
        <v/>
      </c>
      <c r="AD506" s="180" t="str">
        <f t="array" ref="AD506">INDEX(AC:AC,SMALL(IF($AC$2:$AC$516&lt;&gt;"",ROW($2:$516),517),ROW(AC505)))&amp;""</f>
        <v/>
      </c>
      <c r="AE506" s="198" t="str">
        <f t="shared" si="11"/>
        <v/>
      </c>
    </row>
    <row r="507" spans="1:31" ht="14.4" customHeight="1" x14ac:dyDescent="0.25">
      <c r="A507" s="250">
        <v>505</v>
      </c>
      <c r="B507" s="119" t="s">
        <v>8377</v>
      </c>
      <c r="C507" s="119" t="s">
        <v>8378</v>
      </c>
      <c r="E507" s="435" t="s">
        <v>6312</v>
      </c>
      <c r="F507" s="180" t="s">
        <v>6282</v>
      </c>
      <c r="G507" s="180" t="s">
        <v>6291</v>
      </c>
      <c r="H507" s="180">
        <v>1</v>
      </c>
      <c r="N507" s="180" t="s">
        <v>6284</v>
      </c>
      <c r="O507" s="119" t="s">
        <v>8379</v>
      </c>
      <c r="P507" s="119">
        <v>9</v>
      </c>
      <c r="Q507" s="119" t="s">
        <v>242</v>
      </c>
      <c r="W507" s="180">
        <v>1</v>
      </c>
      <c r="X507" s="180">
        <v>1</v>
      </c>
      <c r="AA507" s="198"/>
      <c r="AB507" s="250" t="str">
        <f t="array" ref="AB507">INDEX(B:B,SMALL(IF($Q$3:$Q$517&lt;&gt;"",ROW($3:$517),518),ROW(B506)))&amp;""</f>
        <v>祈愿术</v>
      </c>
      <c r="AC507" s="394" t="str">
        <f>IFERROR(IF(AND($Q508&lt;&gt;"",IF(法术查询!$J$4="",1,INDEX($R508:$Z508,1,VLOOKUP(法术查询!$J$4,$AF$2:$AG$10,2,0)))&lt;&gt;"",IF(法术查询!$J$5="",1,$P508=VLOOKUP(法术查询!$J$5,$AH$2:$AI$11,2,0)),IF(法术查询!$J$6="",1,IF(法术查询!$J$6=$E508,1,0)),IF(法术查询!$J$7="",1,SEARCH(法术查询!$J$7,$F508)),IF(法术查询!$J$8="",1,SEARCH(法术查询!$J$8,G508)),IF(法术查询!$J$9="",1,SEARCH(法术查询!$J$9,N508)),IF(法术查询!$J$10="",1,IF(法术查询!$J$10=$AF$11,IF($M508=1,1,0),IF($M508="",1,0))),IF(法术查询!$J$11="",1,IF(法术查询!$J$11=$AF$11,IF($D508=1,1,0),IF($D508="",1,0))),IF(法术查询!$J$12="",1,SEARCH(法术查询!$J$12,$B508&amp;$C508&amp;$O508)),IF(法术查询!$J$13="",1,SEARCH(法术查询!$J$13,$B508&amp;$C508&amp;$O508)),IF(法术查询!$J$14="",1,SEARCH(法术查询!$J$14,$B508&amp;$C508&amp;$O508)),IF(法术查询!$J$16="",1,IF(法术查询!$J$16=$AF$11,IF($H508=1,1,0),IF($H508="",1,0))),IF(法术查询!$J$17="",1,IF(法术查询!$J$17=$AF$11,IF($I508=1,1,0),IF($I508="",1,0))),IF(法术查询!$J$18="",1,IF(法术查询!$J$18=$AF$11,IF($J508&lt;&gt;"",1,0),IF($J508="",1,0))),IF(法术查询!$J$19="",1,IF(法术查询!$J$19=$AF$11,IF($L508&lt;&gt;"",1,0),IF($L508="",1,0)))),$B508,""),"")</f>
        <v/>
      </c>
      <c r="AD507" s="180" t="str">
        <f t="array" ref="AD507">INDEX(AC:AC,SMALL(IF($AC$2:$AC$516&lt;&gt;"",ROW($2:$516),517),ROW(AC506)))&amp;""</f>
        <v/>
      </c>
      <c r="AE507" s="198" t="str">
        <f t="shared" si="11"/>
        <v/>
      </c>
    </row>
    <row r="508" spans="1:31" ht="14.4" customHeight="1" x14ac:dyDescent="0.25">
      <c r="A508" s="250">
        <v>506</v>
      </c>
      <c r="B508" s="119" t="s">
        <v>8380</v>
      </c>
      <c r="C508" s="119" t="s">
        <v>8381</v>
      </c>
      <c r="E508" s="435" t="s">
        <v>6312</v>
      </c>
      <c r="F508" s="180" t="s">
        <v>6282</v>
      </c>
      <c r="G508" s="180" t="s">
        <v>6313</v>
      </c>
      <c r="H508" s="180">
        <v>1</v>
      </c>
      <c r="I508" s="180">
        <v>1</v>
      </c>
      <c r="J508" s="180">
        <v>1</v>
      </c>
      <c r="K508" s="119" t="s">
        <v>8382</v>
      </c>
      <c r="M508" s="180">
        <v>1</v>
      </c>
      <c r="N508" s="180" t="s">
        <v>6379</v>
      </c>
      <c r="O508" s="119" t="s">
        <v>8383</v>
      </c>
      <c r="P508" s="119">
        <v>9</v>
      </c>
      <c r="Q508" s="119" t="s">
        <v>242</v>
      </c>
      <c r="R508" s="180">
        <v>1</v>
      </c>
      <c r="X508" s="180">
        <v>1</v>
      </c>
      <c r="Y508" s="180">
        <v>1</v>
      </c>
      <c r="AA508" s="198"/>
      <c r="AB508" s="250" t="str">
        <f t="array" ref="AB508">INDEX(B:B,SMALL(IF($Q$3:$Q$517&lt;&gt;"",ROW($3:$517),518),ROW(B507)))&amp;""</f>
        <v>无敌术</v>
      </c>
      <c r="AC508" s="394" t="str">
        <f>IFERROR(IF(AND($Q509&lt;&gt;"",IF(法术查询!$J$4="",1,INDEX($R509:$Z509,1,VLOOKUP(法术查询!$J$4,$AF$2:$AG$10,2,0)))&lt;&gt;"",IF(法术查询!$J$5="",1,$P509=VLOOKUP(法术查询!$J$5,$AH$2:$AI$11,2,0)),IF(法术查询!$J$6="",1,IF(法术查询!$J$6=$E509,1,0)),IF(法术查询!$J$7="",1,SEARCH(法术查询!$J$7,$F509)),IF(法术查询!$J$8="",1,SEARCH(法术查询!$J$8,G509)),IF(法术查询!$J$9="",1,SEARCH(法术查询!$J$9,N509)),IF(法术查询!$J$10="",1,IF(法术查询!$J$10=$AF$11,IF($M509=1,1,0),IF($M509="",1,0))),IF(法术查询!$J$11="",1,IF(法术查询!$J$11=$AF$11,IF($D509=1,1,0),IF($D509="",1,0))),IF(法术查询!$J$12="",1,SEARCH(法术查询!$J$12,$B509&amp;$C509&amp;$O509)),IF(法术查询!$J$13="",1,SEARCH(法术查询!$J$13,$B509&amp;$C509&amp;$O509)),IF(法术查询!$J$14="",1,SEARCH(法术查询!$J$14,$B509&amp;$C509&amp;$O509)),IF(法术查询!$J$16="",1,IF(法术查询!$J$16=$AF$11,IF($H509=1,1,0),IF($H509="",1,0))),IF(法术查询!$J$17="",1,IF(法术查询!$J$17=$AF$11,IF($I509=1,1,0),IF($I509="",1,0))),IF(法术查询!$J$18="",1,IF(法术查询!$J$18=$AF$11,IF($J509&lt;&gt;"",1,0),IF($J509="",1,0))),IF(法术查询!$J$19="",1,IF(法术查询!$J$19=$AF$11,IF($L509&lt;&gt;"",1,0),IF($L509="",1,0)))),$B509,""),"")</f>
        <v/>
      </c>
      <c r="AD508" s="180" t="str">
        <f t="array" ref="AD508">INDEX(AC:AC,SMALL(IF($AC$2:$AC$516&lt;&gt;"",ROW($2:$516),517),ROW(AC507)))&amp;""</f>
        <v/>
      </c>
      <c r="AE508" s="198" t="str">
        <f t="shared" si="11"/>
        <v/>
      </c>
    </row>
    <row r="509" spans="1:31" ht="14.4" customHeight="1" x14ac:dyDescent="0.25">
      <c r="A509" s="250">
        <v>507</v>
      </c>
      <c r="B509" s="119" t="s">
        <v>8384</v>
      </c>
      <c r="C509" s="119" t="s">
        <v>8385</v>
      </c>
      <c r="E509" s="441" t="s">
        <v>6297</v>
      </c>
      <c r="F509" s="180" t="s">
        <v>6344</v>
      </c>
      <c r="G509" s="180" t="s">
        <v>3682</v>
      </c>
      <c r="H509" s="180">
        <v>1</v>
      </c>
      <c r="I509" s="180">
        <v>1</v>
      </c>
      <c r="J509" s="180">
        <v>1</v>
      </c>
      <c r="L509" s="119" t="s">
        <v>8386</v>
      </c>
      <c r="N509" s="180" t="s">
        <v>6284</v>
      </c>
      <c r="O509" s="119" t="s">
        <v>8387</v>
      </c>
      <c r="P509" s="119">
        <v>9</v>
      </c>
      <c r="Q509" s="119" t="s">
        <v>242</v>
      </c>
      <c r="S509" s="180">
        <v>1</v>
      </c>
      <c r="T509" s="180">
        <v>1</v>
      </c>
      <c r="AA509" s="198"/>
      <c r="AB509" s="250" t="str">
        <f t="array" ref="AB509">INDEX(B:B,SMALL(IF($Q$3:$Q$517&lt;&gt;"",ROW($3:$517),518),ROW(B508)))&amp;""</f>
        <v>群体变形术</v>
      </c>
      <c r="AC509" s="394" t="str">
        <f>IFERROR(IF(AND($Q510&lt;&gt;"",IF(法术查询!$J$4="",1,INDEX($R510:$Z510,1,VLOOKUP(法术查询!$J$4,$AF$2:$AG$10,2,0)))&lt;&gt;"",IF(法术查询!$J$5="",1,$P510=VLOOKUP(法术查询!$J$5,$AH$2:$AI$11,2,0)),IF(法术查询!$J$6="",1,IF(法术查询!$J$6=$E510,1,0)),IF(法术查询!$J$7="",1,SEARCH(法术查询!$J$7,$F510)),IF(法术查询!$J$8="",1,SEARCH(法术查询!$J$8,G510)),IF(法术查询!$J$9="",1,SEARCH(法术查询!$J$9,N510)),IF(法术查询!$J$10="",1,IF(法术查询!$J$10=$AF$11,IF($M510=1,1,0),IF($M510="",1,0))),IF(法术查询!$J$11="",1,IF(法术查询!$J$11=$AF$11,IF($D510=1,1,0),IF($D510="",1,0))),IF(法术查询!$J$12="",1,SEARCH(法术查询!$J$12,$B510&amp;$C510&amp;$O510)),IF(法术查询!$J$13="",1,SEARCH(法术查询!$J$13,$B510&amp;$C510&amp;$O510)),IF(法术查询!$J$14="",1,SEARCH(法术查询!$J$14,$B510&amp;$C510&amp;$O510)),IF(法术查询!$J$16="",1,IF(法术查询!$J$16=$AF$11,IF($H510=1,1,0),IF($H510="",1,0))),IF(法术查询!$J$17="",1,IF(法术查询!$J$17=$AF$11,IF($I510=1,1,0),IF($I510="",1,0))),IF(法术查询!$J$18="",1,IF(法术查询!$J$18=$AF$11,IF($J510&lt;&gt;"",1,0),IF($J510="",1,0))),IF(法术查询!$J$19="",1,IF(法术查询!$J$19=$AF$11,IF($L510&lt;&gt;"",1,0),IF($L510="",1,0)))),$B510,""),"")</f>
        <v/>
      </c>
      <c r="AD509" s="180" t="str">
        <f t="array" ref="AD509">INDEX(AC:AC,SMALL(IF($AC$2:$AC$516&lt;&gt;"",ROW($2:$516),517),ROW(AC508)))&amp;""</f>
        <v/>
      </c>
      <c r="AE509" s="198" t="str">
        <f t="shared" si="11"/>
        <v/>
      </c>
    </row>
    <row r="510" spans="1:31" ht="14.4" customHeight="1" x14ac:dyDescent="0.25">
      <c r="A510" s="250">
        <v>508</v>
      </c>
      <c r="B510" s="119" t="s">
        <v>8388</v>
      </c>
      <c r="C510" s="119" t="s">
        <v>8389</v>
      </c>
      <c r="E510" s="285" t="s">
        <v>6366</v>
      </c>
      <c r="F510" s="180" t="s">
        <v>6282</v>
      </c>
      <c r="G510" s="180" t="s">
        <v>6298</v>
      </c>
      <c r="H510" s="180">
        <v>1</v>
      </c>
      <c r="I510" s="180">
        <v>1</v>
      </c>
      <c r="M510" s="180">
        <v>1</v>
      </c>
      <c r="N510" s="180" t="s">
        <v>6306</v>
      </c>
      <c r="O510" s="119" t="s">
        <v>8390</v>
      </c>
      <c r="P510" s="119">
        <v>9</v>
      </c>
      <c r="Q510" s="119" t="s">
        <v>242</v>
      </c>
      <c r="X510" s="180">
        <v>1</v>
      </c>
      <c r="Y510" s="180" t="str">
        <f>IF(综合数据!$B$14=TRUE,"13","")</f>
        <v>13</v>
      </c>
      <c r="AA510" s="198"/>
      <c r="AB510" s="250" t="str">
        <f t="array" ref="AB510">INDEX(B:B,SMALL(IF($Q$3:$Q$517&lt;&gt;"",ROW($3:$517),518),ROW(B509)))&amp;""</f>
        <v>心灵尖啸</v>
      </c>
      <c r="AC510" s="394" t="str">
        <f>IFERROR(IF(AND($Q511&lt;&gt;"",IF(法术查询!$J$4="",1,INDEX($R511:$Z511,1,VLOOKUP(法术查询!$J$4,$AF$2:$AG$10,2,0)))&lt;&gt;"",IF(法术查询!$J$5="",1,$P511=VLOOKUP(法术查询!$J$5,$AH$2:$AI$11,2,0)),IF(法术查询!$J$6="",1,IF(法术查询!$J$6=$E511,1,0)),IF(法术查询!$J$7="",1,SEARCH(法术查询!$J$7,$F511)),IF(法术查询!$J$8="",1,SEARCH(法术查询!$J$8,G511)),IF(法术查询!$J$9="",1,SEARCH(法术查询!$J$9,N511)),IF(法术查询!$J$10="",1,IF(法术查询!$J$10=$AF$11,IF($M511=1,1,0),IF($M511="",1,0))),IF(法术查询!$J$11="",1,IF(法术查询!$J$11=$AF$11,IF($D511=1,1,0),IF($D511="",1,0))),IF(法术查询!$J$12="",1,SEARCH(法术查询!$J$12,$B511&amp;$C511&amp;$O511)),IF(法术查询!$J$13="",1,SEARCH(法术查询!$J$13,$B511&amp;$C511&amp;$O511)),IF(法术查询!$J$14="",1,SEARCH(法术查询!$J$14,$B511&amp;$C511&amp;$O511)),IF(法术查询!$J$16="",1,IF(法术查询!$J$16=$AF$11,IF($H511=1,1,0),IF($H511="",1,0))),IF(法术查询!$J$17="",1,IF(法术查询!$J$17=$AF$11,IF($I511=1,1,0),IF($I511="",1,0))),IF(法术查询!$J$18="",1,IF(法术查询!$J$18=$AF$11,IF($J511&lt;&gt;"",1,0),IF($J511="",1,0))),IF(法术查询!$J$19="",1,IF(法术查询!$J$19=$AF$11,IF($L511&lt;&gt;"",1,0),IF($L511="",1,0)))),$B511,""),"")</f>
        <v/>
      </c>
      <c r="AD510" s="180" t="str">
        <f t="array" ref="AD510">INDEX(AC:AC,SMALL(IF($AC$2:$AC$516&lt;&gt;"",ROW($2:$516),517),ROW(AC509)))&amp;""</f>
        <v/>
      </c>
      <c r="AE510" s="198" t="str">
        <f t="shared" si="11"/>
        <v/>
      </c>
    </row>
    <row r="511" spans="1:31" ht="14.4" customHeight="1" x14ac:dyDescent="0.25">
      <c r="A511" s="250">
        <v>509</v>
      </c>
      <c r="B511" s="119" t="s">
        <v>8391</v>
      </c>
      <c r="C511" s="119" t="s">
        <v>8392</v>
      </c>
      <c r="E511" s="378" t="s">
        <v>6281</v>
      </c>
      <c r="F511" s="180" t="s">
        <v>6282</v>
      </c>
      <c r="G511" s="180" t="s">
        <v>6291</v>
      </c>
      <c r="H511" s="180">
        <v>1</v>
      </c>
      <c r="N511" s="180" t="s">
        <v>6284</v>
      </c>
      <c r="O511" s="119" t="s">
        <v>8393</v>
      </c>
      <c r="P511" s="119">
        <v>9</v>
      </c>
      <c r="Q511" s="119" t="s">
        <v>242</v>
      </c>
      <c r="W511" s="180">
        <v>1</v>
      </c>
      <c r="X511" s="180">
        <v>1</v>
      </c>
      <c r="AA511" s="198"/>
      <c r="AB511" s="250" t="str">
        <f t="array" ref="AB511">INDEX(B:B,SMALL(IF($Q$3:$Q$517&lt;&gt;"",ROW($3:$517),518),ROW(B510)))&amp;""</f>
        <v>饕餮虚空</v>
      </c>
      <c r="AC511" s="394" t="str">
        <f>IFERROR(IF(AND($Q512&lt;&gt;"",IF(法术查询!$J$4="",1,INDEX($R512:$Z512,1,VLOOKUP(法术查询!$J$4,$AF$2:$AG$10,2,0)))&lt;&gt;"",IF(法术查询!$J$5="",1,$P512=VLOOKUP(法术查询!$J$5,$AH$2:$AI$11,2,0)),IF(法术查询!$J$6="",1,IF(法术查询!$J$6=$E512,1,0)),IF(法术查询!$J$7="",1,SEARCH(法术查询!$J$7,$F512)),IF(法术查询!$J$8="",1,SEARCH(法术查询!$J$8,G512)),IF(法术查询!$J$9="",1,SEARCH(法术查询!$J$9,N512)),IF(法术查询!$J$10="",1,IF(法术查询!$J$10=$AF$11,IF($M512=1,1,0),IF($M512="",1,0))),IF(法术查询!$J$11="",1,IF(法术查询!$J$11=$AF$11,IF($D512=1,1,0),IF($D512="",1,0))),IF(法术查询!$J$12="",1,SEARCH(法术查询!$J$12,$B512&amp;$C512&amp;$O512)),IF(法术查询!$J$13="",1,SEARCH(法术查询!$J$13,$B512&amp;$C512&amp;$O512)),IF(法术查询!$J$14="",1,SEARCH(法术查询!$J$14,$B512&amp;$C512&amp;$O512)),IF(法术查询!$J$16="",1,IF(法术查询!$J$16=$AF$11,IF($H512=1,1,0),IF($H512="",1,0))),IF(法术查询!$J$17="",1,IF(法术查询!$J$17=$AF$11,IF($I512=1,1,0),IF($I512="",1,0))),IF(法术查询!$J$18="",1,IF(法术查询!$J$18=$AF$11,IF($J512&lt;&gt;"",1,0),IF($J512="",1,0))),IF(法术查询!$J$19="",1,IF(法术查询!$J$19=$AF$11,IF($L512&lt;&gt;"",1,0),IF($L512="",1,0)))),$B512,""),"")</f>
        <v/>
      </c>
      <c r="AD511" s="180" t="str">
        <f t="array" ref="AD511">INDEX(AC:AC,SMALL(IF($AC$2:$AC$516&lt;&gt;"",ROW($2:$516),517),ROW(AC510)))&amp;""</f>
        <v/>
      </c>
      <c r="AE511" s="198" t="str">
        <f t="shared" si="11"/>
        <v/>
      </c>
    </row>
    <row r="512" spans="1:31" ht="14.4" customHeight="1" x14ac:dyDescent="0.25">
      <c r="A512" s="250">
        <v>510</v>
      </c>
      <c r="B512" s="119" t="s">
        <v>8394</v>
      </c>
      <c r="C512" s="119" t="s">
        <v>8395</v>
      </c>
      <c r="E512" s="440" t="s">
        <v>6290</v>
      </c>
      <c r="F512" s="180" t="s">
        <v>6282</v>
      </c>
      <c r="G512" s="180" t="s">
        <v>6291</v>
      </c>
      <c r="H512" s="180">
        <v>1</v>
      </c>
      <c r="I512" s="180">
        <v>1</v>
      </c>
      <c r="J512" s="180">
        <v>1</v>
      </c>
      <c r="L512" s="119" t="s">
        <v>8396</v>
      </c>
      <c r="M512" s="180">
        <v>1</v>
      </c>
      <c r="N512" s="180" t="s">
        <v>6471</v>
      </c>
      <c r="O512" s="119" t="s">
        <v>8397</v>
      </c>
      <c r="P512" s="119">
        <v>9</v>
      </c>
      <c r="Q512" s="251" t="str">
        <f>IF(综合数据!$B$7=TRUE,"XGE","")</f>
        <v>XGE</v>
      </c>
      <c r="X512" s="180">
        <v>6</v>
      </c>
      <c r="AA512" s="198"/>
      <c r="AB512" s="250" t="str">
        <f t="array" ref="AB512">INDEX(B:B,SMALL(IF($Q$3:$Q$517&lt;&gt;"",ROW($3:$517),518),ROW(B511)))&amp;""</f>
        <v>时光蹂躏</v>
      </c>
      <c r="AC512" s="394" t="str">
        <f>IFERROR(IF(AND($Q513&lt;&gt;"",IF(法术查询!$J$4="",1,INDEX($R513:$Z513,1,VLOOKUP(法术查询!$J$4,$AF$2:$AG$10,2,0)))&lt;&gt;"",IF(法术查询!$J$5="",1,$P513=VLOOKUP(法术查询!$J$5,$AH$2:$AI$11,2,0)),IF(法术查询!$J$6="",1,IF(法术查询!$J$6=$E513,1,0)),IF(法术查询!$J$7="",1,SEARCH(法术查询!$J$7,$F513)),IF(法术查询!$J$8="",1,SEARCH(法术查询!$J$8,G513)),IF(法术查询!$J$9="",1,SEARCH(法术查询!$J$9,N513)),IF(法术查询!$J$10="",1,IF(法术查询!$J$10=$AF$11,IF($M513=1,1,0),IF($M513="",1,0))),IF(法术查询!$J$11="",1,IF(法术查询!$J$11=$AF$11,IF($D513=1,1,0),IF($D513="",1,0))),IF(法术查询!$J$12="",1,SEARCH(法术查询!$J$12,$B513&amp;$C513&amp;$O513)),IF(法术查询!$J$13="",1,SEARCH(法术查询!$J$13,$B513&amp;$C513&amp;$O513)),IF(法术查询!$J$14="",1,SEARCH(法术查询!$J$14,$B513&amp;$C513&amp;$O513)),IF(法术查询!$J$16="",1,IF(法术查询!$J$16=$AF$11,IF($H513=1,1,0),IF($H513="",1,0))),IF(法术查询!$J$17="",1,IF(法术查询!$J$17=$AF$11,IF($I513=1,1,0),IF($I513="",1,0))),IF(法术查询!$J$18="",1,IF(法术查询!$J$18=$AF$11,IF($J513&lt;&gt;"",1,0),IF($J513="",1,0))),IF(法术查询!$J$19="",1,IF(法术查询!$J$19=$AF$11,IF($L513&lt;&gt;"",1,0),IF($L513="",1,0)))),$B513,""),"")</f>
        <v/>
      </c>
      <c r="AD512" s="180" t="str">
        <f t="array" ref="AD512">INDEX(AC:AC,SMALL(IF($AC$2:$AC$516&lt;&gt;"",ROW($2:$516),517),ROW(AC511)))&amp;""</f>
        <v/>
      </c>
      <c r="AE512" s="198" t="str">
        <f t="shared" si="11"/>
        <v/>
      </c>
    </row>
    <row r="513" spans="1:31" ht="14.4" customHeight="1" x14ac:dyDescent="0.25">
      <c r="A513" s="250">
        <v>511</v>
      </c>
      <c r="B513" s="119" t="s">
        <v>8398</v>
      </c>
      <c r="C513" s="119" t="s">
        <v>8399</v>
      </c>
      <c r="E513" s="435" t="s">
        <v>6312</v>
      </c>
      <c r="F513" s="180" t="s">
        <v>6282</v>
      </c>
      <c r="G513" s="180" t="s">
        <v>6298</v>
      </c>
      <c r="H513" s="180">
        <v>1</v>
      </c>
      <c r="I513" s="180">
        <v>1</v>
      </c>
      <c r="J513" s="180">
        <v>1</v>
      </c>
      <c r="K513" s="119" t="s">
        <v>8400</v>
      </c>
      <c r="M513" s="180">
        <v>1</v>
      </c>
      <c r="N513" s="180" t="s">
        <v>6379</v>
      </c>
      <c r="O513" s="119" t="s">
        <v>8401</v>
      </c>
      <c r="P513" s="119">
        <v>9</v>
      </c>
      <c r="Q513" s="251" t="str">
        <f>IF(综合数据!$B$7=TRUE,"XGE","")</f>
        <v>XGE</v>
      </c>
      <c r="R513" s="180">
        <v>6</v>
      </c>
      <c r="W513" s="180">
        <v>6</v>
      </c>
      <c r="X513" s="180">
        <v>6</v>
      </c>
      <c r="AA513" s="198"/>
      <c r="AB513" s="250" t="str">
        <f t="array" ref="AB513">INDEX(B:B,SMALL(IF($Q$3:$Q$517&lt;&gt;"",ROW($3:$517),518),ROW(B512)))&amp;""</f>
        <v>灾厄之刃</v>
      </c>
      <c r="AC513" s="394" t="str">
        <f>IFERROR(IF(AND($Q514&lt;&gt;"",IF(法术查询!$J$4="",1,INDEX($R514:$Z514,1,VLOOKUP(法术查询!$J$4,$AF$2:$AG$10,2,0)))&lt;&gt;"",IF(法术查询!$J$5="",1,$P514=VLOOKUP(法术查询!$J$5,$AH$2:$AI$11,2,0)),IF(法术查询!$J$6="",1,IF(法术查询!$J$6=$E514,1,0)),IF(法术查询!$J$7="",1,SEARCH(法术查询!$J$7,$F514)),IF(法术查询!$J$8="",1,SEARCH(法术查询!$J$8,G514)),IF(法术查询!$J$9="",1,SEARCH(法术查询!$J$9,N514)),IF(法术查询!$J$10="",1,IF(法术查询!$J$10=$AF$11,IF($M514=1,1,0),IF($M514="",1,0))),IF(法术查询!$J$11="",1,IF(法术查询!$J$11=$AF$11,IF($D514=1,1,0),IF($D514="",1,0))),IF(法术查询!$J$12="",1,SEARCH(法术查询!$J$12,$B514&amp;$C514&amp;$O514)),IF(法术查询!$J$13="",1,SEARCH(法术查询!$J$13,$B514&amp;$C514&amp;$O514)),IF(法术查询!$J$14="",1,SEARCH(法术查询!$J$14,$B514&amp;$C514&amp;$O514)),IF(法术查询!$J$16="",1,IF(法术查询!$J$16=$AF$11,IF($H514=1,1,0),IF($H514="",1,0))),IF(法术查询!$J$17="",1,IF(法术查询!$J$17=$AF$11,IF($I514=1,1,0),IF($I514="",1,0))),IF(法术查询!$J$18="",1,IF(法术查询!$J$18=$AF$11,IF($J514&lt;&gt;"",1,0),IF($J514="",1,0))),IF(法术查询!$J$19="",1,IF(法术查询!$J$19=$AF$11,IF($L514&lt;&gt;"",1,0),IF($L514="",1,0)))),$B514,""),"")</f>
        <v/>
      </c>
      <c r="AD513" s="180" t="str">
        <f t="array" ref="AD513">INDEX(AC:AC,SMALL(IF($AC$2:$AC$516&lt;&gt;"",ROW($2:$516),517),ROW(AC512)))&amp;""</f>
        <v/>
      </c>
      <c r="AE513" s="198" t="str">
        <f t="shared" si="11"/>
        <v/>
      </c>
    </row>
    <row r="514" spans="1:31" ht="14.4" customHeight="1" x14ac:dyDescent="0.25">
      <c r="A514" s="250">
        <v>512</v>
      </c>
      <c r="B514" s="119" t="s">
        <v>8402</v>
      </c>
      <c r="C514" s="119" t="s">
        <v>8403</v>
      </c>
      <c r="E514" s="379" t="s">
        <v>6328</v>
      </c>
      <c r="F514" s="180" t="s">
        <v>6282</v>
      </c>
      <c r="G514" s="180" t="s">
        <v>6400</v>
      </c>
      <c r="I514" s="180">
        <v>1</v>
      </c>
      <c r="N514" s="180" t="s">
        <v>6284</v>
      </c>
      <c r="O514" s="119" t="s">
        <v>8404</v>
      </c>
      <c r="P514" s="119">
        <v>9</v>
      </c>
      <c r="Q514" s="251" t="str">
        <f>IF(综合数据!$B$7=TRUE,"XGE","")</f>
        <v>XGE</v>
      </c>
      <c r="R514" s="180">
        <v>6</v>
      </c>
      <c r="W514" s="180">
        <v>6</v>
      </c>
      <c r="X514" s="180">
        <v>6</v>
      </c>
      <c r="Y514" s="180">
        <v>6</v>
      </c>
      <c r="AA514" s="198"/>
      <c r="AB514" s="250" t="str">
        <f t="array" ref="AB514">INDEX(B:B,SMALL(IF($Q$3:$Q$517&lt;&gt;"",ROW($3:$517),518),ROW(B513)))&amp;""</f>
        <v/>
      </c>
      <c r="AC514" s="394" t="str">
        <f>IFERROR(IF(AND($Q515&lt;&gt;"",IF(法术查询!$J$4="",1,INDEX($R515:$Z515,1,VLOOKUP(法术查询!$J$4,$AF$2:$AG$10,2,0)))&lt;&gt;"",IF(法术查询!$J$5="",1,$P515=VLOOKUP(法术查询!$J$5,$AH$2:$AI$11,2,0)),IF(法术查询!$J$6="",1,IF(法术查询!$J$6=$E515,1,0)),IF(法术查询!$J$7="",1,SEARCH(法术查询!$J$7,$F515)),IF(法术查询!$J$8="",1,SEARCH(法术查询!$J$8,G515)),IF(法术查询!$J$9="",1,SEARCH(法术查询!$J$9,N515)),IF(法术查询!$J$10="",1,IF(法术查询!$J$10=$AF$11,IF($M515=1,1,0),IF($M515="",1,0))),IF(法术查询!$J$11="",1,IF(法术查询!$J$11=$AF$11,IF($D515=1,1,0),IF($D515="",1,0))),IF(法术查询!$J$12="",1,SEARCH(法术查询!$J$12,$B515&amp;$C515&amp;$O515)),IF(法术查询!$J$13="",1,SEARCH(法术查询!$J$13,$B515&amp;$C515&amp;$O515)),IF(法术查询!$J$14="",1,SEARCH(法术查询!$J$14,$B515&amp;$C515&amp;$O515)),IF(法术查询!$J$16="",1,IF(法术查询!$J$16=$AF$11,IF($H515=1,1,0),IF($H515="",1,0))),IF(法术查询!$J$17="",1,IF(法术查询!$J$17=$AF$11,IF($I515=1,1,0),IF($I515="",1,0))),IF(法术查询!$J$18="",1,IF(法术查询!$J$18=$AF$11,IF($J515&lt;&gt;"",1,0),IF($J515="",1,0))),IF(法术查询!$J$19="",1,IF(法术查询!$J$19=$AF$11,IF($L515&lt;&gt;"",1,0),IF($L515="",1,0)))),$B515,""),"")</f>
        <v/>
      </c>
      <c r="AD514" s="180" t="str">
        <f t="array" ref="AD514">INDEX(AC:AC,SMALL(IF($AC$2:$AC$516&lt;&gt;"",ROW($2:$516),517),ROW(AC513)))&amp;""</f>
        <v/>
      </c>
      <c r="AE514" s="198" t="str">
        <f t="shared" si="11"/>
        <v/>
      </c>
    </row>
    <row r="515" spans="1:31" ht="14.4" customHeight="1" x14ac:dyDescent="0.25">
      <c r="A515" s="250">
        <v>513</v>
      </c>
      <c r="B515" s="119" t="s">
        <v>8405</v>
      </c>
      <c r="C515" s="119" t="s">
        <v>8406</v>
      </c>
      <c r="E515" s="434" t="s">
        <v>6304</v>
      </c>
      <c r="F515" s="180" t="s">
        <v>6282</v>
      </c>
      <c r="G515" s="180" t="s">
        <v>6453</v>
      </c>
      <c r="H515" s="180">
        <v>1</v>
      </c>
      <c r="I515" s="180">
        <v>1</v>
      </c>
      <c r="J515" s="180">
        <v>1</v>
      </c>
      <c r="K515" s="119" t="s">
        <v>8407</v>
      </c>
      <c r="M515" s="180">
        <v>1</v>
      </c>
      <c r="N515" s="180" t="s">
        <v>6306</v>
      </c>
      <c r="O515" s="119" t="s">
        <v>8408</v>
      </c>
      <c r="P515" s="119">
        <v>9</v>
      </c>
      <c r="Q515" s="257" t="str">
        <f>IF(综合数据!$B$11=TRUE,"EGtW","")</f>
        <v>EGtW</v>
      </c>
      <c r="AA515" s="120" t="s">
        <v>3558</v>
      </c>
      <c r="AB515" s="250" t="str">
        <f t="array" ref="AB515">INDEX(B:B,SMALL(IF($Q$3:$Q$517&lt;&gt;"",ROW($3:$517),518),ROW(B514)))&amp;""</f>
        <v/>
      </c>
      <c r="AC515" s="394" t="str">
        <f>IFERROR(IF(AND($Q516&lt;&gt;"",IF(法术查询!$J$4="",1,INDEX($R516:$Z516,1,VLOOKUP(法术查询!$J$4,$AF$2:$AG$10,2,0)))&lt;&gt;"",IF(法术查询!$J$5="",1,$P516=VLOOKUP(法术查询!$J$5,$AH$2:$AI$11,2,0)),IF(法术查询!$J$6="",1,IF(法术查询!$J$6=$E516,1,0)),IF(法术查询!$J$7="",1,SEARCH(法术查询!$J$7,$F516)),IF(法术查询!$J$8="",1,SEARCH(法术查询!$J$8,G516)),IF(法术查询!$J$9="",1,SEARCH(法术查询!$J$9,N516)),IF(法术查询!$J$10="",1,IF(法术查询!$J$10=$AF$11,IF($M516=1,1,0),IF($M516="",1,0))),IF(法术查询!$J$11="",1,IF(法术查询!$J$11=$AF$11,IF($D516=1,1,0),IF($D516="",1,0))),IF(法术查询!$J$12="",1,SEARCH(法术查询!$J$12,$B516&amp;$C516&amp;$O516)),IF(法术查询!$J$13="",1,SEARCH(法术查询!$J$13,$B516&amp;$C516&amp;$O516)),IF(法术查询!$J$14="",1,SEARCH(法术查询!$J$14,$B516&amp;$C516&amp;$O516)),IF(法术查询!$J$16="",1,IF(法术查询!$J$16=$AF$11,IF($H516=1,1,0),IF($H516="",1,0))),IF(法术查询!$J$17="",1,IF(法术查询!$J$17=$AF$11,IF($I516=1,1,0),IF($I516="",1,0))),IF(法术查询!$J$18="",1,IF(法术查询!$J$18=$AF$11,IF($J516&lt;&gt;"",1,0),IF($J516="",1,0))),IF(法术查询!$J$19="",1,IF(法术查询!$J$19=$AF$11,IF($L516&lt;&gt;"",1,0),IF($L516="",1,0)))),$B516,""),"")</f>
        <v/>
      </c>
      <c r="AD515" s="180" t="str">
        <f t="array" ref="AD515">INDEX(AC:AC,SMALL(IF($AC$2:$AC$516&lt;&gt;"",ROW($2:$516),517),ROW(AC514)))&amp;""</f>
        <v/>
      </c>
      <c r="AE515" s="198" t="str">
        <f>IF(AD515="","",VLOOKUP(AD515,B:C,2,0))</f>
        <v/>
      </c>
    </row>
    <row r="516" spans="1:31" ht="14.4" customHeight="1" x14ac:dyDescent="0.25">
      <c r="A516" s="250">
        <v>514</v>
      </c>
      <c r="B516" s="119" t="s">
        <v>8409</v>
      </c>
      <c r="C516" s="119" t="s">
        <v>8410</v>
      </c>
      <c r="E516" s="441" t="s">
        <v>6297</v>
      </c>
      <c r="F516" s="180" t="s">
        <v>6282</v>
      </c>
      <c r="G516" s="180" t="s">
        <v>6400</v>
      </c>
      <c r="H516" s="180">
        <v>1</v>
      </c>
      <c r="I516" s="180">
        <v>1</v>
      </c>
      <c r="J516" s="180">
        <v>1</v>
      </c>
      <c r="L516" s="119" t="s">
        <v>8411</v>
      </c>
      <c r="N516" s="180" t="s">
        <v>6284</v>
      </c>
      <c r="O516" s="119" t="s">
        <v>8412</v>
      </c>
      <c r="P516" s="119">
        <v>9</v>
      </c>
      <c r="Q516" s="257" t="str">
        <f>IF(综合数据!$B$11=TRUE,"EGtW","")</f>
        <v>EGtW</v>
      </c>
      <c r="AA516" s="120" t="s">
        <v>3551</v>
      </c>
      <c r="AB516" s="339" t="str">
        <f t="array" ref="AB516">INDEX(B:B,SMALL(IF($Q$3:$Q$517&lt;&gt;"",ROW($3:$517),518),ROW(B515)))&amp;""</f>
        <v/>
      </c>
      <c r="AC516" s="400" t="str">
        <f>IFERROR(IF(AND($Q517&lt;&gt;"",IF(法术查询!$J$4="",1,INDEX($R517:$Z517,1,VLOOKUP(法术查询!$J$4,$AF$2:$AG$10,2,0)))&lt;&gt;"",IF(法术查询!$J$5="",1,$P517=VLOOKUP(法术查询!$J$5,$AH$2:$AI$11,2,0)),IF(法术查询!$J$6="",1,IF(法术查询!$J$6=$E517,1,0)),IF(法术查询!$J$7="",1,SEARCH(法术查询!$J$7,$F517)),IF(法术查询!$J$8="",1,SEARCH(法术查询!$J$8,G517)),IF(法术查询!$J$9="",1,SEARCH(法术查询!$J$9,N517)),IF(法术查询!$J$10="",1,IF(法术查询!$J$10=$AF$11,IF($M517=1,1,0),IF($M517="",1,0))),IF(法术查询!$J$11="",1,IF(法术查询!$J$11=$AF$11,IF($D517=1,1,0),IF($D517="",1,0))),IF(法术查询!$J$12="",1,SEARCH(法术查询!$J$12,$B517&amp;$C517&amp;$O517)),IF(法术查询!$J$13="",1,SEARCH(法术查询!$J$13,$B517&amp;$C517&amp;$O517)),IF(法术查询!$J$14="",1,SEARCH(法术查询!$J$14,$B517&amp;$C517&amp;$O517)),IF(法术查询!$J$16="",1,IF(法术查询!$J$16=$AF$11,IF($H517=1,1,0),IF($H517="",1,0))),IF(法术查询!$J$17="",1,IF(法术查询!$J$17=$AF$11,IF($I517=1,1,0),IF($I517="",1,0))),IF(法术查询!$J$18="",1,IF(法术查询!$J$18=$AF$11,IF($J517&lt;&gt;"",1,0),IF($J517="",1,0))),IF(法术查询!$J$19="",1,IF(法术查询!$J$19=$AF$11,IF($L517&lt;&gt;"",1,0),IF($L517="",1,0)))),$B517,""),"")</f>
        <v/>
      </c>
      <c r="AD516" s="235" t="str">
        <f t="array" ref="AD516">INDEX(AC:AC,SMALL(IF($AC$2:$AC$516&lt;&gt;"",ROW($2:$516),517),ROW(AC515)))&amp;""</f>
        <v/>
      </c>
      <c r="AE516" s="280" t="str">
        <f>IF(AD516="","",VLOOKUP(AD516,B:C,2,0))</f>
        <v/>
      </c>
    </row>
    <row r="517" spans="1:31" ht="14.4" customHeight="1" x14ac:dyDescent="0.25">
      <c r="A517" s="339">
        <v>515</v>
      </c>
      <c r="B517" s="129" t="s">
        <v>8413</v>
      </c>
      <c r="C517" s="129" t="s">
        <v>8414</v>
      </c>
      <c r="D517" s="235"/>
      <c r="E517" s="411" t="s">
        <v>6281</v>
      </c>
      <c r="F517" s="235" t="s">
        <v>6352</v>
      </c>
      <c r="G517" s="235" t="s">
        <v>6283</v>
      </c>
      <c r="H517" s="235">
        <v>1</v>
      </c>
      <c r="I517" s="235">
        <v>1</v>
      </c>
      <c r="J517" s="235"/>
      <c r="K517" s="235"/>
      <c r="L517" s="235"/>
      <c r="M517" s="235">
        <v>1</v>
      </c>
      <c r="N517" s="235" t="s">
        <v>6306</v>
      </c>
      <c r="O517" s="129" t="s">
        <v>8415</v>
      </c>
      <c r="P517" s="129">
        <v>9</v>
      </c>
      <c r="Q517" s="447" t="str">
        <f>IF(综合数据!$B$14=TRUE,"TCE","")</f>
        <v>TCE</v>
      </c>
      <c r="R517" s="235"/>
      <c r="S517" s="235"/>
      <c r="T517" s="235"/>
      <c r="U517" s="235"/>
      <c r="V517" s="235"/>
      <c r="W517" s="235">
        <v>13</v>
      </c>
      <c r="X517" s="235">
        <v>13</v>
      </c>
      <c r="Y517" s="235">
        <v>13</v>
      </c>
      <c r="Z517" s="235"/>
      <c r="AA517" s="280"/>
    </row>
  </sheetData>
  <sheetProtection sheet="1" autoFilter="0"/>
  <autoFilter ref="A2:AV522" xr:uid="{00000000-0009-0000-0000-00000A000000}"/>
  <mergeCells count="8">
    <mergeCell ref="AU1:AV1"/>
    <mergeCell ref="AF12:AI12"/>
    <mergeCell ref="AF47:AG47"/>
    <mergeCell ref="AH47:AI47"/>
    <mergeCell ref="H1:J1"/>
    <mergeCell ref="AD1:AE1"/>
    <mergeCell ref="AF1:AG1"/>
    <mergeCell ref="AH1:AI1"/>
  </mergeCells>
  <phoneticPr fontId="83" type="noConversion"/>
  <conditionalFormatting sqref="B523:B1048576 B1:B125 B127:B206 B208:B517">
    <cfRule type="duplicateValues" dxfId="13" priority="949"/>
    <cfRule type="duplicateValues" dxfId="12" priority="950"/>
  </conditionalFormatting>
  <dataValidations count="4">
    <dataValidation type="list" allowBlank="1" showInputMessage="1" showErrorMessage="1" sqref="E2:E517 E523:E1048576" xr:uid="{00000000-0002-0000-0A00-000000000000}">
      <formula1>$AF$13:$AF$20</formula1>
    </dataValidation>
    <dataValidation type="list" allowBlank="1" showInputMessage="1" showErrorMessage="1" sqref="F1:F517 F523:F1048576" xr:uid="{00000000-0002-0000-0A00-000002000000}">
      <formula1>$AG$13:$AG$31</formula1>
    </dataValidation>
    <dataValidation type="list" allowBlank="1" showInputMessage="1" showErrorMessage="1" sqref="G1:G517 G523:G1048576" xr:uid="{00000000-0002-0000-0A00-000004000000}">
      <formula1>$AH$13:$AH$46</formula1>
    </dataValidation>
    <dataValidation type="list" allowBlank="1" showInputMessage="1" showErrorMessage="1" sqref="N1:N517 N523:N1048576" xr:uid="{00000000-0002-0000-0A00-000006000000}">
      <formula1>$AI$13:$AI$43</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56"/>
  <sheetViews>
    <sheetView workbookViewId="0">
      <selection activeCell="E1" sqref="E1"/>
    </sheetView>
  </sheetViews>
  <sheetFormatPr defaultColWidth="8.90625" defaultRowHeight="14.4" customHeight="1" x14ac:dyDescent="0.25"/>
  <cols>
    <col min="1" max="16384" width="8.90625" style="349"/>
  </cols>
  <sheetData>
    <row r="1" spans="1:24" ht="14.4" customHeight="1" x14ac:dyDescent="0.25">
      <c r="A1" s="448" t="s">
        <v>17</v>
      </c>
      <c r="B1" s="448" t="s">
        <v>18</v>
      </c>
      <c r="C1" s="448" t="s">
        <v>8416</v>
      </c>
      <c r="D1" s="244" t="s">
        <v>61</v>
      </c>
      <c r="E1" s="374" t="e">
        <f>VLOOKUP(H1,G:H,2,0)</f>
        <v>#N/A</v>
      </c>
      <c r="G1" s="449" t="s">
        <v>8417</v>
      </c>
      <c r="H1" s="450">
        <f>IF(主要!L10="",0,主要!L10)</f>
        <v>0</v>
      </c>
      <c r="I1" s="451"/>
      <c r="J1" s="451"/>
      <c r="K1" s="451"/>
      <c r="L1" s="451"/>
      <c r="M1" s="451"/>
      <c r="N1" s="451"/>
      <c r="O1" s="451"/>
      <c r="P1" s="451"/>
      <c r="Q1" s="451"/>
      <c r="R1" s="451"/>
      <c r="S1" s="451"/>
      <c r="T1" s="451"/>
      <c r="U1" s="451"/>
      <c r="V1" s="451"/>
      <c r="W1" s="451"/>
      <c r="X1" s="452"/>
    </row>
    <row r="2" spans="1:24" ht="14.4" customHeight="1" x14ac:dyDescent="0.25">
      <c r="A2" s="453" t="str">
        <f>"在我第一次呼吸之前，一条蛇出现在我的口中——这预示着我有着欺骗的天赋。"&amp;IF(综合数据!B13=TRUE,"（演员）","")</f>
        <v>在我第一次呼吸之前，一条蛇出现在我的口中——这预示着我有着欺骗的天赋。（演员）</v>
      </c>
      <c r="B2" s="454" t="s">
        <v>8418</v>
      </c>
      <c r="C2" s="453" t="str">
        <f t="array" ref="C2">INDEX(G:G,SMALL(IF($G$2:$G$19&lt;&gt;"",ROW($2:$19),20),ROW(G1)))&amp;""</f>
        <v>空洞者</v>
      </c>
      <c r="D2" s="1055">
        <f>IFERROR(INDEX(I2:I19,E1,1),0)</f>
        <v>0</v>
      </c>
      <c r="E2" s="198" t="str">
        <f>IFERROR(INDEX($J$2:$Q$19,$E$1,1),"")</f>
        <v/>
      </c>
      <c r="G2" s="230" t="str">
        <f>IF(综合数据!B11=TRUE,"空洞者","")</f>
        <v>空洞者</v>
      </c>
      <c r="H2" s="349">
        <v>1</v>
      </c>
      <c r="X2" s="352"/>
    </row>
    <row r="3" spans="1:24" ht="14.4" customHeight="1" x14ac:dyDescent="0.25">
      <c r="A3" s="454" t="str">
        <f>"我能听到风里的声音警告我即将到来的危险。"&amp;IF(综合数据!B13=TRUE,"（警觉）","")</f>
        <v>我能听到风里的声音警告我即将到来的危险。（警觉）</v>
      </c>
      <c r="B3" s="454" t="s">
        <v>8419</v>
      </c>
      <c r="C3" s="453" t="str">
        <f t="array" ref="C3">INDEX(G:G,SMALL(IF($G$2:$G$19&lt;&gt;"",ROW($2:$19),20),ROW(G2)))&amp;""</f>
        <v>锻砧生物</v>
      </c>
      <c r="D3" s="1055"/>
      <c r="E3" s="198" t="str">
        <f>IFERROR(INDEX($J$2:$Q$19,$E$1,2),"")</f>
        <v/>
      </c>
      <c r="G3" s="234" t="str">
        <f>IF(综合数据!B$13=TRUE,"锻砧生物","")</f>
        <v>锻砧生物</v>
      </c>
      <c r="H3" s="349">
        <v>2</v>
      </c>
      <c r="I3" s="388" t="s">
        <v>8420</v>
      </c>
      <c r="J3" s="388" t="s">
        <v>8421</v>
      </c>
      <c r="K3" s="388" t="s">
        <v>8422</v>
      </c>
      <c r="L3" s="388" t="s">
        <v>8423</v>
      </c>
      <c r="M3" s="388" t="s">
        <v>8424</v>
      </c>
      <c r="N3" s="388" t="s">
        <v>8425</v>
      </c>
      <c r="O3" s="388" t="s">
        <v>8426</v>
      </c>
      <c r="X3" s="352"/>
    </row>
    <row r="4" spans="1:24" ht="14.4" customHeight="1" x14ac:dyDescent="0.25">
      <c r="A4" s="453" t="str">
        <f>"伊洛安斯赠与我肉体的技艺，希望看到我在伊洛安斯竞技会中获胜。"&amp;IF(综合数据!B13=TRUE,"（运动员）","")</f>
        <v>伊洛安斯赠与我肉体的技艺，希望看到我在伊洛安斯竞技会中获胜。（运动员）</v>
      </c>
      <c r="B4" s="454" t="s">
        <v>8427</v>
      </c>
      <c r="C4" s="453" t="str">
        <f t="array" ref="C4">INDEX(G:G,SMALL(IF($G$2:$G$19&lt;&gt;"",ROW($2:$19),20),ROW(G3)))&amp;""</f>
        <v>英雄天命</v>
      </c>
      <c r="D4" s="1055"/>
      <c r="E4" s="198" t="str">
        <f>IFERROR(INDEX($J$2:$Q$19,$E$1,3),"")</f>
        <v/>
      </c>
      <c r="G4" s="234" t="str">
        <f>IF(综合数据!B$13=TRUE,"英雄天命","")</f>
        <v>英雄天命</v>
      </c>
      <c r="H4" s="349">
        <v>3</v>
      </c>
      <c r="I4" s="388" t="s">
        <v>8428</v>
      </c>
      <c r="J4" s="388" t="s">
        <v>8429</v>
      </c>
      <c r="K4" s="388" t="s">
        <v>8430</v>
      </c>
      <c r="L4" s="388" t="s">
        <v>8431</v>
      </c>
      <c r="M4" s="388" t="s">
        <v>8432</v>
      </c>
      <c r="N4" s="388" t="s">
        <v>8433</v>
      </c>
      <c r="O4" s="388" t="s">
        <v>8434</v>
      </c>
      <c r="X4" s="352"/>
    </row>
    <row r="5" spans="1:24" ht="14.4" customHeight="1" x14ac:dyDescent="0.25">
      <c r="A5" s="453" t="str">
        <f>"我能感到脚下土地的生命力，当我在土地上休息的时候，我能迅速恢复力量。"&amp;IF(综合数据!B13=TRUE,"（耐性）","")</f>
        <v>我能感到脚下土地的生命力，当我在土地上休息的时候，我能迅速恢复力量。（耐性）</v>
      </c>
      <c r="B5" s="454" t="s">
        <v>8435</v>
      </c>
      <c r="C5" s="453" t="str">
        <f t="array" ref="C5">INDEX(G:G,SMALL(IF($G$2:$G$19&lt;&gt;"",ROW($2:$19),20),ROW(G4)))&amp;""</f>
        <v>反逆者</v>
      </c>
      <c r="D5" s="1055"/>
      <c r="E5" s="198" t="str">
        <f>IFERROR(INDEX($J$2:$Q$19,$E$1,4),"")</f>
        <v/>
      </c>
      <c r="G5" s="234" t="str">
        <f>IF(综合数据!B$13=TRUE,"反逆者","")</f>
        <v>反逆者</v>
      </c>
      <c r="H5" s="349">
        <v>4</v>
      </c>
      <c r="I5" s="388" t="s">
        <v>5738</v>
      </c>
      <c r="J5" s="388" t="s">
        <v>8436</v>
      </c>
      <c r="K5" s="388" t="s">
        <v>8437</v>
      </c>
      <c r="L5" s="388" t="s">
        <v>8438</v>
      </c>
      <c r="M5" s="388" t="s">
        <v>8439</v>
      </c>
      <c r="N5" s="388" t="s">
        <v>8440</v>
      </c>
      <c r="O5" s="388" t="s">
        <v>8441</v>
      </c>
      <c r="X5" s="352"/>
    </row>
    <row r="6" spans="1:24" ht="14.4" customHeight="1" x14ac:dyDescent="0.25">
      <c r="A6" s="453" t="str">
        <f>"我总是能找到尼兹的星辰，并发现它们的秘密。"&amp;IF(综合数据!B13=TRUE,"（敏锐心灵）","")</f>
        <v>我总是能找到尼兹的星辰，并发现它们的秘密。（敏锐心灵）</v>
      </c>
      <c r="B6" s="454" t="s">
        <v>8442</v>
      </c>
      <c r="C6" s="453" t="str">
        <f t="array" ref="C6">INDEX(G:G,SMALL(IF($G$2:$G$19&lt;&gt;"",ROW($2:$19),20),ROW(G5)))&amp;""</f>
        <v>莫测者</v>
      </c>
      <c r="D6" s="1055"/>
      <c r="E6" s="198" t="str">
        <f>IFERROR(INDEX($J$2:$Q$19,$E$1,5),"")</f>
        <v/>
      </c>
      <c r="G6" s="234" t="str">
        <f>IF(综合数据!B$13=TRUE,"莫测者","")</f>
        <v>莫测者</v>
      </c>
      <c r="H6" s="349">
        <v>5</v>
      </c>
      <c r="I6" s="388" t="s">
        <v>5738</v>
      </c>
      <c r="J6" s="349" t="s">
        <v>8443</v>
      </c>
      <c r="K6" s="349" t="s">
        <v>8444</v>
      </c>
      <c r="L6" s="349" t="s">
        <v>8445</v>
      </c>
      <c r="M6" s="349" t="s">
        <v>8446</v>
      </c>
      <c r="N6" s="349" t="s">
        <v>8447</v>
      </c>
      <c r="O6" s="349" t="s">
        <v>8448</v>
      </c>
      <c r="X6" s="352"/>
    </row>
    <row r="7" spans="1:24" ht="14.4" customHeight="1" x14ac:dyDescent="0.25">
      <c r="A7" s="453" t="str">
        <f>"我能听到诸神说话以每一种凡人的语言说话的声音，并在文字中找到夜空图案的痕迹。"&amp;IF(综合数据!B13=TRUE,"（语言学家）","")</f>
        <v>我能听到诸神说话以每一种凡人的语言说话的声音，并在文字中找到夜空图案的痕迹。（语言学家）</v>
      </c>
      <c r="B7" s="454" t="s">
        <v>8449</v>
      </c>
      <c r="C7" s="453" t="str">
        <f t="array" ref="C7">INDEX(G:G,SMALL(IF($G$2:$G$19&lt;&gt;"",ROW($2:$19),20),ROW(G6)))&amp;""</f>
        <v>毕生伙伴</v>
      </c>
      <c r="D7" s="1055"/>
      <c r="E7" s="198" t="str">
        <f>IFERROR(INDEX($J$2:$Q$19,$E$1,6),"")</f>
        <v/>
      </c>
      <c r="G7" s="234" t="str">
        <f>IF(综合数据!B$13=TRUE,"毕生伙伴","")</f>
        <v>毕生伙伴</v>
      </c>
      <c r="H7" s="349">
        <v>6</v>
      </c>
      <c r="I7" s="388" t="s">
        <v>8450</v>
      </c>
      <c r="J7" s="349" t="s">
        <v>8451</v>
      </c>
      <c r="K7" s="349" t="s">
        <v>8452</v>
      </c>
      <c r="L7" s="349" t="s">
        <v>8453</v>
      </c>
      <c r="M7" s="349" t="s">
        <v>8454</v>
      </c>
      <c r="N7" s="349" t="s">
        <v>8455</v>
      </c>
      <c r="O7" s="349" t="s">
        <v>8456</v>
      </c>
      <c r="X7" s="352"/>
    </row>
    <row r="8" spans="1:24" ht="14.4" customHeight="1" x14ac:dyDescent="0.25">
      <c r="A8" s="453" t="str">
        <f>"诸神对我微笑，但我害怕终有一日他们会收回他们的恩惠，而我的好运也将走到尽头。"&amp;IF(综合数据!B13=TRUE,"（幸运）","")</f>
        <v>诸神对我微笑，但我害怕终有一日他们会收回他们的恩惠，而我的好运也将走到尽头。（幸运）</v>
      </c>
      <c r="B8" s="454" t="s">
        <v>8457</v>
      </c>
      <c r="C8" s="453" t="str">
        <f t="array" ref="C8">INDEX(G:G,SMALL(IF($G$2:$G$19&lt;&gt;"",ROW($2:$19),20),ROW(G7)))&amp;""</f>
        <v>天裔生物</v>
      </c>
      <c r="D8" s="1055"/>
      <c r="E8" s="198" t="str">
        <f>IFERROR(INDEX($J$2:$Q$19,$E$1,7),"")</f>
        <v/>
      </c>
      <c r="G8" s="234" t="str">
        <f>IF(综合数据!B$13=TRUE,"天裔生物","")</f>
        <v>天裔生物</v>
      </c>
      <c r="H8" s="349">
        <v>7</v>
      </c>
      <c r="I8" s="388" t="s">
        <v>5994</v>
      </c>
      <c r="J8" s="388" t="s">
        <v>8458</v>
      </c>
      <c r="K8" s="349" t="s">
        <v>8459</v>
      </c>
      <c r="L8" s="349" t="s">
        <v>8460</v>
      </c>
      <c r="M8" s="349" t="s">
        <v>8461</v>
      </c>
      <c r="N8" s="349" t="s">
        <v>8462</v>
      </c>
      <c r="O8" s="349" t="s">
        <v>8463</v>
      </c>
      <c r="R8" s="388" t="s">
        <v>8464</v>
      </c>
      <c r="S8" s="349" t="s">
        <v>8465</v>
      </c>
      <c r="T8" s="349" t="s">
        <v>8466</v>
      </c>
      <c r="U8" s="349" t="s">
        <v>8467</v>
      </c>
      <c r="V8" s="349" t="s">
        <v>8468</v>
      </c>
      <c r="W8" s="349" t="s">
        <v>8469</v>
      </c>
      <c r="X8" s="352" t="s">
        <v>8470</v>
      </c>
    </row>
    <row r="9" spans="1:24" ht="14.4" customHeight="1" x14ac:dyDescent="0.25">
      <c r="A9" s="453" t="str">
        <f>"当我是个孩子的时候，我曾在林间穿梭奔跑，并和一只巨大的猞猁嬉戏玩耍——而后来我才知晓它是倪勒娅的使节。"&amp;IF(综合数据!B13=TRUE,"（灵活移动）","")</f>
        <v>当我是个孩子的时候，我曾在林间穿梭奔跑，并和一只巨大的猞猁嬉戏玩耍——而后来我才知晓它是倪勒娅的使节。（灵活移动）</v>
      </c>
      <c r="B9" s="454" t="s">
        <v>8471</v>
      </c>
      <c r="C9" s="453" t="str">
        <f t="array" ref="C9">INDEX(G:G,SMALL(IF($G$2:$G$19&lt;&gt;"",ROW($2:$19),20),ROW(G8)))&amp;""</f>
        <v>先知</v>
      </c>
      <c r="D9" s="1055"/>
      <c r="E9" s="198" t="str">
        <f>IFERROR(INDEX($J$2:$Q$19,$E$1,8),"")</f>
        <v/>
      </c>
      <c r="G9" s="234" t="str">
        <f>IF(综合数据!B$13=TRUE,"先知","")</f>
        <v>先知</v>
      </c>
      <c r="H9" s="349">
        <v>8</v>
      </c>
      <c r="I9" s="388" t="s">
        <v>8472</v>
      </c>
      <c r="J9" s="349" t="s">
        <v>8473</v>
      </c>
      <c r="K9" s="349" t="s">
        <v>8474</v>
      </c>
      <c r="L9" s="349" t="s">
        <v>8475</v>
      </c>
      <c r="M9" s="349" t="s">
        <v>8476</v>
      </c>
      <c r="N9" s="349" t="s">
        <v>8477</v>
      </c>
      <c r="O9" s="349" t="s">
        <v>8478</v>
      </c>
      <c r="P9" s="349" t="s">
        <v>8479</v>
      </c>
      <c r="Q9" s="349" t="s">
        <v>8480</v>
      </c>
      <c r="X9" s="352"/>
    </row>
    <row r="10" spans="1:24" ht="14.4" customHeight="1" x14ac:dyDescent="0.25">
      <c r="A10" s="453" t="str">
        <f>"太阳的明光会将隐藏之物展现在我的眼前。"&amp;IF(综合数据!B13=TRUE,"（观察力）","")</f>
        <v>太阳的明光会将隐藏之物展现在我的眼前。（观察力）</v>
      </c>
      <c r="B10" s="454" t="s">
        <v>8481</v>
      </c>
      <c r="C10" s="453" t="str">
        <f t="array" ref="C10">INDEX(G:G,SMALL(IF($G$2:$G$19&lt;&gt;"",ROW($2:$19),20),ROW(G9)))&amp;""</f>
        <v>虔敬者</v>
      </c>
      <c r="D10" s="1055">
        <f>IFERROR(INDEX(R2:R19,E1,1),0)</f>
        <v>0</v>
      </c>
      <c r="E10" s="198" t="str">
        <f>IFERROR(INDEX($S$2:$X$19,$E$1,1),"")</f>
        <v/>
      </c>
      <c r="G10" s="234" t="str">
        <f>IF(综合数据!B$13=TRUE,"虔敬者","")</f>
        <v>虔敬者</v>
      </c>
      <c r="H10" s="349">
        <v>9</v>
      </c>
      <c r="I10" s="388" t="s">
        <v>6065</v>
      </c>
      <c r="J10" s="349" t="s">
        <v>8482</v>
      </c>
      <c r="K10" s="349" t="s">
        <v>8483</v>
      </c>
      <c r="L10" s="349" t="s">
        <v>8484</v>
      </c>
      <c r="M10" s="349" t="s">
        <v>8485</v>
      </c>
      <c r="N10" s="349" t="s">
        <v>8486</v>
      </c>
      <c r="O10" s="349" t="s">
        <v>8487</v>
      </c>
      <c r="X10" s="352"/>
    </row>
    <row r="11" spans="1:24" ht="14.4" customHeight="1" x14ac:dyDescent="0.25">
      <c r="A11" s="453" t="str">
        <f>"我吃过一颗带有魔法的果子，这让我获得了非凡的韧性。"&amp;IF(综合数据!B13=TRUE,"（强健身心）","")</f>
        <v>我吃过一颗带有魔法的果子，这让我获得了非凡的韧性。（强健身心）</v>
      </c>
      <c r="B11" s="455" t="s">
        <v>8488</v>
      </c>
      <c r="C11" s="453" t="str">
        <f t="array" ref="C11">INDEX(G:G,SMALL(IF($G$2:$G$19&lt;&gt;"",ROW($2:$19),20),ROW(G10)))&amp;""</f>
        <v>无伤者</v>
      </c>
      <c r="D11" s="1055"/>
      <c r="E11" s="198" t="str">
        <f>IFERROR(INDEX($S$2:$X$19,$E$1,2),"")</f>
        <v/>
      </c>
      <c r="G11" s="234" t="str">
        <f>IF(综合数据!B$13=TRUE,"无伤者","")</f>
        <v>无伤者</v>
      </c>
      <c r="H11" s="349">
        <v>10</v>
      </c>
      <c r="I11" s="388" t="s">
        <v>5994</v>
      </c>
      <c r="J11" s="349" t="s">
        <v>8489</v>
      </c>
      <c r="K11" s="349" t="s">
        <v>8490</v>
      </c>
      <c r="L11" s="349" t="s">
        <v>8491</v>
      </c>
      <c r="M11" s="349" t="s">
        <v>8492</v>
      </c>
      <c r="N11" s="349" t="s">
        <v>8493</v>
      </c>
      <c r="O11" s="349" t="s">
        <v>8494</v>
      </c>
      <c r="X11" s="352"/>
    </row>
    <row r="12" spans="1:24" ht="14.4" customHeight="1" x14ac:dyDescent="0.25">
      <c r="A12" s="453" t="str">
        <f>"我和一位超自然的导师一同学习。"&amp;IF(综合数据!B13=TRUE,"（熟习）","")</f>
        <v>我和一位超自然的导师一同学习。（熟习）</v>
      </c>
      <c r="C12" s="453" t="str">
        <f t="array" ref="C12">INDEX(G:G,SMALL(IF($G$2:$G$19&lt;&gt;"",ROW($2:$19),20),ROW(G11)))&amp;""</f>
        <v>灵魂回荡</v>
      </c>
      <c r="D12" s="1055"/>
      <c r="E12" s="198" t="str">
        <f>IFERROR(INDEX($S$2:$X$19,$E$1,3),"")</f>
        <v/>
      </c>
      <c r="G12" s="456" t="str">
        <f>IF(综合数据!B15=TRUE,"灵魂回荡","")</f>
        <v>灵魂回荡</v>
      </c>
      <c r="H12" s="349">
        <v>11</v>
      </c>
      <c r="I12" s="388" t="s">
        <v>8495</v>
      </c>
      <c r="J12" s="388" t="s">
        <v>8496</v>
      </c>
      <c r="K12" s="388" t="s">
        <v>8497</v>
      </c>
      <c r="L12" s="388" t="s">
        <v>8498</v>
      </c>
      <c r="M12" s="388" t="s">
        <v>8499</v>
      </c>
      <c r="N12" s="388" t="s">
        <v>8500</v>
      </c>
      <c r="O12" s="388" t="s">
        <v>8501</v>
      </c>
      <c r="P12" s="388"/>
      <c r="X12" s="352"/>
    </row>
    <row r="13" spans="1:24" ht="14.4" customHeight="1" x14ac:dyDescent="0.25">
      <c r="A13" s="457" t="str">
        <f>"我曾经在一条神话之河里沐浴，这让我的皮肤难以受伤——同时也闪耀着星辰的光芒。"&amp;IF(综合数据!B13=TRUE,"（健壮）","")</f>
        <v>我曾经在一条神话之河里沐浴，这让我的皮肤难以受伤——同时也闪耀着星辰的光芒。（健壮）</v>
      </c>
      <c r="C13" s="453" t="str">
        <f t="array" ref="C13">INDEX(G:G,SMALL(IF($G$2:$G$19&lt;&gt;"",ROW($2:$19),20),ROW(G12)))&amp;""</f>
        <v>汇灵低语</v>
      </c>
      <c r="D13" s="1055"/>
      <c r="E13" s="198" t="str">
        <f>IFERROR(INDEX($S$2:$X$19,$E$1,4),"")</f>
        <v/>
      </c>
      <c r="G13" s="456" t="str">
        <f>IF(综合数据!B15=TRUE,"汇灵低语","")</f>
        <v>汇灵低语</v>
      </c>
      <c r="H13" s="349">
        <v>12</v>
      </c>
      <c r="I13" s="388" t="s">
        <v>8502</v>
      </c>
      <c r="J13" s="388" t="s">
        <v>8503</v>
      </c>
      <c r="K13" s="388" t="s">
        <v>8504</v>
      </c>
      <c r="L13" s="388" t="s">
        <v>8505</v>
      </c>
      <c r="M13" s="388" t="s">
        <v>8506</v>
      </c>
      <c r="N13" s="388" t="s">
        <v>8507</v>
      </c>
      <c r="O13" s="388" t="s">
        <v>8508</v>
      </c>
      <c r="P13" s="388"/>
      <c r="Q13" s="388"/>
      <c r="R13" s="388"/>
      <c r="S13" s="388"/>
      <c r="T13" s="388"/>
      <c r="U13" s="388"/>
      <c r="V13" s="388"/>
      <c r="W13" s="388"/>
      <c r="X13" s="389"/>
    </row>
    <row r="14" spans="1:24" ht="14.4" customHeight="1" x14ac:dyDescent="0.25">
      <c r="C14" s="453" t="str">
        <f t="array" ref="C14">INDEX(G:G,SMALL(IF($G$2:$G$19&lt;&gt;"",ROW($2:$19),20),ROW(G13)))&amp;""</f>
        <v>活性阴影</v>
      </c>
      <c r="D14" s="1055"/>
      <c r="E14" s="198" t="str">
        <f>IFERROR(INDEX($S$2:$X$19,$E$1,5),"")</f>
        <v/>
      </c>
      <c r="G14" s="456" t="str">
        <f>IF(综合数据!B15=TRUE,"活性阴影","")</f>
        <v>活性阴影</v>
      </c>
      <c r="H14" s="349">
        <v>13</v>
      </c>
      <c r="I14" s="388" t="s">
        <v>8509</v>
      </c>
      <c r="J14" s="388" t="s">
        <v>8510</v>
      </c>
      <c r="K14" s="388" t="s">
        <v>8511</v>
      </c>
      <c r="L14" s="388" t="s">
        <v>8512</v>
      </c>
      <c r="M14" s="388" t="s">
        <v>8513</v>
      </c>
      <c r="N14" s="388" t="s">
        <v>8514</v>
      </c>
      <c r="O14" s="388" t="s">
        <v>8515</v>
      </c>
      <c r="P14" s="388"/>
      <c r="Q14" s="388"/>
      <c r="R14" s="388"/>
      <c r="S14" s="388"/>
      <c r="T14" s="388"/>
      <c r="U14" s="388"/>
      <c r="V14" s="388"/>
      <c r="W14" s="388"/>
      <c r="X14" s="389"/>
    </row>
    <row r="15" spans="1:24" ht="14.4" customHeight="1" x14ac:dyDescent="0.25">
      <c r="C15" s="453" t="str">
        <f t="array" ref="C15">INDEX(G:G,SMALL(IF($G$2:$G$19&lt;&gt;"",ROW($2:$19),20),ROW(G14)))&amp;""</f>
        <v>薄雾行者</v>
      </c>
      <c r="D15" s="1062"/>
      <c r="E15" s="280" t="str">
        <f>IFERROR(INDEX($S$2:$X$19,$E$1,6),"")</f>
        <v/>
      </c>
      <c r="G15" s="456" t="str">
        <f>IF(综合数据!B15=TRUE,"薄雾行者","")</f>
        <v>薄雾行者</v>
      </c>
      <c r="H15" s="349">
        <v>14</v>
      </c>
      <c r="I15" s="388" t="s">
        <v>8516</v>
      </c>
      <c r="J15" s="388" t="s">
        <v>8517</v>
      </c>
      <c r="K15" s="388" t="s">
        <v>8518</v>
      </c>
      <c r="L15" s="388" t="s">
        <v>8519</v>
      </c>
      <c r="M15" s="388" t="s">
        <v>8520</v>
      </c>
      <c r="N15" s="388"/>
      <c r="O15" s="388"/>
      <c r="P15" s="388"/>
      <c r="Q15" s="388"/>
      <c r="R15" s="388"/>
      <c r="S15" s="388"/>
      <c r="T15" s="388"/>
      <c r="U15" s="388"/>
      <c r="V15" s="388"/>
      <c r="W15" s="388"/>
      <c r="X15" s="389"/>
    </row>
    <row r="16" spans="1:24" ht="14.4" customHeight="1" x14ac:dyDescent="0.25">
      <c r="C16" s="453" t="str">
        <f t="array" ref="C16">INDEX(G:G,SMALL(IF($G$2:$G$19&lt;&gt;"",ROW($2:$19),20),ROW(G15)))&amp;""</f>
        <v>第二形态</v>
      </c>
      <c r="G16" s="456" t="str">
        <f>IF(综合数据!B15=TRUE,"第二形态","")</f>
        <v>第二形态</v>
      </c>
      <c r="H16" s="349">
        <v>15</v>
      </c>
      <c r="I16" s="388" t="s">
        <v>8521</v>
      </c>
      <c r="J16" s="388" t="s">
        <v>8522</v>
      </c>
      <c r="K16" s="388" t="s">
        <v>8523</v>
      </c>
      <c r="L16" s="388" t="s">
        <v>8524</v>
      </c>
      <c r="M16" s="388" t="s">
        <v>8525</v>
      </c>
      <c r="N16" s="388" t="s">
        <v>8526</v>
      </c>
      <c r="O16" s="388" t="s">
        <v>8527</v>
      </c>
      <c r="P16" s="388"/>
      <c r="Q16" s="388"/>
      <c r="R16" s="388" t="s">
        <v>8528</v>
      </c>
      <c r="S16" s="388" t="s">
        <v>8529</v>
      </c>
      <c r="T16" s="388" t="s">
        <v>8530</v>
      </c>
      <c r="U16" s="388" t="s">
        <v>8531</v>
      </c>
      <c r="V16" s="388" t="s">
        <v>8532</v>
      </c>
      <c r="W16" s="388" t="s">
        <v>8533</v>
      </c>
      <c r="X16" s="389" t="s">
        <v>8534</v>
      </c>
    </row>
    <row r="17" spans="1:24" ht="14.4" customHeight="1" x14ac:dyDescent="0.25">
      <c r="C17" s="453" t="str">
        <f t="array" ref="C17">INDEX(G:G,SMALL(IF($G$2:$G$19&lt;&gt;"",ROW($2:$19),20),ROW(G16)))&amp;""</f>
        <v>共生存在</v>
      </c>
      <c r="G17" s="456" t="str">
        <f>IF(综合数据!B15=TRUE,"共生存在","")</f>
        <v>共生存在</v>
      </c>
      <c r="H17" s="349">
        <v>16</v>
      </c>
      <c r="I17" s="388" t="s">
        <v>8535</v>
      </c>
      <c r="J17" s="388" t="s">
        <v>8536</v>
      </c>
      <c r="K17" s="388" t="s">
        <v>8537</v>
      </c>
      <c r="L17" s="388" t="s">
        <v>8538</v>
      </c>
      <c r="M17" s="388" t="s">
        <v>8539</v>
      </c>
      <c r="N17" s="388" t="s">
        <v>8540</v>
      </c>
      <c r="O17" s="388" t="s">
        <v>8541</v>
      </c>
      <c r="P17" s="388"/>
      <c r="Q17" s="388"/>
      <c r="R17" s="388" t="s">
        <v>8542</v>
      </c>
      <c r="S17" s="388" t="s">
        <v>8543</v>
      </c>
      <c r="T17" s="388" t="s">
        <v>8544</v>
      </c>
      <c r="U17" s="388" t="s">
        <v>8545</v>
      </c>
      <c r="V17" s="388" t="s">
        <v>8546</v>
      </c>
      <c r="W17" s="388" t="s">
        <v>8547</v>
      </c>
      <c r="X17" s="389" t="s">
        <v>8548</v>
      </c>
    </row>
    <row r="18" spans="1:24" ht="14.4" customHeight="1" x14ac:dyDescent="0.25">
      <c r="C18" s="453" t="str">
        <f t="array" ref="C18">INDEX(G:G,SMALL(IF($G$2:$G$19&lt;&gt;"",ROW($2:$19),20),ROW(G17)))&amp;""</f>
        <v>死亡之触</v>
      </c>
      <c r="G18" s="456" t="str">
        <f>IF(综合数据!B15=TRUE,"死亡之触","")</f>
        <v>死亡之触</v>
      </c>
      <c r="H18" s="349">
        <v>17</v>
      </c>
      <c r="I18" s="388" t="s">
        <v>8549</v>
      </c>
      <c r="J18" s="388" t="s">
        <v>8550</v>
      </c>
      <c r="K18" s="388" t="s">
        <v>8551</v>
      </c>
      <c r="L18" s="388" t="s">
        <v>8552</v>
      </c>
      <c r="M18" s="388" t="s">
        <v>8553</v>
      </c>
      <c r="N18" s="388" t="s">
        <v>8554</v>
      </c>
      <c r="O18" s="388" t="s">
        <v>8555</v>
      </c>
      <c r="P18" s="388"/>
      <c r="Q18" s="388"/>
      <c r="R18" s="388"/>
      <c r="S18" s="388"/>
      <c r="T18" s="388"/>
      <c r="U18" s="388"/>
      <c r="V18" s="388"/>
      <c r="W18" s="388"/>
      <c r="X18" s="389"/>
    </row>
    <row r="19" spans="1:24" ht="14.4" customHeight="1" x14ac:dyDescent="0.25">
      <c r="C19" s="457" t="str">
        <f t="array" ref="C19">INDEX(G:G,SMALL(IF($G$2:$G$19&lt;&gt;"",ROW($2:$19),20),ROW(G18)))&amp;""</f>
        <v>注视者</v>
      </c>
      <c r="G19" s="458" t="str">
        <f>IF(综合数据!B15=TRUE,"注视者","")</f>
        <v>注视者</v>
      </c>
      <c r="H19" s="365">
        <v>18</v>
      </c>
      <c r="I19" s="430" t="s">
        <v>8556</v>
      </c>
      <c r="J19" s="430" t="s">
        <v>8557</v>
      </c>
      <c r="K19" s="430" t="s">
        <v>8558</v>
      </c>
      <c r="L19" s="430" t="s">
        <v>8559</v>
      </c>
      <c r="M19" s="430" t="s">
        <v>8560</v>
      </c>
      <c r="N19" s="430" t="s">
        <v>8561</v>
      </c>
      <c r="O19" s="430" t="s">
        <v>8562</v>
      </c>
      <c r="P19" s="430" t="s">
        <v>8563</v>
      </c>
      <c r="Q19" s="430" t="s">
        <v>8564</v>
      </c>
      <c r="R19" s="430"/>
      <c r="S19" s="430"/>
      <c r="T19" s="430"/>
      <c r="U19" s="430"/>
      <c r="V19" s="430"/>
      <c r="W19" s="430"/>
      <c r="X19" s="459"/>
    </row>
    <row r="21" spans="1:24" ht="14.4" customHeight="1" x14ac:dyDescent="0.25">
      <c r="A21" s="1065" t="s">
        <v>8565</v>
      </c>
      <c r="B21" s="423" t="s">
        <v>8566</v>
      </c>
      <c r="C21" s="423" t="s">
        <v>8567</v>
      </c>
      <c r="D21" s="423" t="s">
        <v>8568</v>
      </c>
      <c r="E21" s="423" t="s">
        <v>8569</v>
      </c>
      <c r="F21" s="451"/>
      <c r="G21" s="451"/>
      <c r="H21" s="452"/>
    </row>
    <row r="22" spans="1:24" ht="14.4" customHeight="1" x14ac:dyDescent="0.25">
      <c r="A22" s="1066"/>
      <c r="B22" s="388" t="s">
        <v>8570</v>
      </c>
      <c r="C22" s="388" t="s">
        <v>8571</v>
      </c>
      <c r="D22" s="388" t="s">
        <v>8572</v>
      </c>
      <c r="E22" s="388" t="s">
        <v>8573</v>
      </c>
      <c r="H22" s="352"/>
    </row>
    <row r="23" spans="1:24" ht="14.4" customHeight="1" x14ac:dyDescent="0.25">
      <c r="A23" s="1039" t="s">
        <v>8574</v>
      </c>
      <c r="B23" s="388" t="s">
        <v>1286</v>
      </c>
      <c r="C23" s="388" t="s">
        <v>1287</v>
      </c>
      <c r="H23" s="352"/>
    </row>
    <row r="24" spans="1:24" ht="14.4" customHeight="1" x14ac:dyDescent="0.25">
      <c r="A24" s="1039"/>
      <c r="B24" s="388" t="s">
        <v>8575</v>
      </c>
      <c r="C24" s="388" t="s">
        <v>8576</v>
      </c>
      <c r="H24" s="352"/>
      <c r="L24" s="388"/>
    </row>
    <row r="25" spans="1:24" ht="14.4" customHeight="1" x14ac:dyDescent="0.25">
      <c r="A25" s="1039" t="s">
        <v>8577</v>
      </c>
      <c r="B25" s="388" t="s">
        <v>8578</v>
      </c>
      <c r="C25" s="388" t="s">
        <v>8579</v>
      </c>
      <c r="H25" s="352"/>
      <c r="K25" s="388"/>
    </row>
    <row r="26" spans="1:24" ht="14.4" customHeight="1" x14ac:dyDescent="0.25">
      <c r="A26" s="1039"/>
      <c r="B26" s="388" t="s">
        <v>8580</v>
      </c>
      <c r="C26" s="388" t="s">
        <v>8581</v>
      </c>
      <c r="H26" s="352"/>
      <c r="K26" s="388"/>
    </row>
    <row r="27" spans="1:24" ht="14.4" customHeight="1" x14ac:dyDescent="0.25">
      <c r="A27" s="1039" t="s">
        <v>7798</v>
      </c>
      <c r="B27" s="388" t="s">
        <v>8582</v>
      </c>
      <c r="C27" s="388" t="s">
        <v>8583</v>
      </c>
      <c r="D27" s="388" t="str">
        <f>IF(主要!Y3&gt;=5,"反逆英雄","")</f>
        <v/>
      </c>
      <c r="E27" s="388" t="str">
        <f>IF(主要!Y3&gt;=11,"反逆榜样","")</f>
        <v/>
      </c>
      <c r="F27" s="388" t="str">
        <f>IF(主要!Y3&gt;=17,"反逆典范","")</f>
        <v/>
      </c>
      <c r="H27" s="352"/>
      <c r="K27" s="388"/>
    </row>
    <row r="28" spans="1:24" ht="14.4" customHeight="1" x14ac:dyDescent="0.25">
      <c r="A28" s="1039"/>
      <c r="B28" s="388" t="s">
        <v>8584</v>
      </c>
      <c r="C28" s="388" t="s">
        <v>8585</v>
      </c>
      <c r="D28" s="349" t="s">
        <v>8586</v>
      </c>
      <c r="E28" s="349" t="s">
        <v>8587</v>
      </c>
      <c r="F28" s="349" t="s">
        <v>8588</v>
      </c>
      <c r="H28" s="352"/>
      <c r="K28" s="388"/>
    </row>
    <row r="29" spans="1:24" ht="14.4" customHeight="1" x14ac:dyDescent="0.25">
      <c r="A29" s="1039" t="s">
        <v>8589</v>
      </c>
      <c r="B29" s="388" t="s">
        <v>8590</v>
      </c>
      <c r="C29" s="388" t="s">
        <v>8591</v>
      </c>
      <c r="H29" s="352"/>
      <c r="K29" s="388"/>
    </row>
    <row r="30" spans="1:24" ht="14.4" customHeight="1" x14ac:dyDescent="0.25">
      <c r="A30" s="1039"/>
      <c r="B30" s="388" t="s">
        <v>8592</v>
      </c>
      <c r="C30" s="388" t="s">
        <v>8593</v>
      </c>
      <c r="H30" s="352"/>
      <c r="K30" s="388"/>
    </row>
    <row r="31" spans="1:24" ht="14.4" customHeight="1" x14ac:dyDescent="0.25">
      <c r="A31" s="1039" t="s">
        <v>8594</v>
      </c>
      <c r="B31" s="388" t="s">
        <v>8595</v>
      </c>
      <c r="C31" s="388" t="s">
        <v>8596</v>
      </c>
      <c r="H31" s="352"/>
      <c r="K31" s="388"/>
    </row>
    <row r="32" spans="1:24" ht="14.4" customHeight="1" x14ac:dyDescent="0.25">
      <c r="A32" s="1039"/>
      <c r="B32" s="388" t="s">
        <v>8597</v>
      </c>
      <c r="C32" s="388" t="s">
        <v>8598</v>
      </c>
      <c r="H32" s="352"/>
      <c r="K32" s="388"/>
    </row>
    <row r="33" spans="1:11" ht="14.4" customHeight="1" x14ac:dyDescent="0.25">
      <c r="A33" s="1039" t="s">
        <v>8599</v>
      </c>
      <c r="B33" s="388" t="s">
        <v>8600</v>
      </c>
      <c r="C33" s="388" t="s">
        <v>8601</v>
      </c>
      <c r="H33" s="352"/>
      <c r="K33" s="388"/>
    </row>
    <row r="34" spans="1:11" ht="14.4" customHeight="1" x14ac:dyDescent="0.25">
      <c r="A34" s="1039"/>
      <c r="B34" s="388" t="s">
        <v>8602</v>
      </c>
      <c r="C34" s="388" t="s">
        <v>8603</v>
      </c>
      <c r="H34" s="352"/>
      <c r="K34" s="388"/>
    </row>
    <row r="35" spans="1:11" ht="14.4" customHeight="1" x14ac:dyDescent="0.25">
      <c r="A35" s="1039" t="s">
        <v>8604</v>
      </c>
      <c r="B35" s="388" t="s">
        <v>8605</v>
      </c>
      <c r="C35" s="388" t="s">
        <v>8606</v>
      </c>
      <c r="D35" s="388" t="s">
        <v>8607</v>
      </c>
      <c r="E35" s="388" t="s">
        <v>8608</v>
      </c>
      <c r="F35" s="388" t="s">
        <v>8609</v>
      </c>
      <c r="G35" s="388" t="s">
        <v>8610</v>
      </c>
      <c r="H35" s="389" t="s">
        <v>8611</v>
      </c>
    </row>
    <row r="36" spans="1:11" ht="14.4" customHeight="1" x14ac:dyDescent="0.25">
      <c r="A36" s="1039"/>
      <c r="B36" s="388" t="s">
        <v>8612</v>
      </c>
      <c r="C36" s="388" t="s">
        <v>8613</v>
      </c>
      <c r="D36" s="388" t="s">
        <v>8614</v>
      </c>
      <c r="E36" s="388" t="s">
        <v>8615</v>
      </c>
      <c r="F36" s="388" t="s">
        <v>8616</v>
      </c>
      <c r="G36" s="388" t="s">
        <v>8617</v>
      </c>
      <c r="H36" s="389" t="s">
        <v>8618</v>
      </c>
    </row>
    <row r="37" spans="1:11" ht="14.4" customHeight="1" x14ac:dyDescent="0.25">
      <c r="A37" s="1039" t="s">
        <v>8619</v>
      </c>
      <c r="B37" s="388" t="s">
        <v>8620</v>
      </c>
      <c r="C37" s="388" t="s">
        <v>8621</v>
      </c>
      <c r="D37" s="388" t="s">
        <v>8622</v>
      </c>
      <c r="H37" s="352"/>
    </row>
    <row r="38" spans="1:11" ht="14.4" customHeight="1" x14ac:dyDescent="0.25">
      <c r="A38" s="1039"/>
      <c r="B38" s="388" t="s">
        <v>8623</v>
      </c>
      <c r="C38" s="388" t="s">
        <v>8624</v>
      </c>
      <c r="D38" s="388" t="s">
        <v>8625</v>
      </c>
      <c r="H38" s="352"/>
    </row>
    <row r="39" spans="1:11" ht="14.4" customHeight="1" x14ac:dyDescent="0.25">
      <c r="A39" s="1039" t="s">
        <v>8626</v>
      </c>
      <c r="B39" s="388" t="s">
        <v>8627</v>
      </c>
      <c r="H39" s="352"/>
    </row>
    <row r="40" spans="1:11" ht="14.4" customHeight="1" x14ac:dyDescent="0.25">
      <c r="A40" s="1069"/>
      <c r="B40" s="430" t="s">
        <v>8628</v>
      </c>
      <c r="C40" s="365"/>
      <c r="D40" s="365"/>
      <c r="E40" s="365"/>
      <c r="F40" s="365"/>
      <c r="G40" s="365"/>
      <c r="H40" s="398"/>
    </row>
    <row r="41" spans="1:11" ht="14.4" customHeight="1" x14ac:dyDescent="0.25">
      <c r="A41" s="1067" t="s">
        <v>8495</v>
      </c>
      <c r="B41" s="388" t="s">
        <v>8629</v>
      </c>
      <c r="C41" s="388" t="s">
        <v>8630</v>
      </c>
      <c r="D41" s="388" t="s">
        <v>8631</v>
      </c>
    </row>
    <row r="42" spans="1:11" ht="14.4" customHeight="1" x14ac:dyDescent="0.25">
      <c r="A42" s="1068"/>
      <c r="B42" s="388" t="s">
        <v>8632</v>
      </c>
      <c r="C42" s="388" t="s">
        <v>8633</v>
      </c>
      <c r="D42" s="388" t="s">
        <v>8634</v>
      </c>
    </row>
    <row r="43" spans="1:11" ht="14.4" customHeight="1" x14ac:dyDescent="0.25">
      <c r="A43" s="1067" t="s">
        <v>8635</v>
      </c>
      <c r="B43" s="388" t="s">
        <v>8636</v>
      </c>
      <c r="C43" s="388" t="s">
        <v>8637</v>
      </c>
      <c r="D43" s="388" t="s">
        <v>8638</v>
      </c>
    </row>
    <row r="44" spans="1:11" ht="14.4" customHeight="1" x14ac:dyDescent="0.25">
      <c r="A44" s="1068"/>
      <c r="B44" s="388" t="s">
        <v>8639</v>
      </c>
      <c r="C44" s="388" t="s">
        <v>8640</v>
      </c>
      <c r="D44" s="388" t="s">
        <v>8641</v>
      </c>
    </row>
    <row r="45" spans="1:11" ht="14.4" customHeight="1" x14ac:dyDescent="0.25">
      <c r="A45" s="1067" t="s">
        <v>8642</v>
      </c>
      <c r="B45" s="388" t="s">
        <v>8643</v>
      </c>
      <c r="C45" s="388" t="s">
        <v>8644</v>
      </c>
      <c r="D45" s="388" t="s">
        <v>8645</v>
      </c>
    </row>
    <row r="46" spans="1:11" ht="14.4" customHeight="1" x14ac:dyDescent="0.25">
      <c r="A46" s="1068"/>
      <c r="B46" s="388" t="s">
        <v>8646</v>
      </c>
      <c r="C46" s="388" t="s">
        <v>8647</v>
      </c>
      <c r="D46" s="388" t="s">
        <v>8648</v>
      </c>
    </row>
    <row r="47" spans="1:11" ht="14.4" customHeight="1" x14ac:dyDescent="0.25">
      <c r="A47" s="1067" t="s">
        <v>8649</v>
      </c>
      <c r="B47" s="388" t="s">
        <v>7033</v>
      </c>
      <c r="C47" s="388" t="s">
        <v>8650</v>
      </c>
      <c r="D47" s="388" t="s">
        <v>8651</v>
      </c>
    </row>
    <row r="48" spans="1:11" ht="14.4" customHeight="1" x14ac:dyDescent="0.25">
      <c r="A48" s="1068"/>
      <c r="B48" s="388" t="s">
        <v>8652</v>
      </c>
      <c r="C48" s="388" t="s">
        <v>8653</v>
      </c>
      <c r="D48" s="388" t="s">
        <v>8654</v>
      </c>
    </row>
    <row r="49" spans="1:4" ht="14.4" customHeight="1" x14ac:dyDescent="0.25">
      <c r="A49" s="1067" t="s">
        <v>8655</v>
      </c>
      <c r="B49" s="388" t="s">
        <v>8656</v>
      </c>
      <c r="C49" s="388" t="s">
        <v>8657</v>
      </c>
    </row>
    <row r="50" spans="1:4" ht="14.4" customHeight="1" x14ac:dyDescent="0.25">
      <c r="A50" s="1068"/>
      <c r="B50" s="388" t="s">
        <v>8658</v>
      </c>
      <c r="C50" s="388" t="s">
        <v>8659</v>
      </c>
    </row>
    <row r="51" spans="1:4" ht="14.4" customHeight="1" x14ac:dyDescent="0.25">
      <c r="A51" s="1067" t="s">
        <v>8660</v>
      </c>
      <c r="B51" s="388" t="s">
        <v>8661</v>
      </c>
      <c r="C51" s="388" t="s">
        <v>8662</v>
      </c>
      <c r="D51" s="388" t="s">
        <v>8663</v>
      </c>
    </row>
    <row r="52" spans="1:4" ht="14.4" customHeight="1" x14ac:dyDescent="0.25">
      <c r="A52" s="1068"/>
      <c r="B52" s="388" t="s">
        <v>8664</v>
      </c>
      <c r="C52" s="388" t="s">
        <v>8665</v>
      </c>
      <c r="D52" s="388" t="s">
        <v>8666</v>
      </c>
    </row>
    <row r="53" spans="1:4" ht="14.4" customHeight="1" x14ac:dyDescent="0.25">
      <c r="A53" s="1067" t="s">
        <v>8667</v>
      </c>
      <c r="B53" s="388" t="s">
        <v>8667</v>
      </c>
      <c r="C53" s="388" t="s">
        <v>8668</v>
      </c>
      <c r="D53" s="388" t="s">
        <v>8669</v>
      </c>
    </row>
    <row r="54" spans="1:4" ht="14.4" customHeight="1" x14ac:dyDescent="0.25">
      <c r="A54" s="1068"/>
      <c r="B54" s="388" t="s">
        <v>8670</v>
      </c>
      <c r="C54" s="388" t="s">
        <v>8671</v>
      </c>
      <c r="D54" s="388" t="s">
        <v>8672</v>
      </c>
    </row>
    <row r="55" spans="1:4" ht="14.4" customHeight="1" x14ac:dyDescent="0.25">
      <c r="A55" s="1067" t="s">
        <v>8556</v>
      </c>
      <c r="B55" s="388" t="s">
        <v>8673</v>
      </c>
      <c r="C55" s="388" t="s">
        <v>8674</v>
      </c>
    </row>
    <row r="56" spans="1:4" ht="14.4" customHeight="1" x14ac:dyDescent="0.25">
      <c r="A56" s="1068"/>
      <c r="B56" s="388" t="s">
        <v>8675</v>
      </c>
      <c r="C56" s="388" t="s">
        <v>8676</v>
      </c>
    </row>
  </sheetData>
  <sheetProtection sheet="1" objects="1" scenarios="1"/>
  <mergeCells count="20">
    <mergeCell ref="A55:A56"/>
    <mergeCell ref="A25:A26"/>
    <mergeCell ref="A45:A46"/>
    <mergeCell ref="A31:A32"/>
    <mergeCell ref="A35:A36"/>
    <mergeCell ref="A29:A30"/>
    <mergeCell ref="A41:A42"/>
    <mergeCell ref="A37:A38"/>
    <mergeCell ref="A33:A34"/>
    <mergeCell ref="A21:A22"/>
    <mergeCell ref="A49:A50"/>
    <mergeCell ref="D2:D9"/>
    <mergeCell ref="D10:D15"/>
    <mergeCell ref="A53:A54"/>
    <mergeCell ref="A23:A24"/>
    <mergeCell ref="A39:A40"/>
    <mergeCell ref="A47:A48"/>
    <mergeCell ref="A43:A44"/>
    <mergeCell ref="A51:A52"/>
    <mergeCell ref="A27:A28"/>
  </mergeCells>
  <phoneticPr fontId="8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sheetPr>
  <dimension ref="A1:Q518"/>
  <sheetViews>
    <sheetView workbookViewId="0">
      <selection activeCell="B3" sqref="B3:G4"/>
    </sheetView>
  </sheetViews>
  <sheetFormatPr defaultColWidth="8.90625" defaultRowHeight="14.5" x14ac:dyDescent="0.25"/>
  <cols>
    <col min="1" max="1" width="2.36328125" style="1" customWidth="1"/>
    <col min="2" max="4" width="8.90625" style="1" customWidth="1"/>
    <col min="5" max="7" width="8.90625" style="1"/>
    <col min="8" max="8" width="2.36328125" style="1" customWidth="1"/>
    <col min="9" max="10" width="8.90625" style="1"/>
    <col min="11" max="11" width="21.453125" style="1" customWidth="1"/>
    <col min="12" max="12" width="33" style="1" customWidth="1"/>
    <col min="13" max="13" width="2.36328125" style="1" customWidth="1"/>
    <col min="14" max="16384" width="8.90625" style="1"/>
  </cols>
  <sheetData>
    <row r="1" spans="1:17" ht="15" customHeight="1" x14ac:dyDescent="0.25">
      <c r="A1" s="627" t="s">
        <v>8677</v>
      </c>
      <c r="B1" s="627"/>
      <c r="C1" s="627"/>
      <c r="D1" s="627"/>
      <c r="E1" s="627"/>
      <c r="F1" s="627"/>
      <c r="G1" s="627"/>
      <c r="H1" s="627"/>
      <c r="I1" s="627"/>
      <c r="J1" s="627"/>
      <c r="K1" s="627"/>
      <c r="L1" s="627"/>
      <c r="M1" s="627"/>
    </row>
    <row r="2" spans="1:17" ht="15" customHeight="1" x14ac:dyDescent="0.25">
      <c r="N2" s="1108" t="s">
        <v>8678</v>
      </c>
      <c r="O2" s="1109"/>
      <c r="P2" s="1109"/>
      <c r="Q2" s="1110"/>
    </row>
    <row r="3" spans="1:17" ht="15" customHeight="1" x14ac:dyDescent="0.25">
      <c r="B3" s="1102" t="s">
        <v>7841</v>
      </c>
      <c r="C3" s="1103"/>
      <c r="D3" s="1103"/>
      <c r="E3" s="1103"/>
      <c r="F3" s="1103"/>
      <c r="G3" s="1104"/>
      <c r="I3" s="1074" t="s">
        <v>8679</v>
      </c>
      <c r="J3" s="1075"/>
      <c r="K3" s="1081" t="s">
        <v>8680</v>
      </c>
      <c r="L3" s="1082"/>
      <c r="N3" s="1111"/>
      <c r="O3" s="1112"/>
      <c r="P3" s="1112"/>
      <c r="Q3" s="1113"/>
    </row>
    <row r="4" spans="1:17" ht="15" customHeight="1" x14ac:dyDescent="0.25">
      <c r="B4" s="1105"/>
      <c r="C4" s="1106"/>
      <c r="D4" s="1106"/>
      <c r="E4" s="1106"/>
      <c r="F4" s="1106"/>
      <c r="G4" s="1107"/>
      <c r="I4" s="460" t="s">
        <v>165</v>
      </c>
      <c r="J4" s="461" t="s">
        <v>1531</v>
      </c>
      <c r="K4" s="462" t="str">
        <f>法术数据!AD2</f>
        <v>防活物护罩</v>
      </c>
      <c r="L4" s="463" t="str">
        <f>法术数据!AE2</f>
        <v>Antilife Shell</v>
      </c>
      <c r="N4" s="1111"/>
      <c r="O4" s="1112"/>
      <c r="P4" s="1112"/>
      <c r="Q4" s="1113"/>
    </row>
    <row r="5" spans="1:17" ht="15" customHeight="1" x14ac:dyDescent="0.25">
      <c r="B5" s="1083" t="str">
        <f>IF(B3="","","施法距离： "&amp;(VLOOKUP(B3,法术数据!B:G,6,0)))</f>
        <v>施法距离： 60尺</v>
      </c>
      <c r="C5" s="1084"/>
      <c r="D5" s="1084"/>
      <c r="E5" s="1085"/>
      <c r="F5" s="1072" t="str">
        <f>IFERROR(IF(B3="","",VLOOKUP(VLOOKUP(B3,法术数据!B:P,15,FALSE),CHOOSE({1,2},法术数据!AI2:AI11,法术数据!AH2:AH11),2,FALSE)&amp;" / "&amp;VLOOKUP(B3,法术数据!B:E,4,FALSE)),"")</f>
        <v>五环 / 塑能</v>
      </c>
      <c r="G5" s="1073"/>
      <c r="I5" s="460" t="s">
        <v>6270</v>
      </c>
      <c r="J5" s="461" t="s">
        <v>6316</v>
      </c>
      <c r="K5" s="464" t="str">
        <f>法术数据!AD3</f>
        <v>启蒙术</v>
      </c>
      <c r="L5" s="465" t="str">
        <f>法术数据!AE3</f>
        <v>Awaken</v>
      </c>
      <c r="N5" s="1111"/>
      <c r="O5" s="1112"/>
      <c r="P5" s="1112"/>
      <c r="Q5" s="1113"/>
    </row>
    <row r="6" spans="1:17" x14ac:dyDescent="0.25">
      <c r="B6" s="1076" t="str">
        <f>IF(B3="","","施法时间： "&amp;VLOOKUP(B3,法术数据!B:F,5,0)&amp;IF(VLOOKUP(B3,法术数据!B:D,3,0)=1,"（仪式）",""))</f>
        <v>施法时间： 1动作</v>
      </c>
      <c r="C6" s="1077"/>
      <c r="D6" s="1077"/>
      <c r="E6" s="1077"/>
      <c r="F6" s="1077"/>
      <c r="G6" s="1078"/>
      <c r="I6" s="460" t="s">
        <v>6266</v>
      </c>
      <c r="J6" s="461"/>
      <c r="K6" s="462" t="str">
        <f>法术数据!AD4</f>
        <v>问道自然</v>
      </c>
      <c r="L6" s="463" t="str">
        <f>法术数据!AE4</f>
        <v>Commune With Nature</v>
      </c>
      <c r="N6" s="1111"/>
      <c r="O6" s="1112"/>
      <c r="P6" s="1112"/>
      <c r="Q6" s="1113"/>
    </row>
    <row r="7" spans="1:17" x14ac:dyDescent="0.25">
      <c r="B7" s="1076"/>
      <c r="C7" s="1077"/>
      <c r="D7" s="1077"/>
      <c r="E7" s="1077"/>
      <c r="F7" s="1077"/>
      <c r="G7" s="1078"/>
      <c r="I7" s="460" t="s">
        <v>222</v>
      </c>
      <c r="J7" s="461"/>
      <c r="K7" s="464" t="str">
        <f>法术数据!AD5</f>
        <v>寒冰锥</v>
      </c>
      <c r="L7" s="465" t="str">
        <f>法术数据!AE5</f>
        <v>Cone Of Cold</v>
      </c>
      <c r="N7" s="1111"/>
      <c r="O7" s="1112"/>
      <c r="P7" s="1112"/>
      <c r="Q7" s="1113"/>
    </row>
    <row r="8" spans="1:17" ht="15" customHeight="1" x14ac:dyDescent="0.25">
      <c r="B8" s="1070" t="str">
        <f>IF(B3="","","持续时间： "&amp;VLOOKUP(B3,法术数据!B:N,13,0))</f>
        <v>持续时间： 立即</v>
      </c>
      <c r="C8" s="1071"/>
      <c r="D8" s="1071"/>
      <c r="E8" s="1071"/>
      <c r="F8" s="1079" t="str">
        <f>IFERROR(IF(VLOOKUP(B3,法术数据!B:M,12,0)=1,"需要专注",""),"")</f>
        <v/>
      </c>
      <c r="G8" s="1080"/>
      <c r="I8" s="460" t="s">
        <v>220</v>
      </c>
      <c r="J8" s="461"/>
      <c r="K8" s="462" t="str">
        <f>法术数据!AD6</f>
        <v>召唤元素生物</v>
      </c>
      <c r="L8" s="463" t="str">
        <f>法术数据!AE6</f>
        <v>Conjure Elemental</v>
      </c>
      <c r="N8" s="1114"/>
      <c r="O8" s="1115"/>
      <c r="P8" s="1115"/>
      <c r="Q8" s="1116"/>
    </row>
    <row r="9" spans="1:17" ht="15" customHeight="1" x14ac:dyDescent="0.25">
      <c r="B9" s="1070" t="str">
        <f>IF(B3="","","法术成分："&amp;IF(VLOOKUP(B3,法术数据!B:H,7,0)=1," 言语 ","")&amp;IF(VLOOKUP(B3,法术数据!B:I,8,0)=1," 姿势 ","")&amp;IF(VLOOKUP(B3,法术数据!B:J,9,0)&gt;=1," 材料 ",""))</f>
        <v xml:space="preserve">法术成分： 言语  姿势 </v>
      </c>
      <c r="C9" s="1071"/>
      <c r="D9" s="1071"/>
      <c r="E9" s="1071"/>
      <c r="F9" s="1086" t="str">
        <f>IF(B3="","","出自： "&amp;(VLOOKUP(B3,法术数据!B:Q,16,0)))</f>
        <v>出自： PHB</v>
      </c>
      <c r="G9" s="1087"/>
      <c r="I9" s="460" t="s">
        <v>223</v>
      </c>
      <c r="J9" s="461"/>
      <c r="K9" s="464" t="str">
        <f>法术数据!AD7</f>
        <v>疫病术</v>
      </c>
      <c r="L9" s="465" t="str">
        <f>法术数据!AE7</f>
        <v>Contagion</v>
      </c>
    </row>
    <row r="10" spans="1:17" ht="15" customHeight="1" x14ac:dyDescent="0.25">
      <c r="B10" s="1076" t="str">
        <f>IF(VLOOKUP(B3,法术数据!B:K,10,0)="","","触媒： "&amp;VLOOKUP(B3,法术数据!B:K,10,0))&amp;IF(VLOOKUP(B3,法术数据!B:J,9,0)=2,CHAR(10),"")&amp;IF(VLOOKUP(B3,法术数据!B:L,11,0)="","","耗材： "&amp;VLOOKUP(B3,法术数据!B:L,11,0))</f>
        <v/>
      </c>
      <c r="C10" s="1077"/>
      <c r="D10" s="1077"/>
      <c r="E10" s="1077"/>
      <c r="F10" s="1077"/>
      <c r="G10" s="1078"/>
      <c r="I10" s="460" t="s">
        <v>213</v>
      </c>
      <c r="J10" s="461"/>
      <c r="K10" s="462" t="str">
        <f>法术数据!AD8</f>
        <v>指使术</v>
      </c>
      <c r="L10" s="463" t="str">
        <f>法术数据!AE8</f>
        <v>Geas</v>
      </c>
      <c r="N10" s="1108" t="s">
        <v>8681</v>
      </c>
      <c r="O10" s="1109"/>
      <c r="P10" s="1109"/>
      <c r="Q10" s="1110"/>
    </row>
    <row r="11" spans="1:17" ht="15" customHeight="1" x14ac:dyDescent="0.25">
      <c r="B11" s="1076"/>
      <c r="C11" s="1077"/>
      <c r="D11" s="1077"/>
      <c r="E11" s="1077"/>
      <c r="F11" s="1077"/>
      <c r="G11" s="1078"/>
      <c r="I11" s="460" t="s">
        <v>5691</v>
      </c>
      <c r="J11" s="461"/>
      <c r="K11" s="464" t="str">
        <f>法术数据!AD9</f>
        <v>高等复原术</v>
      </c>
      <c r="L11" s="465" t="str">
        <f>法术数据!AE9</f>
        <v>Greater Restoration</v>
      </c>
      <c r="N11" s="1111"/>
      <c r="O11" s="1112"/>
      <c r="P11" s="1112"/>
      <c r="Q11" s="1113"/>
    </row>
    <row r="12" spans="1:17" ht="15.65" customHeight="1" x14ac:dyDescent="0.25">
      <c r="B12" s="1076"/>
      <c r="C12" s="1077"/>
      <c r="D12" s="1077"/>
      <c r="E12" s="1077"/>
      <c r="F12" s="1077"/>
      <c r="G12" s="1078"/>
      <c r="I12" s="460" t="s">
        <v>8682</v>
      </c>
      <c r="J12" s="461"/>
      <c r="K12" s="462" t="str">
        <f>法术数据!AD10</f>
        <v>疫病虫群</v>
      </c>
      <c r="L12" s="463" t="str">
        <f>法术数据!AE10</f>
        <v>Insect Plague</v>
      </c>
      <c r="N12" s="1111"/>
      <c r="O12" s="1112"/>
      <c r="P12" s="1112"/>
      <c r="Q12" s="1113"/>
    </row>
    <row r="13" spans="1:17" ht="15" customHeight="1" x14ac:dyDescent="0.25">
      <c r="B13" s="1076"/>
      <c r="C13" s="1077"/>
      <c r="D13" s="1077"/>
      <c r="E13" s="1077"/>
      <c r="F13" s="1077"/>
      <c r="G13" s="1078"/>
      <c r="I13" s="460" t="s">
        <v>8683</v>
      </c>
      <c r="J13" s="461"/>
      <c r="K13" s="464" t="str">
        <f>法术数据!AD11</f>
        <v>群体疗伤术</v>
      </c>
      <c r="L13" s="465" t="str">
        <f>法术数据!AE11</f>
        <v>Mass Cure Wounds</v>
      </c>
      <c r="N13" s="1111"/>
      <c r="O13" s="1112"/>
      <c r="P13" s="1112"/>
      <c r="Q13" s="1113"/>
    </row>
    <row r="14" spans="1:17" ht="15" customHeight="1" x14ac:dyDescent="0.25">
      <c r="B14" s="1088"/>
      <c r="C14" s="1089"/>
      <c r="D14" s="1089"/>
      <c r="E14" s="1089"/>
      <c r="F14" s="1089"/>
      <c r="G14" s="1090"/>
      <c r="I14" s="460" t="s">
        <v>8684</v>
      </c>
      <c r="J14" s="461"/>
      <c r="K14" s="462" t="str">
        <f>法术数据!AD12</f>
        <v>异界誓缚</v>
      </c>
      <c r="L14" s="463" t="str">
        <f>法术数据!AE12</f>
        <v>Planar Binding</v>
      </c>
      <c r="N14" s="1111"/>
      <c r="O14" s="1112"/>
      <c r="P14" s="1112"/>
      <c r="Q14" s="1113"/>
    </row>
    <row r="15" spans="1:17" ht="15" customHeight="1" x14ac:dyDescent="0.25">
      <c r="B15" s="1091" t="str">
        <f>IF(B3="","","说明： "&amp;(VLOOKUP(B3,法术数据!B:O,14,0)))</f>
        <v>说明： 一波治愈的能量从施法距离内你指定的一点奔涌而出。你在该点周边30尺半径的球状区域内指定至多六个生物，并使每个目标生物恢复一定的生命值，其数值等于3d8+你的施法关键属性调整值。该法术对不死生物和构装生物无效。
升环施法效应：使用六环或更高法术位施展该法术时，你使用的法术位每比五环高一环，其治疗量就增加1d8。</v>
      </c>
      <c r="C15" s="1092"/>
      <c r="D15" s="1092"/>
      <c r="E15" s="1092"/>
      <c r="F15" s="1092"/>
      <c r="G15" s="1093"/>
      <c r="I15" s="1100" t="s">
        <v>224</v>
      </c>
      <c r="J15" s="1101"/>
      <c r="K15" s="464" t="str">
        <f>法术数据!AD13</f>
        <v>转生术</v>
      </c>
      <c r="L15" s="465" t="str">
        <f>法术数据!AE13</f>
        <v>Reincarnate</v>
      </c>
      <c r="N15" s="1111"/>
      <c r="O15" s="1112"/>
      <c r="P15" s="1112"/>
      <c r="Q15" s="1113"/>
    </row>
    <row r="16" spans="1:17" ht="15" customHeight="1" x14ac:dyDescent="0.25">
      <c r="B16" s="1094"/>
      <c r="C16" s="1095"/>
      <c r="D16" s="1095"/>
      <c r="E16" s="1095"/>
      <c r="F16" s="1095"/>
      <c r="G16" s="1096"/>
      <c r="I16" s="460" t="s">
        <v>8685</v>
      </c>
      <c r="J16" s="461"/>
      <c r="K16" s="462" t="str">
        <f>法术数据!AD14</f>
        <v>探知</v>
      </c>
      <c r="L16" s="463" t="str">
        <f>法术数据!AE14</f>
        <v>Scrying</v>
      </c>
      <c r="N16" s="1114"/>
      <c r="O16" s="1115"/>
      <c r="P16" s="1115"/>
      <c r="Q16" s="1116"/>
    </row>
    <row r="17" spans="2:12" ht="15" customHeight="1" x14ac:dyDescent="0.25">
      <c r="B17" s="1094"/>
      <c r="C17" s="1095"/>
      <c r="D17" s="1095"/>
      <c r="E17" s="1095"/>
      <c r="F17" s="1095"/>
      <c r="G17" s="1096"/>
      <c r="I17" s="460" t="s">
        <v>8686</v>
      </c>
      <c r="J17" s="461"/>
      <c r="K17" s="464" t="str">
        <f>法术数据!AD15</f>
        <v>树跃术</v>
      </c>
      <c r="L17" s="465" t="str">
        <f>法术数据!AE15</f>
        <v>Tree Stride</v>
      </c>
    </row>
    <row r="18" spans="2:12" ht="15" customHeight="1" x14ac:dyDescent="0.25">
      <c r="B18" s="1094"/>
      <c r="C18" s="1095"/>
      <c r="D18" s="1095"/>
      <c r="E18" s="1095"/>
      <c r="F18" s="1095"/>
      <c r="G18" s="1096"/>
      <c r="I18" s="460" t="s">
        <v>6267</v>
      </c>
      <c r="J18" s="461"/>
      <c r="K18" s="462" t="str">
        <f>法术数据!AD16</f>
        <v>石墙术</v>
      </c>
      <c r="L18" s="463" t="str">
        <f>法术数据!AE16</f>
        <v>Wall Of Stone</v>
      </c>
    </row>
    <row r="19" spans="2:12" ht="15" customHeight="1" x14ac:dyDescent="0.25">
      <c r="B19" s="1094"/>
      <c r="C19" s="1095"/>
      <c r="D19" s="1095"/>
      <c r="E19" s="1095"/>
      <c r="F19" s="1095"/>
      <c r="G19" s="1096"/>
      <c r="I19" s="466" t="s">
        <v>6268</v>
      </c>
      <c r="J19" s="467"/>
      <c r="K19" s="464" t="str">
        <f>法术数据!AD17</f>
        <v>操控风力</v>
      </c>
      <c r="L19" s="465" t="str">
        <f>法术数据!AE17</f>
        <v>Control Wind</v>
      </c>
    </row>
    <row r="20" spans="2:12" ht="15" customHeight="1" x14ac:dyDescent="0.25">
      <c r="B20" s="1094"/>
      <c r="C20" s="1095"/>
      <c r="D20" s="1095"/>
      <c r="E20" s="1095"/>
      <c r="F20" s="1095"/>
      <c r="G20" s="1096"/>
      <c r="K20" s="462" t="str">
        <f>法术数据!AD18</f>
        <v>大漩涡</v>
      </c>
      <c r="L20" s="463" t="str">
        <f>法术数据!AE18</f>
        <v>Maelstrom</v>
      </c>
    </row>
    <row r="21" spans="2:12" ht="15" customHeight="1" x14ac:dyDescent="0.25">
      <c r="B21" s="1094"/>
      <c r="C21" s="1095"/>
      <c r="D21" s="1095"/>
      <c r="E21" s="1095"/>
      <c r="F21" s="1095"/>
      <c r="G21" s="1096"/>
      <c r="K21" s="464" t="str">
        <f>法术数据!AD19</f>
        <v>转化岩石</v>
      </c>
      <c r="L21" s="465" t="str">
        <f>法术数据!AE19</f>
        <v>Transmute Rock</v>
      </c>
    </row>
    <row r="22" spans="2:12" ht="15" customHeight="1" x14ac:dyDescent="0.25">
      <c r="B22" s="1094"/>
      <c r="C22" s="1095"/>
      <c r="D22" s="1095"/>
      <c r="E22" s="1095"/>
      <c r="F22" s="1095"/>
      <c r="G22" s="1096"/>
      <c r="K22" s="462" t="str">
        <f>法术数据!AD20</f>
        <v>自然之怒</v>
      </c>
      <c r="L22" s="463" t="str">
        <f>法术数据!AE20</f>
        <v>Wrath Of Nature</v>
      </c>
    </row>
    <row r="23" spans="2:12" ht="15" customHeight="1" x14ac:dyDescent="0.25">
      <c r="B23" s="1094"/>
      <c r="C23" s="1095"/>
      <c r="D23" s="1095"/>
      <c r="E23" s="1095"/>
      <c r="F23" s="1095"/>
      <c r="G23" s="1096"/>
      <c r="K23" s="464" t="str">
        <f>法术数据!AD21</f>
        <v>龙类精魂召唤术</v>
      </c>
      <c r="L23" s="465" t="str">
        <f>法术数据!AE21</f>
        <v>Summon Draconic Spirit</v>
      </c>
    </row>
    <row r="24" spans="2:12" ht="15" customHeight="1" x14ac:dyDescent="0.25">
      <c r="B24" s="1094"/>
      <c r="C24" s="1095"/>
      <c r="D24" s="1095"/>
      <c r="E24" s="1095"/>
      <c r="F24" s="1095"/>
      <c r="G24" s="1096"/>
      <c r="K24" s="462" t="str">
        <f>法术数据!AD22</f>
        <v/>
      </c>
      <c r="L24" s="463" t="str">
        <f>法术数据!AE22</f>
        <v/>
      </c>
    </row>
    <row r="25" spans="2:12" x14ac:dyDescent="0.25">
      <c r="B25" s="1094"/>
      <c r="C25" s="1095"/>
      <c r="D25" s="1095"/>
      <c r="E25" s="1095"/>
      <c r="F25" s="1095"/>
      <c r="G25" s="1096"/>
      <c r="K25" s="464" t="str">
        <f>法术数据!AD23</f>
        <v/>
      </c>
      <c r="L25" s="465" t="str">
        <f>法术数据!AE23</f>
        <v/>
      </c>
    </row>
    <row r="26" spans="2:12" ht="15" customHeight="1" x14ac:dyDescent="0.25">
      <c r="B26" s="1094"/>
      <c r="C26" s="1095"/>
      <c r="D26" s="1095"/>
      <c r="E26" s="1095"/>
      <c r="F26" s="1095"/>
      <c r="G26" s="1096"/>
      <c r="K26" s="462" t="str">
        <f>法术数据!AD24</f>
        <v/>
      </c>
      <c r="L26" s="463" t="str">
        <f>法术数据!AE24</f>
        <v/>
      </c>
    </row>
    <row r="27" spans="2:12" ht="15" customHeight="1" x14ac:dyDescent="0.25">
      <c r="B27" s="1094"/>
      <c r="C27" s="1095"/>
      <c r="D27" s="1095"/>
      <c r="E27" s="1095"/>
      <c r="F27" s="1095"/>
      <c r="G27" s="1096"/>
      <c r="K27" s="464" t="str">
        <f>法术数据!AD25</f>
        <v/>
      </c>
      <c r="L27" s="465" t="str">
        <f>法术数据!AE25</f>
        <v/>
      </c>
    </row>
    <row r="28" spans="2:12" ht="15" customHeight="1" x14ac:dyDescent="0.25">
      <c r="B28" s="1094"/>
      <c r="C28" s="1095"/>
      <c r="D28" s="1095"/>
      <c r="E28" s="1095"/>
      <c r="F28" s="1095"/>
      <c r="G28" s="1096"/>
      <c r="K28" s="462" t="str">
        <f>法术数据!AD26</f>
        <v/>
      </c>
      <c r="L28" s="463" t="str">
        <f>法术数据!AE26</f>
        <v/>
      </c>
    </row>
    <row r="29" spans="2:12" ht="15" customHeight="1" x14ac:dyDescent="0.25">
      <c r="B29" s="1094"/>
      <c r="C29" s="1095"/>
      <c r="D29" s="1095"/>
      <c r="E29" s="1095"/>
      <c r="F29" s="1095"/>
      <c r="G29" s="1096"/>
      <c r="K29" s="464" t="str">
        <f>法术数据!AD27</f>
        <v/>
      </c>
      <c r="L29" s="465" t="str">
        <f>法术数据!AE27</f>
        <v/>
      </c>
    </row>
    <row r="30" spans="2:12" ht="15" customHeight="1" x14ac:dyDescent="0.25">
      <c r="B30" s="1094"/>
      <c r="C30" s="1095"/>
      <c r="D30" s="1095"/>
      <c r="E30" s="1095"/>
      <c r="F30" s="1095"/>
      <c r="G30" s="1096"/>
      <c r="K30" s="462" t="str">
        <f>法术数据!AD28</f>
        <v/>
      </c>
      <c r="L30" s="463" t="str">
        <f>法术数据!AE28</f>
        <v/>
      </c>
    </row>
    <row r="31" spans="2:12" ht="15" customHeight="1" x14ac:dyDescent="0.25">
      <c r="B31" s="1094"/>
      <c r="C31" s="1095"/>
      <c r="D31" s="1095"/>
      <c r="E31" s="1095"/>
      <c r="F31" s="1095"/>
      <c r="G31" s="1096"/>
      <c r="K31" s="464" t="str">
        <f>法术数据!AD29</f>
        <v/>
      </c>
      <c r="L31" s="465" t="str">
        <f>法术数据!AE29</f>
        <v/>
      </c>
    </row>
    <row r="32" spans="2:12" ht="15" customHeight="1" x14ac:dyDescent="0.25">
      <c r="B32" s="1094"/>
      <c r="C32" s="1095"/>
      <c r="D32" s="1095"/>
      <c r="E32" s="1095"/>
      <c r="F32" s="1095"/>
      <c r="G32" s="1096"/>
      <c r="K32" s="462" t="str">
        <f>法术数据!AD30</f>
        <v/>
      </c>
      <c r="L32" s="463" t="str">
        <f>法术数据!AE30</f>
        <v/>
      </c>
    </row>
    <row r="33" spans="2:12" ht="15" customHeight="1" x14ac:dyDescent="0.25">
      <c r="B33" s="1094"/>
      <c r="C33" s="1095"/>
      <c r="D33" s="1095"/>
      <c r="E33" s="1095"/>
      <c r="F33" s="1095"/>
      <c r="G33" s="1096"/>
      <c r="K33" s="464" t="str">
        <f>法术数据!AD31</f>
        <v/>
      </c>
      <c r="L33" s="465" t="str">
        <f>法术数据!AE31</f>
        <v/>
      </c>
    </row>
    <row r="34" spans="2:12" ht="15" customHeight="1" x14ac:dyDescent="0.25">
      <c r="B34" s="1094"/>
      <c r="C34" s="1095"/>
      <c r="D34" s="1095"/>
      <c r="E34" s="1095"/>
      <c r="F34" s="1095"/>
      <c r="G34" s="1096"/>
      <c r="K34" s="462" t="str">
        <f>法术数据!AD32</f>
        <v/>
      </c>
      <c r="L34" s="463" t="str">
        <f>法术数据!AE32</f>
        <v/>
      </c>
    </row>
    <row r="35" spans="2:12" ht="15" customHeight="1" x14ac:dyDescent="0.25">
      <c r="B35" s="1094"/>
      <c r="C35" s="1095"/>
      <c r="D35" s="1095"/>
      <c r="E35" s="1095"/>
      <c r="F35" s="1095"/>
      <c r="G35" s="1096"/>
      <c r="K35" s="464" t="str">
        <f>法术数据!AD33</f>
        <v/>
      </c>
      <c r="L35" s="465" t="str">
        <f>法术数据!AE33</f>
        <v/>
      </c>
    </row>
    <row r="36" spans="2:12" ht="15" customHeight="1" x14ac:dyDescent="0.25">
      <c r="B36" s="1094"/>
      <c r="C36" s="1095"/>
      <c r="D36" s="1095"/>
      <c r="E36" s="1095"/>
      <c r="F36" s="1095"/>
      <c r="G36" s="1096"/>
      <c r="K36" s="462" t="str">
        <f>法术数据!AD34</f>
        <v/>
      </c>
      <c r="L36" s="463" t="str">
        <f>法术数据!AE34</f>
        <v/>
      </c>
    </row>
    <row r="37" spans="2:12" ht="15" customHeight="1" x14ac:dyDescent="0.25">
      <c r="B37" s="1094"/>
      <c r="C37" s="1095"/>
      <c r="D37" s="1095"/>
      <c r="E37" s="1095"/>
      <c r="F37" s="1095"/>
      <c r="G37" s="1096"/>
      <c r="K37" s="464" t="str">
        <f>法术数据!AD35</f>
        <v/>
      </c>
      <c r="L37" s="465" t="str">
        <f>法术数据!AE35</f>
        <v/>
      </c>
    </row>
    <row r="38" spans="2:12" ht="15" customHeight="1" x14ac:dyDescent="0.25">
      <c r="B38" s="1094"/>
      <c r="C38" s="1095"/>
      <c r="D38" s="1095"/>
      <c r="E38" s="1095"/>
      <c r="F38" s="1095"/>
      <c r="G38" s="1096"/>
      <c r="K38" s="462" t="str">
        <f>法术数据!AD36</f>
        <v/>
      </c>
      <c r="L38" s="463" t="str">
        <f>法术数据!AE36</f>
        <v/>
      </c>
    </row>
    <row r="39" spans="2:12" ht="15" customHeight="1" x14ac:dyDescent="0.25">
      <c r="B39" s="1094"/>
      <c r="C39" s="1095"/>
      <c r="D39" s="1095"/>
      <c r="E39" s="1095"/>
      <c r="F39" s="1095"/>
      <c r="G39" s="1096"/>
      <c r="K39" s="464" t="str">
        <f>法术数据!AD37</f>
        <v/>
      </c>
      <c r="L39" s="465" t="str">
        <f>法术数据!AE37</f>
        <v/>
      </c>
    </row>
    <row r="40" spans="2:12" ht="15" customHeight="1" x14ac:dyDescent="0.25">
      <c r="B40" s="1094"/>
      <c r="C40" s="1095"/>
      <c r="D40" s="1095"/>
      <c r="E40" s="1095"/>
      <c r="F40" s="1095"/>
      <c r="G40" s="1096"/>
      <c r="K40" s="462" t="str">
        <f>法术数据!AD38</f>
        <v/>
      </c>
      <c r="L40" s="463" t="str">
        <f>法术数据!AE38</f>
        <v/>
      </c>
    </row>
    <row r="41" spans="2:12" ht="15" customHeight="1" x14ac:dyDescent="0.25">
      <c r="B41" s="1094"/>
      <c r="C41" s="1095"/>
      <c r="D41" s="1095"/>
      <c r="E41" s="1095"/>
      <c r="F41" s="1095"/>
      <c r="G41" s="1096"/>
      <c r="K41" s="464" t="str">
        <f>法术数据!AD39</f>
        <v/>
      </c>
      <c r="L41" s="465" t="str">
        <f>法术数据!AE39</f>
        <v/>
      </c>
    </row>
    <row r="42" spans="2:12" ht="15" customHeight="1" x14ac:dyDescent="0.25">
      <c r="B42" s="1094"/>
      <c r="C42" s="1095"/>
      <c r="D42" s="1095"/>
      <c r="E42" s="1095"/>
      <c r="F42" s="1095"/>
      <c r="G42" s="1096"/>
      <c r="K42" s="462" t="str">
        <f>法术数据!AD40</f>
        <v/>
      </c>
      <c r="L42" s="463" t="str">
        <f>法术数据!AE40</f>
        <v/>
      </c>
    </row>
    <row r="43" spans="2:12" ht="15" customHeight="1" x14ac:dyDescent="0.25">
      <c r="B43" s="1094"/>
      <c r="C43" s="1095"/>
      <c r="D43" s="1095"/>
      <c r="E43" s="1095"/>
      <c r="F43" s="1095"/>
      <c r="G43" s="1096"/>
      <c r="K43" s="464" t="str">
        <f>法术数据!AD41</f>
        <v/>
      </c>
      <c r="L43" s="465" t="str">
        <f>法术数据!AE41</f>
        <v/>
      </c>
    </row>
    <row r="44" spans="2:12" ht="15" customHeight="1" x14ac:dyDescent="0.25">
      <c r="B44" s="1097"/>
      <c r="C44" s="1098"/>
      <c r="D44" s="1098"/>
      <c r="E44" s="1098"/>
      <c r="F44" s="1098"/>
      <c r="G44" s="1099"/>
      <c r="K44" s="462" t="str">
        <f>法术数据!AD42</f>
        <v/>
      </c>
      <c r="L44" s="463" t="str">
        <f>法术数据!AE42</f>
        <v/>
      </c>
    </row>
    <row r="45" spans="2:12" ht="15" customHeight="1" x14ac:dyDescent="0.25">
      <c r="K45" s="464" t="str">
        <f>法术数据!AD43</f>
        <v/>
      </c>
      <c r="L45" s="465" t="str">
        <f>法术数据!AE43</f>
        <v/>
      </c>
    </row>
    <row r="46" spans="2:12" ht="15" customHeight="1" x14ac:dyDescent="0.25">
      <c r="K46" s="462" t="str">
        <f>法术数据!AD44</f>
        <v/>
      </c>
      <c r="L46" s="463" t="str">
        <f>法术数据!AE44</f>
        <v/>
      </c>
    </row>
    <row r="47" spans="2:12" ht="15" customHeight="1" x14ac:dyDescent="0.25">
      <c r="K47" s="464" t="str">
        <f>法术数据!AD45</f>
        <v/>
      </c>
      <c r="L47" s="465" t="str">
        <f>法术数据!AE45</f>
        <v/>
      </c>
    </row>
    <row r="48" spans="2:12" ht="15" customHeight="1" x14ac:dyDescent="0.25">
      <c r="K48" s="462" t="str">
        <f>法术数据!AD46</f>
        <v/>
      </c>
      <c r="L48" s="463" t="str">
        <f>法术数据!AE46</f>
        <v/>
      </c>
    </row>
    <row r="49" spans="11:12" ht="15" customHeight="1" x14ac:dyDescent="0.25">
      <c r="K49" s="464" t="str">
        <f>法术数据!AD47</f>
        <v/>
      </c>
      <c r="L49" s="465" t="str">
        <f>法术数据!AE47</f>
        <v/>
      </c>
    </row>
    <row r="50" spans="11:12" ht="15" customHeight="1" x14ac:dyDescent="0.25">
      <c r="K50" s="462" t="str">
        <f>法术数据!AD48</f>
        <v/>
      </c>
      <c r="L50" s="463" t="str">
        <f>法术数据!AE48</f>
        <v/>
      </c>
    </row>
    <row r="51" spans="11:12" ht="15" customHeight="1" x14ac:dyDescent="0.25">
      <c r="K51" s="464" t="str">
        <f>法术数据!AD49</f>
        <v/>
      </c>
      <c r="L51" s="465" t="str">
        <f>法术数据!AE49</f>
        <v/>
      </c>
    </row>
    <row r="52" spans="11:12" ht="15" customHeight="1" x14ac:dyDescent="0.25">
      <c r="K52" s="462" t="str">
        <f>法术数据!AD50</f>
        <v/>
      </c>
      <c r="L52" s="463" t="str">
        <f>法术数据!AE50</f>
        <v/>
      </c>
    </row>
    <row r="53" spans="11:12" ht="15" customHeight="1" x14ac:dyDescent="0.25">
      <c r="K53" s="464" t="str">
        <f>法术数据!AD51</f>
        <v/>
      </c>
      <c r="L53" s="465" t="str">
        <f>法术数据!AE51</f>
        <v/>
      </c>
    </row>
    <row r="54" spans="11:12" x14ac:dyDescent="0.25">
      <c r="K54" s="462" t="str">
        <f>法术数据!AD52</f>
        <v/>
      </c>
      <c r="L54" s="463" t="str">
        <f>法术数据!AE52</f>
        <v/>
      </c>
    </row>
    <row r="55" spans="11:12" x14ac:dyDescent="0.25">
      <c r="K55" s="464" t="str">
        <f>法术数据!AD53</f>
        <v/>
      </c>
      <c r="L55" s="465" t="str">
        <f>法术数据!AE53</f>
        <v/>
      </c>
    </row>
    <row r="56" spans="11:12" x14ac:dyDescent="0.25">
      <c r="K56" s="462" t="str">
        <f>法术数据!AD54</f>
        <v/>
      </c>
      <c r="L56" s="463" t="str">
        <f>法术数据!AE54</f>
        <v/>
      </c>
    </row>
    <row r="57" spans="11:12" x14ac:dyDescent="0.25">
      <c r="K57" s="464" t="str">
        <f>法术数据!AD55</f>
        <v/>
      </c>
      <c r="L57" s="465" t="str">
        <f>法术数据!AE55</f>
        <v/>
      </c>
    </row>
    <row r="58" spans="11:12" x14ac:dyDescent="0.25">
      <c r="K58" s="462" t="str">
        <f>法术数据!AD56</f>
        <v/>
      </c>
      <c r="L58" s="463" t="str">
        <f>法术数据!AE56</f>
        <v/>
      </c>
    </row>
    <row r="59" spans="11:12" x14ac:dyDescent="0.25">
      <c r="K59" s="464" t="str">
        <f>法术数据!AD57</f>
        <v/>
      </c>
      <c r="L59" s="465" t="str">
        <f>法术数据!AE57</f>
        <v/>
      </c>
    </row>
    <row r="60" spans="11:12" x14ac:dyDescent="0.25">
      <c r="K60" s="462" t="str">
        <f>法术数据!AD58</f>
        <v/>
      </c>
      <c r="L60" s="463" t="str">
        <f>法术数据!AE58</f>
        <v/>
      </c>
    </row>
    <row r="61" spans="11:12" x14ac:dyDescent="0.25">
      <c r="K61" s="464" t="str">
        <f>法术数据!AD59</f>
        <v/>
      </c>
      <c r="L61" s="465" t="str">
        <f>法术数据!AE59</f>
        <v/>
      </c>
    </row>
    <row r="62" spans="11:12" x14ac:dyDescent="0.25">
      <c r="K62" s="462" t="str">
        <f>法术数据!AD60</f>
        <v/>
      </c>
      <c r="L62" s="463" t="str">
        <f>法术数据!AE60</f>
        <v/>
      </c>
    </row>
    <row r="63" spans="11:12" x14ac:dyDescent="0.25">
      <c r="K63" s="464" t="str">
        <f>法术数据!AD61</f>
        <v/>
      </c>
      <c r="L63" s="465" t="str">
        <f>法术数据!AE61</f>
        <v/>
      </c>
    </row>
    <row r="64" spans="11:12" x14ac:dyDescent="0.25">
      <c r="K64" s="462" t="str">
        <f>法术数据!AD62</f>
        <v/>
      </c>
      <c r="L64" s="463" t="str">
        <f>法术数据!AE62</f>
        <v/>
      </c>
    </row>
    <row r="65" spans="11:12" x14ac:dyDescent="0.25">
      <c r="K65" s="464" t="str">
        <f>法术数据!AD63</f>
        <v/>
      </c>
      <c r="L65" s="465" t="str">
        <f>法术数据!AE63</f>
        <v/>
      </c>
    </row>
    <row r="66" spans="11:12" x14ac:dyDescent="0.25">
      <c r="K66" s="462" t="str">
        <f>法术数据!AD64</f>
        <v/>
      </c>
      <c r="L66" s="463" t="str">
        <f>法术数据!AE64</f>
        <v/>
      </c>
    </row>
    <row r="67" spans="11:12" x14ac:dyDescent="0.25">
      <c r="K67" s="464" t="str">
        <f>法术数据!AD65</f>
        <v/>
      </c>
      <c r="L67" s="465" t="str">
        <f>法术数据!AE65</f>
        <v/>
      </c>
    </row>
    <row r="68" spans="11:12" x14ac:dyDescent="0.25">
      <c r="K68" s="462" t="str">
        <f>法术数据!AD66</f>
        <v/>
      </c>
      <c r="L68" s="463" t="str">
        <f>法术数据!AE66</f>
        <v/>
      </c>
    </row>
    <row r="69" spans="11:12" x14ac:dyDescent="0.25">
      <c r="K69" s="464" t="str">
        <f>法术数据!AD67</f>
        <v/>
      </c>
      <c r="L69" s="465" t="str">
        <f>法术数据!AE67</f>
        <v/>
      </c>
    </row>
    <row r="70" spans="11:12" x14ac:dyDescent="0.25">
      <c r="K70" s="462" t="str">
        <f>法术数据!AD68</f>
        <v/>
      </c>
      <c r="L70" s="463" t="str">
        <f>法术数据!AE68</f>
        <v/>
      </c>
    </row>
    <row r="71" spans="11:12" x14ac:dyDescent="0.25">
      <c r="K71" s="464" t="str">
        <f>法术数据!AD69</f>
        <v/>
      </c>
      <c r="L71" s="465" t="str">
        <f>法术数据!AE69</f>
        <v/>
      </c>
    </row>
    <row r="72" spans="11:12" x14ac:dyDescent="0.25">
      <c r="K72" s="462" t="str">
        <f>法术数据!AD70</f>
        <v/>
      </c>
      <c r="L72" s="463" t="str">
        <f>法术数据!AE70</f>
        <v/>
      </c>
    </row>
    <row r="73" spans="11:12" x14ac:dyDescent="0.25">
      <c r="K73" s="464" t="str">
        <f>法术数据!AD71</f>
        <v/>
      </c>
      <c r="L73" s="465" t="str">
        <f>法术数据!AE71</f>
        <v/>
      </c>
    </row>
    <row r="74" spans="11:12" x14ac:dyDescent="0.25">
      <c r="K74" s="462" t="str">
        <f>法术数据!AD72</f>
        <v/>
      </c>
      <c r="L74" s="463" t="str">
        <f>法术数据!AE72</f>
        <v/>
      </c>
    </row>
    <row r="75" spans="11:12" x14ac:dyDescent="0.25">
      <c r="K75" s="464" t="str">
        <f>法术数据!AD73</f>
        <v/>
      </c>
      <c r="L75" s="465" t="str">
        <f>法术数据!AE73</f>
        <v/>
      </c>
    </row>
    <row r="76" spans="11:12" x14ac:dyDescent="0.25">
      <c r="K76" s="462" t="str">
        <f>法术数据!AD74</f>
        <v/>
      </c>
      <c r="L76" s="463" t="str">
        <f>法术数据!AE74</f>
        <v/>
      </c>
    </row>
    <row r="77" spans="11:12" x14ac:dyDescent="0.25">
      <c r="K77" s="464" t="str">
        <f>法术数据!AD75</f>
        <v/>
      </c>
      <c r="L77" s="465" t="str">
        <f>法术数据!AE75</f>
        <v/>
      </c>
    </row>
    <row r="78" spans="11:12" x14ac:dyDescent="0.25">
      <c r="K78" s="462" t="str">
        <f>法术数据!AD76</f>
        <v/>
      </c>
      <c r="L78" s="463" t="str">
        <f>法术数据!AE76</f>
        <v/>
      </c>
    </row>
    <row r="79" spans="11:12" x14ac:dyDescent="0.25">
      <c r="K79" s="464" t="str">
        <f>法术数据!AD77</f>
        <v/>
      </c>
      <c r="L79" s="465" t="str">
        <f>法术数据!AE77</f>
        <v/>
      </c>
    </row>
    <row r="80" spans="11:12" x14ac:dyDescent="0.25">
      <c r="K80" s="462" t="str">
        <f>法术数据!AD78</f>
        <v/>
      </c>
      <c r="L80" s="463" t="str">
        <f>法术数据!AE78</f>
        <v/>
      </c>
    </row>
    <row r="81" spans="11:12" x14ac:dyDescent="0.25">
      <c r="K81" s="464" t="str">
        <f>法术数据!AD79</f>
        <v/>
      </c>
      <c r="L81" s="465" t="str">
        <f>法术数据!AE79</f>
        <v/>
      </c>
    </row>
    <row r="82" spans="11:12" x14ac:dyDescent="0.25">
      <c r="K82" s="462" t="str">
        <f>法术数据!AD80</f>
        <v/>
      </c>
      <c r="L82" s="463" t="str">
        <f>法术数据!AE80</f>
        <v/>
      </c>
    </row>
    <row r="83" spans="11:12" x14ac:dyDescent="0.25">
      <c r="K83" s="464" t="str">
        <f>法术数据!AD81</f>
        <v/>
      </c>
      <c r="L83" s="465" t="str">
        <f>法术数据!AE81</f>
        <v/>
      </c>
    </row>
    <row r="84" spans="11:12" x14ac:dyDescent="0.25">
      <c r="K84" s="462" t="str">
        <f>法术数据!AD82</f>
        <v/>
      </c>
      <c r="L84" s="463" t="str">
        <f>法术数据!AE82</f>
        <v/>
      </c>
    </row>
    <row r="85" spans="11:12" x14ac:dyDescent="0.25">
      <c r="K85" s="464" t="str">
        <f>法术数据!AD83</f>
        <v/>
      </c>
      <c r="L85" s="465" t="str">
        <f>法术数据!AE83</f>
        <v/>
      </c>
    </row>
    <row r="86" spans="11:12" x14ac:dyDescent="0.25">
      <c r="K86" s="462" t="str">
        <f>法术数据!AD84</f>
        <v/>
      </c>
      <c r="L86" s="463" t="str">
        <f>法术数据!AE84</f>
        <v/>
      </c>
    </row>
    <row r="87" spans="11:12" x14ac:dyDescent="0.25">
      <c r="K87" s="464" t="str">
        <f>法术数据!AD85</f>
        <v/>
      </c>
      <c r="L87" s="465" t="str">
        <f>法术数据!AE85</f>
        <v/>
      </c>
    </row>
    <row r="88" spans="11:12" x14ac:dyDescent="0.25">
      <c r="K88" s="462" t="str">
        <f>法术数据!AD86</f>
        <v/>
      </c>
      <c r="L88" s="463" t="str">
        <f>法术数据!AE86</f>
        <v/>
      </c>
    </row>
    <row r="89" spans="11:12" x14ac:dyDescent="0.25">
      <c r="K89" s="464" t="str">
        <f>法术数据!AD87</f>
        <v/>
      </c>
      <c r="L89" s="465" t="str">
        <f>法术数据!AE87</f>
        <v/>
      </c>
    </row>
    <row r="90" spans="11:12" x14ac:dyDescent="0.25">
      <c r="K90" s="462" t="str">
        <f>法术数据!AD88</f>
        <v/>
      </c>
      <c r="L90" s="463" t="str">
        <f>法术数据!AE88</f>
        <v/>
      </c>
    </row>
    <row r="91" spans="11:12" x14ac:dyDescent="0.25">
      <c r="K91" s="464" t="str">
        <f>法术数据!AD89</f>
        <v/>
      </c>
      <c r="L91" s="465" t="str">
        <f>法术数据!AE89</f>
        <v/>
      </c>
    </row>
    <row r="92" spans="11:12" x14ac:dyDescent="0.25">
      <c r="K92" s="462" t="str">
        <f>法术数据!AD90</f>
        <v/>
      </c>
      <c r="L92" s="463" t="str">
        <f>法术数据!AE90</f>
        <v/>
      </c>
    </row>
    <row r="93" spans="11:12" x14ac:dyDescent="0.25">
      <c r="K93" s="464" t="str">
        <f>法术数据!AD91</f>
        <v/>
      </c>
      <c r="L93" s="465" t="str">
        <f>法术数据!AE91</f>
        <v/>
      </c>
    </row>
    <row r="94" spans="11:12" x14ac:dyDescent="0.25">
      <c r="K94" s="462" t="str">
        <f>法术数据!AD92</f>
        <v/>
      </c>
      <c r="L94" s="463" t="str">
        <f>法术数据!AE92</f>
        <v/>
      </c>
    </row>
    <row r="95" spans="11:12" x14ac:dyDescent="0.25">
      <c r="K95" s="464" t="str">
        <f>法术数据!AD93</f>
        <v/>
      </c>
      <c r="L95" s="465" t="str">
        <f>法术数据!AE93</f>
        <v/>
      </c>
    </row>
    <row r="96" spans="11:12" x14ac:dyDescent="0.25">
      <c r="K96" s="462" t="str">
        <f>法术数据!AD94</f>
        <v/>
      </c>
      <c r="L96" s="463" t="str">
        <f>法术数据!AE94</f>
        <v/>
      </c>
    </row>
    <row r="97" spans="11:12" x14ac:dyDescent="0.25">
      <c r="K97" s="464" t="str">
        <f>法术数据!AD95</f>
        <v/>
      </c>
      <c r="L97" s="465" t="str">
        <f>法术数据!AE95</f>
        <v/>
      </c>
    </row>
    <row r="98" spans="11:12" x14ac:dyDescent="0.25">
      <c r="K98" s="462" t="str">
        <f>法术数据!AD96</f>
        <v/>
      </c>
      <c r="L98" s="463" t="str">
        <f>法术数据!AE96</f>
        <v/>
      </c>
    </row>
    <row r="99" spans="11:12" x14ac:dyDescent="0.25">
      <c r="K99" s="464" t="str">
        <f>法术数据!AD97</f>
        <v/>
      </c>
      <c r="L99" s="465" t="str">
        <f>法术数据!AE97</f>
        <v/>
      </c>
    </row>
    <row r="100" spans="11:12" x14ac:dyDescent="0.25">
      <c r="K100" s="462" t="str">
        <f>法术数据!AD98</f>
        <v/>
      </c>
      <c r="L100" s="463" t="str">
        <f>法术数据!AE98</f>
        <v/>
      </c>
    </row>
    <row r="101" spans="11:12" x14ac:dyDescent="0.25">
      <c r="K101" s="464" t="str">
        <f>法术数据!AD99</f>
        <v/>
      </c>
      <c r="L101" s="465" t="str">
        <f>法术数据!AE99</f>
        <v/>
      </c>
    </row>
    <row r="102" spans="11:12" x14ac:dyDescent="0.25">
      <c r="K102" s="462" t="str">
        <f>法术数据!AD100</f>
        <v/>
      </c>
      <c r="L102" s="463" t="str">
        <f>法术数据!AE100</f>
        <v/>
      </c>
    </row>
    <row r="103" spans="11:12" x14ac:dyDescent="0.25">
      <c r="K103" s="464" t="str">
        <f>法术数据!AD101</f>
        <v/>
      </c>
      <c r="L103" s="465" t="str">
        <f>法术数据!AE101</f>
        <v/>
      </c>
    </row>
    <row r="104" spans="11:12" x14ac:dyDescent="0.25">
      <c r="K104" s="462" t="str">
        <f>法术数据!AD102</f>
        <v/>
      </c>
      <c r="L104" s="463" t="str">
        <f>法术数据!AE102</f>
        <v/>
      </c>
    </row>
    <row r="105" spans="11:12" x14ac:dyDescent="0.25">
      <c r="K105" s="464" t="str">
        <f>法术数据!AD103</f>
        <v/>
      </c>
      <c r="L105" s="465" t="str">
        <f>法术数据!AE103</f>
        <v/>
      </c>
    </row>
    <row r="106" spans="11:12" x14ac:dyDescent="0.25">
      <c r="K106" s="462" t="str">
        <f>法术数据!AD104</f>
        <v/>
      </c>
      <c r="L106" s="463" t="str">
        <f>法术数据!AE104</f>
        <v/>
      </c>
    </row>
    <row r="107" spans="11:12" x14ac:dyDescent="0.25">
      <c r="K107" s="464" t="str">
        <f>法术数据!AD105</f>
        <v/>
      </c>
      <c r="L107" s="465" t="str">
        <f>法术数据!AE105</f>
        <v/>
      </c>
    </row>
    <row r="108" spans="11:12" x14ac:dyDescent="0.25">
      <c r="K108" s="462" t="str">
        <f>法术数据!AD106</f>
        <v/>
      </c>
      <c r="L108" s="463" t="str">
        <f>法术数据!AE106</f>
        <v/>
      </c>
    </row>
    <row r="109" spans="11:12" x14ac:dyDescent="0.25">
      <c r="K109" s="464" t="str">
        <f>法术数据!AD107</f>
        <v/>
      </c>
      <c r="L109" s="465" t="str">
        <f>法术数据!AE107</f>
        <v/>
      </c>
    </row>
    <row r="110" spans="11:12" x14ac:dyDescent="0.25">
      <c r="K110" s="462" t="str">
        <f>法术数据!AD108</f>
        <v/>
      </c>
      <c r="L110" s="463" t="str">
        <f>法术数据!AE108</f>
        <v/>
      </c>
    </row>
    <row r="111" spans="11:12" x14ac:dyDescent="0.25">
      <c r="K111" s="464" t="str">
        <f>法术数据!AD109</f>
        <v/>
      </c>
      <c r="L111" s="465" t="str">
        <f>法术数据!AE109</f>
        <v/>
      </c>
    </row>
    <row r="112" spans="11:12" x14ac:dyDescent="0.25">
      <c r="K112" s="462" t="str">
        <f>法术数据!AD110</f>
        <v/>
      </c>
      <c r="L112" s="463" t="str">
        <f>法术数据!AE110</f>
        <v/>
      </c>
    </row>
    <row r="113" spans="11:12" x14ac:dyDescent="0.25">
      <c r="K113" s="464" t="str">
        <f>法术数据!AD111</f>
        <v/>
      </c>
      <c r="L113" s="465" t="str">
        <f>法术数据!AE111</f>
        <v/>
      </c>
    </row>
    <row r="114" spans="11:12" x14ac:dyDescent="0.25">
      <c r="K114" s="462" t="str">
        <f>法术数据!AD112</f>
        <v/>
      </c>
      <c r="L114" s="463" t="str">
        <f>法术数据!AE112</f>
        <v/>
      </c>
    </row>
    <row r="115" spans="11:12" x14ac:dyDescent="0.25">
      <c r="K115" s="464" t="str">
        <f>法术数据!AD113</f>
        <v/>
      </c>
      <c r="L115" s="465" t="str">
        <f>法术数据!AE113</f>
        <v/>
      </c>
    </row>
    <row r="116" spans="11:12" x14ac:dyDescent="0.25">
      <c r="K116" s="462" t="str">
        <f>法术数据!AD114</f>
        <v/>
      </c>
      <c r="L116" s="463" t="str">
        <f>法术数据!AE114</f>
        <v/>
      </c>
    </row>
    <row r="117" spans="11:12" x14ac:dyDescent="0.25">
      <c r="K117" s="464" t="str">
        <f>法术数据!AD115</f>
        <v/>
      </c>
      <c r="L117" s="465" t="str">
        <f>法术数据!AE115</f>
        <v/>
      </c>
    </row>
    <row r="118" spans="11:12" x14ac:dyDescent="0.25">
      <c r="K118" s="462" t="str">
        <f>法术数据!AD116</f>
        <v/>
      </c>
      <c r="L118" s="463" t="str">
        <f>法术数据!AE116</f>
        <v/>
      </c>
    </row>
    <row r="119" spans="11:12" x14ac:dyDescent="0.25">
      <c r="K119" s="464" t="str">
        <f>法术数据!AD117</f>
        <v/>
      </c>
      <c r="L119" s="465" t="str">
        <f>法术数据!AE117</f>
        <v/>
      </c>
    </row>
    <row r="120" spans="11:12" x14ac:dyDescent="0.25">
      <c r="K120" s="462" t="str">
        <f>法术数据!AD118</f>
        <v/>
      </c>
      <c r="L120" s="463" t="str">
        <f>法术数据!AE118</f>
        <v/>
      </c>
    </row>
    <row r="121" spans="11:12" x14ac:dyDescent="0.25">
      <c r="K121" s="464" t="str">
        <f>法术数据!AD119</f>
        <v/>
      </c>
      <c r="L121" s="465" t="str">
        <f>法术数据!AE119</f>
        <v/>
      </c>
    </row>
    <row r="122" spans="11:12" x14ac:dyDescent="0.25">
      <c r="K122" s="462" t="str">
        <f>法术数据!AD120</f>
        <v/>
      </c>
      <c r="L122" s="463" t="str">
        <f>法术数据!AE120</f>
        <v/>
      </c>
    </row>
    <row r="123" spans="11:12" x14ac:dyDescent="0.25">
      <c r="K123" s="464" t="str">
        <f>法术数据!AD121</f>
        <v/>
      </c>
      <c r="L123" s="465" t="str">
        <f>法术数据!AE121</f>
        <v/>
      </c>
    </row>
    <row r="124" spans="11:12" x14ac:dyDescent="0.25">
      <c r="K124" s="462" t="str">
        <f>法术数据!AD122</f>
        <v/>
      </c>
      <c r="L124" s="463" t="str">
        <f>法术数据!AE122</f>
        <v/>
      </c>
    </row>
    <row r="125" spans="11:12" x14ac:dyDescent="0.25">
      <c r="K125" s="464" t="str">
        <f>法术数据!AD123</f>
        <v/>
      </c>
      <c r="L125" s="465" t="str">
        <f>法术数据!AE123</f>
        <v/>
      </c>
    </row>
    <row r="126" spans="11:12" x14ac:dyDescent="0.25">
      <c r="K126" s="462" t="str">
        <f>法术数据!AD124</f>
        <v/>
      </c>
      <c r="L126" s="463" t="str">
        <f>法术数据!AE124</f>
        <v/>
      </c>
    </row>
    <row r="127" spans="11:12" x14ac:dyDescent="0.25">
      <c r="K127" s="464" t="str">
        <f>法术数据!AD125</f>
        <v/>
      </c>
      <c r="L127" s="465" t="str">
        <f>法术数据!AE125</f>
        <v/>
      </c>
    </row>
    <row r="128" spans="11:12" x14ac:dyDescent="0.25">
      <c r="K128" s="462" t="str">
        <f>法术数据!AD126</f>
        <v/>
      </c>
      <c r="L128" s="463" t="str">
        <f>法术数据!AE126</f>
        <v/>
      </c>
    </row>
    <row r="129" spans="11:12" x14ac:dyDescent="0.25">
      <c r="K129" s="464" t="str">
        <f>法术数据!AD127</f>
        <v/>
      </c>
      <c r="L129" s="465" t="str">
        <f>法术数据!AE127</f>
        <v/>
      </c>
    </row>
    <row r="130" spans="11:12" x14ac:dyDescent="0.25">
      <c r="K130" s="462" t="str">
        <f>法术数据!AD128</f>
        <v/>
      </c>
      <c r="L130" s="463" t="str">
        <f>法术数据!AE128</f>
        <v/>
      </c>
    </row>
    <row r="131" spans="11:12" x14ac:dyDescent="0.25">
      <c r="K131" s="464" t="str">
        <f>法术数据!AD129</f>
        <v/>
      </c>
      <c r="L131" s="465" t="str">
        <f>法术数据!AE129</f>
        <v/>
      </c>
    </row>
    <row r="132" spans="11:12" x14ac:dyDescent="0.25">
      <c r="K132" s="462" t="str">
        <f>法术数据!AD130</f>
        <v/>
      </c>
      <c r="L132" s="463" t="str">
        <f>法术数据!AE130</f>
        <v/>
      </c>
    </row>
    <row r="133" spans="11:12" x14ac:dyDescent="0.25">
      <c r="K133" s="464" t="str">
        <f>法术数据!AD131</f>
        <v/>
      </c>
      <c r="L133" s="465" t="str">
        <f>法术数据!AE131</f>
        <v/>
      </c>
    </row>
    <row r="134" spans="11:12" x14ac:dyDescent="0.25">
      <c r="K134" s="462" t="str">
        <f>法术数据!AD132</f>
        <v/>
      </c>
      <c r="L134" s="463" t="str">
        <f>法术数据!AE132</f>
        <v/>
      </c>
    </row>
    <row r="135" spans="11:12" x14ac:dyDescent="0.25">
      <c r="K135" s="464" t="str">
        <f>法术数据!AD133</f>
        <v/>
      </c>
      <c r="L135" s="465" t="str">
        <f>法术数据!AE133</f>
        <v/>
      </c>
    </row>
    <row r="136" spans="11:12" x14ac:dyDescent="0.25">
      <c r="K136" s="462" t="str">
        <f>法术数据!AD134</f>
        <v/>
      </c>
      <c r="L136" s="463" t="str">
        <f>法术数据!AE134</f>
        <v/>
      </c>
    </row>
    <row r="137" spans="11:12" x14ac:dyDescent="0.25">
      <c r="K137" s="464" t="str">
        <f>法术数据!AD135</f>
        <v/>
      </c>
      <c r="L137" s="465" t="str">
        <f>法术数据!AE135</f>
        <v/>
      </c>
    </row>
    <row r="138" spans="11:12" x14ac:dyDescent="0.25">
      <c r="K138" s="462" t="str">
        <f>法术数据!AD136</f>
        <v/>
      </c>
      <c r="L138" s="463" t="str">
        <f>法术数据!AE136</f>
        <v/>
      </c>
    </row>
    <row r="139" spans="11:12" x14ac:dyDescent="0.25">
      <c r="K139" s="464" t="str">
        <f>法术数据!AD137</f>
        <v/>
      </c>
      <c r="L139" s="465" t="str">
        <f>法术数据!AE137</f>
        <v/>
      </c>
    </row>
    <row r="140" spans="11:12" x14ac:dyDescent="0.25">
      <c r="K140" s="462" t="str">
        <f>法术数据!AD138</f>
        <v/>
      </c>
      <c r="L140" s="463" t="str">
        <f>法术数据!AE138</f>
        <v/>
      </c>
    </row>
    <row r="141" spans="11:12" x14ac:dyDescent="0.25">
      <c r="K141" s="464" t="str">
        <f>法术数据!AD139</f>
        <v/>
      </c>
      <c r="L141" s="465" t="str">
        <f>法术数据!AE139</f>
        <v/>
      </c>
    </row>
    <row r="142" spans="11:12" x14ac:dyDescent="0.25">
      <c r="K142" s="462" t="str">
        <f>法术数据!AD140</f>
        <v/>
      </c>
      <c r="L142" s="463" t="str">
        <f>法术数据!AE140</f>
        <v/>
      </c>
    </row>
    <row r="143" spans="11:12" x14ac:dyDescent="0.25">
      <c r="K143" s="464" t="str">
        <f>法术数据!AD141</f>
        <v/>
      </c>
      <c r="L143" s="465" t="str">
        <f>法术数据!AE141</f>
        <v/>
      </c>
    </row>
    <row r="144" spans="11:12" x14ac:dyDescent="0.25">
      <c r="K144" s="462" t="str">
        <f>法术数据!AD142</f>
        <v/>
      </c>
      <c r="L144" s="463" t="str">
        <f>法术数据!AE142</f>
        <v/>
      </c>
    </row>
    <row r="145" spans="11:12" x14ac:dyDescent="0.25">
      <c r="K145" s="464" t="str">
        <f>法术数据!AD143</f>
        <v/>
      </c>
      <c r="L145" s="465" t="str">
        <f>法术数据!AE143</f>
        <v/>
      </c>
    </row>
    <row r="146" spans="11:12" x14ac:dyDescent="0.25">
      <c r="K146" s="462" t="str">
        <f>法术数据!AD144</f>
        <v/>
      </c>
      <c r="L146" s="463" t="str">
        <f>法术数据!AE144</f>
        <v/>
      </c>
    </row>
    <row r="147" spans="11:12" x14ac:dyDescent="0.25">
      <c r="K147" s="464" t="str">
        <f>法术数据!AD145</f>
        <v/>
      </c>
      <c r="L147" s="465" t="str">
        <f>法术数据!AE145</f>
        <v/>
      </c>
    </row>
    <row r="148" spans="11:12" x14ac:dyDescent="0.25">
      <c r="K148" s="462" t="str">
        <f>法术数据!AD146</f>
        <v/>
      </c>
      <c r="L148" s="463" t="str">
        <f>法术数据!AE146</f>
        <v/>
      </c>
    </row>
    <row r="149" spans="11:12" x14ac:dyDescent="0.25">
      <c r="K149" s="464" t="str">
        <f>法术数据!AD147</f>
        <v/>
      </c>
      <c r="L149" s="465" t="str">
        <f>法术数据!AE147</f>
        <v/>
      </c>
    </row>
    <row r="150" spans="11:12" x14ac:dyDescent="0.25">
      <c r="K150" s="462" t="str">
        <f>法术数据!AD148</f>
        <v/>
      </c>
      <c r="L150" s="463" t="str">
        <f>法术数据!AE148</f>
        <v/>
      </c>
    </row>
    <row r="151" spans="11:12" x14ac:dyDescent="0.25">
      <c r="K151" s="464" t="str">
        <f>法术数据!AD149</f>
        <v/>
      </c>
      <c r="L151" s="465" t="str">
        <f>法术数据!AE149</f>
        <v/>
      </c>
    </row>
    <row r="152" spans="11:12" x14ac:dyDescent="0.25">
      <c r="K152" s="462" t="str">
        <f>法术数据!AD150</f>
        <v/>
      </c>
      <c r="L152" s="463" t="str">
        <f>法术数据!AE150</f>
        <v/>
      </c>
    </row>
    <row r="153" spans="11:12" x14ac:dyDescent="0.25">
      <c r="K153" s="464" t="str">
        <f>法术数据!AD151</f>
        <v/>
      </c>
      <c r="L153" s="465" t="str">
        <f>法术数据!AE151</f>
        <v/>
      </c>
    </row>
    <row r="154" spans="11:12" x14ac:dyDescent="0.25">
      <c r="K154" s="462" t="str">
        <f>法术数据!AD152</f>
        <v/>
      </c>
      <c r="L154" s="463" t="str">
        <f>法术数据!AE152</f>
        <v/>
      </c>
    </row>
    <row r="155" spans="11:12" x14ac:dyDescent="0.25">
      <c r="K155" s="464" t="str">
        <f>法术数据!AD153</f>
        <v/>
      </c>
      <c r="L155" s="465" t="str">
        <f>法术数据!AE153</f>
        <v/>
      </c>
    </row>
    <row r="156" spans="11:12" x14ac:dyDescent="0.25">
      <c r="K156" s="462" t="str">
        <f>法术数据!AD154</f>
        <v/>
      </c>
      <c r="L156" s="463" t="str">
        <f>法术数据!AE154</f>
        <v/>
      </c>
    </row>
    <row r="157" spans="11:12" x14ac:dyDescent="0.25">
      <c r="K157" s="464" t="str">
        <f>法术数据!AD155</f>
        <v/>
      </c>
      <c r="L157" s="465" t="str">
        <f>法术数据!AE155</f>
        <v/>
      </c>
    </row>
    <row r="158" spans="11:12" x14ac:dyDescent="0.25">
      <c r="K158" s="462" t="str">
        <f>法术数据!AD156</f>
        <v/>
      </c>
      <c r="L158" s="463" t="str">
        <f>法术数据!AE156</f>
        <v/>
      </c>
    </row>
    <row r="159" spans="11:12" x14ac:dyDescent="0.25">
      <c r="K159" s="464" t="str">
        <f>法术数据!AD157</f>
        <v/>
      </c>
      <c r="L159" s="465" t="str">
        <f>法术数据!AE157</f>
        <v/>
      </c>
    </row>
    <row r="160" spans="11:12" x14ac:dyDescent="0.25">
      <c r="K160" s="462" t="str">
        <f>法术数据!AD158</f>
        <v/>
      </c>
      <c r="L160" s="463" t="str">
        <f>法术数据!AE158</f>
        <v/>
      </c>
    </row>
    <row r="161" spans="11:12" x14ac:dyDescent="0.25">
      <c r="K161" s="464" t="str">
        <f>法术数据!AD159</f>
        <v/>
      </c>
      <c r="L161" s="465" t="str">
        <f>法术数据!AE159</f>
        <v/>
      </c>
    </row>
    <row r="162" spans="11:12" x14ac:dyDescent="0.25">
      <c r="K162" s="462" t="str">
        <f>法术数据!AD160</f>
        <v/>
      </c>
      <c r="L162" s="463" t="str">
        <f>法术数据!AE160</f>
        <v/>
      </c>
    </row>
    <row r="163" spans="11:12" x14ac:dyDescent="0.25">
      <c r="K163" s="464" t="str">
        <f>法术数据!AD161</f>
        <v/>
      </c>
      <c r="L163" s="465" t="str">
        <f>法术数据!AE161</f>
        <v/>
      </c>
    </row>
    <row r="164" spans="11:12" x14ac:dyDescent="0.25">
      <c r="K164" s="462" t="str">
        <f>法术数据!AD162</f>
        <v/>
      </c>
      <c r="L164" s="463" t="str">
        <f>法术数据!AE162</f>
        <v/>
      </c>
    </row>
    <row r="165" spans="11:12" x14ac:dyDescent="0.25">
      <c r="K165" s="464" t="str">
        <f>法术数据!AD163</f>
        <v/>
      </c>
      <c r="L165" s="465" t="str">
        <f>法术数据!AE163</f>
        <v/>
      </c>
    </row>
    <row r="166" spans="11:12" x14ac:dyDescent="0.25">
      <c r="K166" s="462" t="str">
        <f>法术数据!AD164</f>
        <v/>
      </c>
      <c r="L166" s="463" t="str">
        <f>法术数据!AE164</f>
        <v/>
      </c>
    </row>
    <row r="167" spans="11:12" x14ac:dyDescent="0.25">
      <c r="K167" s="464" t="str">
        <f>法术数据!AD165</f>
        <v/>
      </c>
      <c r="L167" s="465" t="str">
        <f>法术数据!AE165</f>
        <v/>
      </c>
    </row>
    <row r="168" spans="11:12" x14ac:dyDescent="0.25">
      <c r="K168" s="462" t="str">
        <f>法术数据!AD166</f>
        <v/>
      </c>
      <c r="L168" s="463" t="str">
        <f>法术数据!AE166</f>
        <v/>
      </c>
    </row>
    <row r="169" spans="11:12" x14ac:dyDescent="0.25">
      <c r="K169" s="464" t="str">
        <f>法术数据!AD167</f>
        <v/>
      </c>
      <c r="L169" s="465" t="str">
        <f>法术数据!AE167</f>
        <v/>
      </c>
    </row>
    <row r="170" spans="11:12" x14ac:dyDescent="0.25">
      <c r="K170" s="462" t="str">
        <f>法术数据!AD168</f>
        <v/>
      </c>
      <c r="L170" s="463" t="str">
        <f>法术数据!AE168</f>
        <v/>
      </c>
    </row>
    <row r="171" spans="11:12" x14ac:dyDescent="0.25">
      <c r="K171" s="464" t="str">
        <f>法术数据!AD169</f>
        <v/>
      </c>
      <c r="L171" s="465" t="str">
        <f>法术数据!AE169</f>
        <v/>
      </c>
    </row>
    <row r="172" spans="11:12" x14ac:dyDescent="0.25">
      <c r="K172" s="462" t="str">
        <f>法术数据!AD170</f>
        <v/>
      </c>
      <c r="L172" s="463" t="str">
        <f>法术数据!AE170</f>
        <v/>
      </c>
    </row>
    <row r="173" spans="11:12" x14ac:dyDescent="0.25">
      <c r="K173" s="464" t="str">
        <f>法术数据!AD171</f>
        <v/>
      </c>
      <c r="L173" s="465" t="str">
        <f>法术数据!AE171</f>
        <v/>
      </c>
    </row>
    <row r="174" spans="11:12" x14ac:dyDescent="0.25">
      <c r="K174" s="462" t="str">
        <f>法术数据!AD172</f>
        <v/>
      </c>
      <c r="L174" s="463" t="str">
        <f>法术数据!AE172</f>
        <v/>
      </c>
    </row>
    <row r="175" spans="11:12" x14ac:dyDescent="0.25">
      <c r="K175" s="464" t="str">
        <f>法术数据!AD173</f>
        <v/>
      </c>
      <c r="L175" s="465" t="str">
        <f>法术数据!AE173</f>
        <v/>
      </c>
    </row>
    <row r="176" spans="11:12" x14ac:dyDescent="0.25">
      <c r="K176" s="462" t="str">
        <f>法术数据!AD174</f>
        <v/>
      </c>
      <c r="L176" s="463" t="str">
        <f>法术数据!AE174</f>
        <v/>
      </c>
    </row>
    <row r="177" spans="11:12" x14ac:dyDescent="0.25">
      <c r="K177" s="464" t="str">
        <f>法术数据!AD175</f>
        <v/>
      </c>
      <c r="L177" s="465" t="str">
        <f>法术数据!AE175</f>
        <v/>
      </c>
    </row>
    <row r="178" spans="11:12" x14ac:dyDescent="0.25">
      <c r="K178" s="462" t="str">
        <f>法术数据!AD176</f>
        <v/>
      </c>
      <c r="L178" s="463" t="str">
        <f>法术数据!AE176</f>
        <v/>
      </c>
    </row>
    <row r="179" spans="11:12" x14ac:dyDescent="0.25">
      <c r="K179" s="464" t="str">
        <f>法术数据!AD177</f>
        <v/>
      </c>
      <c r="L179" s="465" t="str">
        <f>法术数据!AE177</f>
        <v/>
      </c>
    </row>
    <row r="180" spans="11:12" x14ac:dyDescent="0.25">
      <c r="K180" s="462" t="str">
        <f>法术数据!AD178</f>
        <v/>
      </c>
      <c r="L180" s="463" t="str">
        <f>法术数据!AE178</f>
        <v/>
      </c>
    </row>
    <row r="181" spans="11:12" x14ac:dyDescent="0.25">
      <c r="K181" s="464" t="str">
        <f>法术数据!AD179</f>
        <v/>
      </c>
      <c r="L181" s="465" t="str">
        <f>法术数据!AE179</f>
        <v/>
      </c>
    </row>
    <row r="182" spans="11:12" x14ac:dyDescent="0.25">
      <c r="K182" s="462" t="str">
        <f>法术数据!AD180</f>
        <v/>
      </c>
      <c r="L182" s="463" t="str">
        <f>法术数据!AE180</f>
        <v/>
      </c>
    </row>
    <row r="183" spans="11:12" x14ac:dyDescent="0.25">
      <c r="K183" s="464" t="str">
        <f>法术数据!AD181</f>
        <v/>
      </c>
      <c r="L183" s="465" t="str">
        <f>法术数据!AE181</f>
        <v/>
      </c>
    </row>
    <row r="184" spans="11:12" x14ac:dyDescent="0.25">
      <c r="K184" s="462" t="str">
        <f>法术数据!AD182</f>
        <v/>
      </c>
      <c r="L184" s="463" t="str">
        <f>法术数据!AE182</f>
        <v/>
      </c>
    </row>
    <row r="185" spans="11:12" x14ac:dyDescent="0.25">
      <c r="K185" s="464" t="str">
        <f>法术数据!AD183</f>
        <v/>
      </c>
      <c r="L185" s="465" t="str">
        <f>法术数据!AE183</f>
        <v/>
      </c>
    </row>
    <row r="186" spans="11:12" x14ac:dyDescent="0.25">
      <c r="K186" s="462" t="str">
        <f>法术数据!AD184</f>
        <v/>
      </c>
      <c r="L186" s="463" t="str">
        <f>法术数据!AE184</f>
        <v/>
      </c>
    </row>
    <row r="187" spans="11:12" x14ac:dyDescent="0.25">
      <c r="K187" s="464" t="str">
        <f>法术数据!AD185</f>
        <v/>
      </c>
      <c r="L187" s="465" t="str">
        <f>法术数据!AE185</f>
        <v/>
      </c>
    </row>
    <row r="188" spans="11:12" x14ac:dyDescent="0.25">
      <c r="K188" s="462" t="str">
        <f>法术数据!AD186</f>
        <v/>
      </c>
      <c r="L188" s="463" t="str">
        <f>法术数据!AE186</f>
        <v/>
      </c>
    </row>
    <row r="189" spans="11:12" x14ac:dyDescent="0.25">
      <c r="K189" s="464" t="str">
        <f>法术数据!AD187</f>
        <v/>
      </c>
      <c r="L189" s="465" t="str">
        <f>法术数据!AE187</f>
        <v/>
      </c>
    </row>
    <row r="190" spans="11:12" x14ac:dyDescent="0.25">
      <c r="K190" s="462" t="str">
        <f>法术数据!AD188</f>
        <v/>
      </c>
      <c r="L190" s="463" t="str">
        <f>法术数据!AE188</f>
        <v/>
      </c>
    </row>
    <row r="191" spans="11:12" x14ac:dyDescent="0.25">
      <c r="K191" s="464" t="str">
        <f>法术数据!AD189</f>
        <v/>
      </c>
      <c r="L191" s="465" t="str">
        <f>法术数据!AE189</f>
        <v/>
      </c>
    </row>
    <row r="192" spans="11:12" x14ac:dyDescent="0.25">
      <c r="K192" s="462" t="str">
        <f>法术数据!AD190</f>
        <v/>
      </c>
      <c r="L192" s="463" t="str">
        <f>法术数据!AE190</f>
        <v/>
      </c>
    </row>
    <row r="193" spans="11:12" x14ac:dyDescent="0.25">
      <c r="K193" s="464" t="str">
        <f>法术数据!AD191</f>
        <v/>
      </c>
      <c r="L193" s="465" t="str">
        <f>法术数据!AE191</f>
        <v/>
      </c>
    </row>
    <row r="194" spans="11:12" x14ac:dyDescent="0.25">
      <c r="K194" s="462" t="str">
        <f>法术数据!AD192</f>
        <v/>
      </c>
      <c r="L194" s="463" t="str">
        <f>法术数据!AE192</f>
        <v/>
      </c>
    </row>
    <row r="195" spans="11:12" x14ac:dyDescent="0.25">
      <c r="K195" s="464" t="str">
        <f>法术数据!AD193</f>
        <v/>
      </c>
      <c r="L195" s="465" t="str">
        <f>法术数据!AE193</f>
        <v/>
      </c>
    </row>
    <row r="196" spans="11:12" x14ac:dyDescent="0.25">
      <c r="K196" s="462" t="str">
        <f>法术数据!AD194</f>
        <v/>
      </c>
      <c r="L196" s="463" t="str">
        <f>法术数据!AE194</f>
        <v/>
      </c>
    </row>
    <row r="197" spans="11:12" x14ac:dyDescent="0.25">
      <c r="K197" s="464" t="str">
        <f>法术数据!AD195</f>
        <v/>
      </c>
      <c r="L197" s="465" t="str">
        <f>法术数据!AE195</f>
        <v/>
      </c>
    </row>
    <row r="198" spans="11:12" x14ac:dyDescent="0.25">
      <c r="K198" s="462" t="str">
        <f>法术数据!AD196</f>
        <v/>
      </c>
      <c r="L198" s="463" t="str">
        <f>法术数据!AE196</f>
        <v/>
      </c>
    </row>
    <row r="199" spans="11:12" x14ac:dyDescent="0.25">
      <c r="K199" s="464" t="str">
        <f>法术数据!AD197</f>
        <v/>
      </c>
      <c r="L199" s="465" t="str">
        <f>法术数据!AE197</f>
        <v/>
      </c>
    </row>
    <row r="200" spans="11:12" x14ac:dyDescent="0.25">
      <c r="K200" s="462" t="str">
        <f>法术数据!AD198</f>
        <v/>
      </c>
      <c r="L200" s="463" t="str">
        <f>法术数据!AE198</f>
        <v/>
      </c>
    </row>
    <row r="201" spans="11:12" x14ac:dyDescent="0.25">
      <c r="K201" s="464" t="str">
        <f>法术数据!AD199</f>
        <v/>
      </c>
      <c r="L201" s="465" t="str">
        <f>法术数据!AE199</f>
        <v/>
      </c>
    </row>
    <row r="202" spans="11:12" x14ac:dyDescent="0.25">
      <c r="K202" s="462" t="str">
        <f>法术数据!AD200</f>
        <v/>
      </c>
      <c r="L202" s="463" t="str">
        <f>法术数据!AE200</f>
        <v/>
      </c>
    </row>
    <row r="203" spans="11:12" x14ac:dyDescent="0.25">
      <c r="K203" s="464" t="str">
        <f>法术数据!AD201</f>
        <v/>
      </c>
      <c r="L203" s="465" t="str">
        <f>法术数据!AE201</f>
        <v/>
      </c>
    </row>
    <row r="204" spans="11:12" x14ac:dyDescent="0.25">
      <c r="K204" s="462" t="str">
        <f>法术数据!AD202</f>
        <v/>
      </c>
      <c r="L204" s="463" t="str">
        <f>法术数据!AE202</f>
        <v/>
      </c>
    </row>
    <row r="205" spans="11:12" x14ac:dyDescent="0.25">
      <c r="K205" s="464" t="str">
        <f>法术数据!AD203</f>
        <v/>
      </c>
      <c r="L205" s="465" t="str">
        <f>法术数据!AE203</f>
        <v/>
      </c>
    </row>
    <row r="206" spans="11:12" x14ac:dyDescent="0.25">
      <c r="K206" s="462" t="str">
        <f>法术数据!AD204</f>
        <v/>
      </c>
      <c r="L206" s="463" t="str">
        <f>法术数据!AE204</f>
        <v/>
      </c>
    </row>
    <row r="207" spans="11:12" x14ac:dyDescent="0.25">
      <c r="K207" s="464" t="str">
        <f>法术数据!AD205</f>
        <v/>
      </c>
      <c r="L207" s="465" t="str">
        <f>法术数据!AE205</f>
        <v/>
      </c>
    </row>
    <row r="208" spans="11:12" x14ac:dyDescent="0.25">
      <c r="K208" s="462" t="str">
        <f>法术数据!AD206</f>
        <v/>
      </c>
      <c r="L208" s="463" t="str">
        <f>法术数据!AE206</f>
        <v/>
      </c>
    </row>
    <row r="209" spans="11:12" x14ac:dyDescent="0.25">
      <c r="K209" s="464" t="str">
        <f>法术数据!AD207</f>
        <v/>
      </c>
      <c r="L209" s="465" t="str">
        <f>法术数据!AE207</f>
        <v/>
      </c>
    </row>
    <row r="210" spans="11:12" x14ac:dyDescent="0.25">
      <c r="K210" s="462" t="str">
        <f>法术数据!AD208</f>
        <v/>
      </c>
      <c r="L210" s="463" t="str">
        <f>法术数据!AE208</f>
        <v/>
      </c>
    </row>
    <row r="211" spans="11:12" x14ac:dyDescent="0.25">
      <c r="K211" s="464" t="str">
        <f>法术数据!AD209</f>
        <v/>
      </c>
      <c r="L211" s="465" t="str">
        <f>法术数据!AE209</f>
        <v/>
      </c>
    </row>
    <row r="212" spans="11:12" x14ac:dyDescent="0.25">
      <c r="K212" s="462" t="str">
        <f>法术数据!AD210</f>
        <v/>
      </c>
      <c r="L212" s="463" t="str">
        <f>法术数据!AE210</f>
        <v/>
      </c>
    </row>
    <row r="213" spans="11:12" x14ac:dyDescent="0.25">
      <c r="K213" s="464" t="str">
        <f>法术数据!AD211</f>
        <v/>
      </c>
      <c r="L213" s="465" t="str">
        <f>法术数据!AE211</f>
        <v/>
      </c>
    </row>
    <row r="214" spans="11:12" x14ac:dyDescent="0.25">
      <c r="K214" s="462" t="str">
        <f>法术数据!AD212</f>
        <v/>
      </c>
      <c r="L214" s="463" t="str">
        <f>法术数据!AE212</f>
        <v/>
      </c>
    </row>
    <row r="215" spans="11:12" x14ac:dyDescent="0.25">
      <c r="K215" s="464" t="str">
        <f>法术数据!AD213</f>
        <v/>
      </c>
      <c r="L215" s="465" t="str">
        <f>法术数据!AE213</f>
        <v/>
      </c>
    </row>
    <row r="216" spans="11:12" x14ac:dyDescent="0.25">
      <c r="K216" s="462" t="str">
        <f>法术数据!AD214</f>
        <v/>
      </c>
      <c r="L216" s="463" t="str">
        <f>法术数据!AE214</f>
        <v/>
      </c>
    </row>
    <row r="217" spans="11:12" x14ac:dyDescent="0.25">
      <c r="K217" s="464" t="str">
        <f>法术数据!AD215</f>
        <v/>
      </c>
      <c r="L217" s="465" t="str">
        <f>法术数据!AE215</f>
        <v/>
      </c>
    </row>
    <row r="218" spans="11:12" x14ac:dyDescent="0.25">
      <c r="K218" s="462" t="str">
        <f>法术数据!AD216</f>
        <v/>
      </c>
      <c r="L218" s="463" t="str">
        <f>法术数据!AE216</f>
        <v/>
      </c>
    </row>
    <row r="219" spans="11:12" x14ac:dyDescent="0.25">
      <c r="K219" s="464" t="str">
        <f>法术数据!AD217</f>
        <v/>
      </c>
      <c r="L219" s="465" t="str">
        <f>法术数据!AE217</f>
        <v/>
      </c>
    </row>
    <row r="220" spans="11:12" x14ac:dyDescent="0.25">
      <c r="K220" s="462" t="str">
        <f>法术数据!AD218</f>
        <v/>
      </c>
      <c r="L220" s="463" t="str">
        <f>法术数据!AE218</f>
        <v/>
      </c>
    </row>
    <row r="221" spans="11:12" x14ac:dyDescent="0.25">
      <c r="K221" s="464" t="str">
        <f>法术数据!AD219</f>
        <v/>
      </c>
      <c r="L221" s="465" t="str">
        <f>法术数据!AE219</f>
        <v/>
      </c>
    </row>
    <row r="222" spans="11:12" x14ac:dyDescent="0.25">
      <c r="K222" s="462" t="str">
        <f>法术数据!AD220</f>
        <v/>
      </c>
      <c r="L222" s="463" t="str">
        <f>法术数据!AE220</f>
        <v/>
      </c>
    </row>
    <row r="223" spans="11:12" x14ac:dyDescent="0.25">
      <c r="K223" s="464" t="str">
        <f>法术数据!AD221</f>
        <v/>
      </c>
      <c r="L223" s="465" t="str">
        <f>法术数据!AE221</f>
        <v/>
      </c>
    </row>
    <row r="224" spans="11:12" x14ac:dyDescent="0.25">
      <c r="K224" s="462" t="str">
        <f>法术数据!AD222</f>
        <v/>
      </c>
      <c r="L224" s="463" t="str">
        <f>法术数据!AE222</f>
        <v/>
      </c>
    </row>
    <row r="225" spans="11:12" x14ac:dyDescent="0.25">
      <c r="K225" s="464" t="str">
        <f>法术数据!AD223</f>
        <v/>
      </c>
      <c r="L225" s="465" t="str">
        <f>法术数据!AE223</f>
        <v/>
      </c>
    </row>
    <row r="226" spans="11:12" x14ac:dyDescent="0.25">
      <c r="K226" s="462" t="str">
        <f>法术数据!AD224</f>
        <v/>
      </c>
      <c r="L226" s="463" t="str">
        <f>法术数据!AE224</f>
        <v/>
      </c>
    </row>
    <row r="227" spans="11:12" x14ac:dyDescent="0.25">
      <c r="K227" s="464" t="str">
        <f>法术数据!AD225</f>
        <v/>
      </c>
      <c r="L227" s="465" t="str">
        <f>法术数据!AE225</f>
        <v/>
      </c>
    </row>
    <row r="228" spans="11:12" x14ac:dyDescent="0.25">
      <c r="K228" s="462" t="str">
        <f>法术数据!AD226</f>
        <v/>
      </c>
      <c r="L228" s="463" t="str">
        <f>法术数据!AE226</f>
        <v/>
      </c>
    </row>
    <row r="229" spans="11:12" x14ac:dyDescent="0.25">
      <c r="K229" s="464" t="str">
        <f>法术数据!AD227</f>
        <v/>
      </c>
      <c r="L229" s="465" t="str">
        <f>法术数据!AE227</f>
        <v/>
      </c>
    </row>
    <row r="230" spans="11:12" x14ac:dyDescent="0.25">
      <c r="K230" s="462" t="str">
        <f>法术数据!AD228</f>
        <v/>
      </c>
      <c r="L230" s="463" t="str">
        <f>法术数据!AE228</f>
        <v/>
      </c>
    </row>
    <row r="231" spans="11:12" x14ac:dyDescent="0.25">
      <c r="K231" s="464" t="str">
        <f>法术数据!AD229</f>
        <v/>
      </c>
      <c r="L231" s="465" t="str">
        <f>法术数据!AE229</f>
        <v/>
      </c>
    </row>
    <row r="232" spans="11:12" x14ac:dyDescent="0.25">
      <c r="K232" s="462" t="str">
        <f>法术数据!AD230</f>
        <v/>
      </c>
      <c r="L232" s="463" t="str">
        <f>法术数据!AE230</f>
        <v/>
      </c>
    </row>
    <row r="233" spans="11:12" x14ac:dyDescent="0.25">
      <c r="K233" s="464" t="str">
        <f>法术数据!AD231</f>
        <v/>
      </c>
      <c r="L233" s="465" t="str">
        <f>法术数据!AE231</f>
        <v/>
      </c>
    </row>
    <row r="234" spans="11:12" x14ac:dyDescent="0.25">
      <c r="K234" s="462" t="str">
        <f>法术数据!AD232</f>
        <v/>
      </c>
      <c r="L234" s="463" t="str">
        <f>法术数据!AE232</f>
        <v/>
      </c>
    </row>
    <row r="235" spans="11:12" x14ac:dyDescent="0.25">
      <c r="K235" s="464" t="str">
        <f>法术数据!AD233</f>
        <v/>
      </c>
      <c r="L235" s="465" t="str">
        <f>法术数据!AE233</f>
        <v/>
      </c>
    </row>
    <row r="236" spans="11:12" x14ac:dyDescent="0.25">
      <c r="K236" s="462" t="str">
        <f>法术数据!AD234</f>
        <v/>
      </c>
      <c r="L236" s="463" t="str">
        <f>法术数据!AE234</f>
        <v/>
      </c>
    </row>
    <row r="237" spans="11:12" x14ac:dyDescent="0.25">
      <c r="K237" s="464" t="str">
        <f>法术数据!AD235</f>
        <v/>
      </c>
      <c r="L237" s="465" t="str">
        <f>法术数据!AE235</f>
        <v/>
      </c>
    </row>
    <row r="238" spans="11:12" x14ac:dyDescent="0.25">
      <c r="K238" s="462" t="str">
        <f>法术数据!AD236</f>
        <v/>
      </c>
      <c r="L238" s="463" t="str">
        <f>法术数据!AE236</f>
        <v/>
      </c>
    </row>
    <row r="239" spans="11:12" x14ac:dyDescent="0.25">
      <c r="K239" s="464" t="str">
        <f>法术数据!AD237</f>
        <v/>
      </c>
      <c r="L239" s="465" t="str">
        <f>法术数据!AE237</f>
        <v/>
      </c>
    </row>
    <row r="240" spans="11:12" x14ac:dyDescent="0.25">
      <c r="K240" s="462" t="str">
        <f>法术数据!AD238</f>
        <v/>
      </c>
      <c r="L240" s="463" t="str">
        <f>法术数据!AE238</f>
        <v/>
      </c>
    </row>
    <row r="241" spans="11:12" x14ac:dyDescent="0.25">
      <c r="K241" s="464" t="str">
        <f>法术数据!AD239</f>
        <v/>
      </c>
      <c r="L241" s="465" t="str">
        <f>法术数据!AE239</f>
        <v/>
      </c>
    </row>
    <row r="242" spans="11:12" x14ac:dyDescent="0.25">
      <c r="K242" s="462" t="str">
        <f>法术数据!AD240</f>
        <v/>
      </c>
      <c r="L242" s="463" t="str">
        <f>法术数据!AE240</f>
        <v/>
      </c>
    </row>
    <row r="243" spans="11:12" x14ac:dyDescent="0.25">
      <c r="K243" s="464" t="str">
        <f>法术数据!AD241</f>
        <v/>
      </c>
      <c r="L243" s="465" t="str">
        <f>法术数据!AE241</f>
        <v/>
      </c>
    </row>
    <row r="244" spans="11:12" x14ac:dyDescent="0.25">
      <c r="K244" s="462" t="str">
        <f>法术数据!AD242</f>
        <v/>
      </c>
      <c r="L244" s="463" t="str">
        <f>法术数据!AE242</f>
        <v/>
      </c>
    </row>
    <row r="245" spans="11:12" x14ac:dyDescent="0.25">
      <c r="K245" s="464" t="str">
        <f>法术数据!AD243</f>
        <v/>
      </c>
      <c r="L245" s="465" t="str">
        <f>法术数据!AE243</f>
        <v/>
      </c>
    </row>
    <row r="246" spans="11:12" x14ac:dyDescent="0.25">
      <c r="K246" s="462" t="str">
        <f>法术数据!AD244</f>
        <v/>
      </c>
      <c r="L246" s="463" t="str">
        <f>法术数据!AE244</f>
        <v/>
      </c>
    </row>
    <row r="247" spans="11:12" x14ac:dyDescent="0.25">
      <c r="K247" s="464" t="str">
        <f>法术数据!AD245</f>
        <v/>
      </c>
      <c r="L247" s="465" t="str">
        <f>法术数据!AE245</f>
        <v/>
      </c>
    </row>
    <row r="248" spans="11:12" x14ac:dyDescent="0.25">
      <c r="K248" s="462" t="str">
        <f>法术数据!AD246</f>
        <v/>
      </c>
      <c r="L248" s="463" t="str">
        <f>法术数据!AE246</f>
        <v/>
      </c>
    </row>
    <row r="249" spans="11:12" x14ac:dyDescent="0.25">
      <c r="K249" s="464" t="str">
        <f>法术数据!AD247</f>
        <v/>
      </c>
      <c r="L249" s="465" t="str">
        <f>法术数据!AE247</f>
        <v/>
      </c>
    </row>
    <row r="250" spans="11:12" x14ac:dyDescent="0.25">
      <c r="K250" s="462" t="str">
        <f>法术数据!AD248</f>
        <v/>
      </c>
      <c r="L250" s="463" t="str">
        <f>法术数据!AE248</f>
        <v/>
      </c>
    </row>
    <row r="251" spans="11:12" x14ac:dyDescent="0.25">
      <c r="K251" s="464" t="str">
        <f>法术数据!AD249</f>
        <v/>
      </c>
      <c r="L251" s="465" t="str">
        <f>法术数据!AE249</f>
        <v/>
      </c>
    </row>
    <row r="252" spans="11:12" x14ac:dyDescent="0.25">
      <c r="K252" s="462" t="str">
        <f>法术数据!AD250</f>
        <v/>
      </c>
      <c r="L252" s="463" t="str">
        <f>法术数据!AE250</f>
        <v/>
      </c>
    </row>
    <row r="253" spans="11:12" x14ac:dyDescent="0.25">
      <c r="K253" s="464" t="str">
        <f>法术数据!AD251</f>
        <v/>
      </c>
      <c r="L253" s="465" t="str">
        <f>法术数据!AE251</f>
        <v/>
      </c>
    </row>
    <row r="254" spans="11:12" x14ac:dyDescent="0.25">
      <c r="K254" s="462" t="str">
        <f>法术数据!AD252</f>
        <v/>
      </c>
      <c r="L254" s="463" t="str">
        <f>法术数据!AE252</f>
        <v/>
      </c>
    </row>
    <row r="255" spans="11:12" x14ac:dyDescent="0.25">
      <c r="K255" s="464" t="str">
        <f>法术数据!AD253</f>
        <v/>
      </c>
      <c r="L255" s="465" t="str">
        <f>法术数据!AE253</f>
        <v/>
      </c>
    </row>
    <row r="256" spans="11:12" x14ac:dyDescent="0.25">
      <c r="K256" s="462" t="str">
        <f>法术数据!AD254</f>
        <v/>
      </c>
      <c r="L256" s="463" t="str">
        <f>法术数据!AE254</f>
        <v/>
      </c>
    </row>
    <row r="257" spans="11:12" x14ac:dyDescent="0.25">
      <c r="K257" s="464" t="str">
        <f>法术数据!AD255</f>
        <v/>
      </c>
      <c r="L257" s="465" t="str">
        <f>法术数据!AE255</f>
        <v/>
      </c>
    </row>
    <row r="258" spans="11:12" x14ac:dyDescent="0.25">
      <c r="K258" s="462" t="str">
        <f>法术数据!AD256</f>
        <v/>
      </c>
      <c r="L258" s="463" t="str">
        <f>法术数据!AE256</f>
        <v/>
      </c>
    </row>
    <row r="259" spans="11:12" x14ac:dyDescent="0.25">
      <c r="K259" s="464" t="str">
        <f>法术数据!AD257</f>
        <v/>
      </c>
      <c r="L259" s="465" t="str">
        <f>法术数据!AE257</f>
        <v/>
      </c>
    </row>
    <row r="260" spans="11:12" x14ac:dyDescent="0.25">
      <c r="K260" s="462" t="str">
        <f>法术数据!AD258</f>
        <v/>
      </c>
      <c r="L260" s="463" t="str">
        <f>法术数据!AE258</f>
        <v/>
      </c>
    </row>
    <row r="261" spans="11:12" x14ac:dyDescent="0.25">
      <c r="K261" s="464" t="str">
        <f>法术数据!AD259</f>
        <v/>
      </c>
      <c r="L261" s="465" t="str">
        <f>法术数据!AE259</f>
        <v/>
      </c>
    </row>
    <row r="262" spans="11:12" x14ac:dyDescent="0.25">
      <c r="K262" s="462" t="str">
        <f>法术数据!AD260</f>
        <v/>
      </c>
      <c r="L262" s="463" t="str">
        <f>法术数据!AE260</f>
        <v/>
      </c>
    </row>
    <row r="263" spans="11:12" x14ac:dyDescent="0.25">
      <c r="K263" s="464" t="str">
        <f>法术数据!AD261</f>
        <v/>
      </c>
      <c r="L263" s="465" t="str">
        <f>法术数据!AE261</f>
        <v/>
      </c>
    </row>
    <row r="264" spans="11:12" x14ac:dyDescent="0.25">
      <c r="K264" s="462" t="str">
        <f>法术数据!AD262</f>
        <v/>
      </c>
      <c r="L264" s="463" t="str">
        <f>法术数据!AE262</f>
        <v/>
      </c>
    </row>
    <row r="265" spans="11:12" x14ac:dyDescent="0.25">
      <c r="K265" s="464" t="str">
        <f>法术数据!AD263</f>
        <v/>
      </c>
      <c r="L265" s="465" t="str">
        <f>法术数据!AE263</f>
        <v/>
      </c>
    </row>
    <row r="266" spans="11:12" x14ac:dyDescent="0.25">
      <c r="K266" s="462" t="str">
        <f>法术数据!AD264</f>
        <v/>
      </c>
      <c r="L266" s="463" t="str">
        <f>法术数据!AE264</f>
        <v/>
      </c>
    </row>
    <row r="267" spans="11:12" x14ac:dyDescent="0.25">
      <c r="K267" s="464" t="str">
        <f>法术数据!AD265</f>
        <v/>
      </c>
      <c r="L267" s="465" t="str">
        <f>法术数据!AE265</f>
        <v/>
      </c>
    </row>
    <row r="268" spans="11:12" x14ac:dyDescent="0.25">
      <c r="K268" s="462" t="str">
        <f>法术数据!AD266</f>
        <v/>
      </c>
      <c r="L268" s="463" t="str">
        <f>法术数据!AE266</f>
        <v/>
      </c>
    </row>
    <row r="269" spans="11:12" x14ac:dyDescent="0.25">
      <c r="K269" s="464" t="str">
        <f>法术数据!AD267</f>
        <v/>
      </c>
      <c r="L269" s="465" t="str">
        <f>法术数据!AE267</f>
        <v/>
      </c>
    </row>
    <row r="270" spans="11:12" x14ac:dyDescent="0.25">
      <c r="K270" s="462" t="str">
        <f>法术数据!AD268</f>
        <v/>
      </c>
      <c r="L270" s="463" t="str">
        <f>法术数据!AE268</f>
        <v/>
      </c>
    </row>
    <row r="271" spans="11:12" x14ac:dyDescent="0.25">
      <c r="K271" s="464" t="str">
        <f>法术数据!AD269</f>
        <v/>
      </c>
      <c r="L271" s="465" t="str">
        <f>法术数据!AE269</f>
        <v/>
      </c>
    </row>
    <row r="272" spans="11:12" x14ac:dyDescent="0.25">
      <c r="K272" s="462" t="str">
        <f>法术数据!AD270</f>
        <v/>
      </c>
      <c r="L272" s="463" t="str">
        <f>法术数据!AE270</f>
        <v/>
      </c>
    </row>
    <row r="273" spans="11:12" x14ac:dyDescent="0.25">
      <c r="K273" s="464" t="str">
        <f>法术数据!AD271</f>
        <v/>
      </c>
      <c r="L273" s="465" t="str">
        <f>法术数据!AE271</f>
        <v/>
      </c>
    </row>
    <row r="274" spans="11:12" x14ac:dyDescent="0.25">
      <c r="K274" s="462" t="str">
        <f>法术数据!AD272</f>
        <v/>
      </c>
      <c r="L274" s="463" t="str">
        <f>法术数据!AE272</f>
        <v/>
      </c>
    </row>
    <row r="275" spans="11:12" x14ac:dyDescent="0.25">
      <c r="K275" s="464" t="str">
        <f>法术数据!AD273</f>
        <v/>
      </c>
      <c r="L275" s="465" t="str">
        <f>法术数据!AE273</f>
        <v/>
      </c>
    </row>
    <row r="276" spans="11:12" x14ac:dyDescent="0.25">
      <c r="K276" s="462" t="str">
        <f>法术数据!AD274</f>
        <v/>
      </c>
      <c r="L276" s="463" t="str">
        <f>法术数据!AE274</f>
        <v/>
      </c>
    </row>
    <row r="277" spans="11:12" x14ac:dyDescent="0.25">
      <c r="K277" s="464" t="str">
        <f>法术数据!AD275</f>
        <v/>
      </c>
      <c r="L277" s="465" t="str">
        <f>法术数据!AE275</f>
        <v/>
      </c>
    </row>
    <row r="278" spans="11:12" x14ac:dyDescent="0.25">
      <c r="K278" s="462" t="str">
        <f>法术数据!AD276</f>
        <v/>
      </c>
      <c r="L278" s="463" t="str">
        <f>法术数据!AE276</f>
        <v/>
      </c>
    </row>
    <row r="279" spans="11:12" x14ac:dyDescent="0.25">
      <c r="K279" s="464" t="str">
        <f>法术数据!AD277</f>
        <v/>
      </c>
      <c r="L279" s="465" t="str">
        <f>法术数据!AE277</f>
        <v/>
      </c>
    </row>
    <row r="280" spans="11:12" x14ac:dyDescent="0.25">
      <c r="K280" s="462" t="str">
        <f>法术数据!AD278</f>
        <v/>
      </c>
      <c r="L280" s="463" t="str">
        <f>法术数据!AE278</f>
        <v/>
      </c>
    </row>
    <row r="281" spans="11:12" x14ac:dyDescent="0.25">
      <c r="K281" s="464" t="str">
        <f>法术数据!AD279</f>
        <v/>
      </c>
      <c r="L281" s="465" t="str">
        <f>法术数据!AE279</f>
        <v/>
      </c>
    </row>
    <row r="282" spans="11:12" x14ac:dyDescent="0.25">
      <c r="K282" s="462" t="str">
        <f>法术数据!AD280</f>
        <v/>
      </c>
      <c r="L282" s="463" t="str">
        <f>法术数据!AE280</f>
        <v/>
      </c>
    </row>
    <row r="283" spans="11:12" x14ac:dyDescent="0.25">
      <c r="K283" s="464" t="str">
        <f>法术数据!AD281</f>
        <v/>
      </c>
      <c r="L283" s="465" t="str">
        <f>法术数据!AE281</f>
        <v/>
      </c>
    </row>
    <row r="284" spans="11:12" x14ac:dyDescent="0.25">
      <c r="K284" s="462" t="str">
        <f>法术数据!AD282</f>
        <v/>
      </c>
      <c r="L284" s="463" t="str">
        <f>法术数据!AE282</f>
        <v/>
      </c>
    </row>
    <row r="285" spans="11:12" x14ac:dyDescent="0.25">
      <c r="K285" s="464" t="str">
        <f>法术数据!AD283</f>
        <v/>
      </c>
      <c r="L285" s="465" t="str">
        <f>法术数据!AE283</f>
        <v/>
      </c>
    </row>
    <row r="286" spans="11:12" x14ac:dyDescent="0.25">
      <c r="K286" s="462" t="str">
        <f>法术数据!AD284</f>
        <v/>
      </c>
      <c r="L286" s="463" t="str">
        <f>法术数据!AE284</f>
        <v/>
      </c>
    </row>
    <row r="287" spans="11:12" x14ac:dyDescent="0.25">
      <c r="K287" s="464" t="str">
        <f>法术数据!AD285</f>
        <v/>
      </c>
      <c r="L287" s="465" t="str">
        <f>法术数据!AE285</f>
        <v/>
      </c>
    </row>
    <row r="288" spans="11:12" x14ac:dyDescent="0.25">
      <c r="K288" s="462" t="str">
        <f>法术数据!AD286</f>
        <v/>
      </c>
      <c r="L288" s="463" t="str">
        <f>法术数据!AE286</f>
        <v/>
      </c>
    </row>
    <row r="289" spans="11:12" x14ac:dyDescent="0.25">
      <c r="K289" s="464" t="str">
        <f>法术数据!AD287</f>
        <v/>
      </c>
      <c r="L289" s="465" t="str">
        <f>法术数据!AE287</f>
        <v/>
      </c>
    </row>
    <row r="290" spans="11:12" x14ac:dyDescent="0.25">
      <c r="K290" s="462" t="str">
        <f>法术数据!AD288</f>
        <v/>
      </c>
      <c r="L290" s="463" t="str">
        <f>法术数据!AE288</f>
        <v/>
      </c>
    </row>
    <row r="291" spans="11:12" x14ac:dyDescent="0.25">
      <c r="K291" s="464" t="str">
        <f>法术数据!AD289</f>
        <v/>
      </c>
      <c r="L291" s="465" t="str">
        <f>法术数据!AE289</f>
        <v/>
      </c>
    </row>
    <row r="292" spans="11:12" x14ac:dyDescent="0.25">
      <c r="K292" s="462" t="str">
        <f>法术数据!AD290</f>
        <v/>
      </c>
      <c r="L292" s="463" t="str">
        <f>法术数据!AE290</f>
        <v/>
      </c>
    </row>
    <row r="293" spans="11:12" x14ac:dyDescent="0.25">
      <c r="K293" s="464" t="str">
        <f>法术数据!AD291</f>
        <v/>
      </c>
      <c r="L293" s="465" t="str">
        <f>法术数据!AE291</f>
        <v/>
      </c>
    </row>
    <row r="294" spans="11:12" x14ac:dyDescent="0.25">
      <c r="K294" s="462" t="str">
        <f>法术数据!AD292</f>
        <v/>
      </c>
      <c r="L294" s="463" t="str">
        <f>法术数据!AE292</f>
        <v/>
      </c>
    </row>
    <row r="295" spans="11:12" x14ac:dyDescent="0.25">
      <c r="K295" s="464" t="str">
        <f>法术数据!AD293</f>
        <v/>
      </c>
      <c r="L295" s="465" t="str">
        <f>法术数据!AE293</f>
        <v/>
      </c>
    </row>
    <row r="296" spans="11:12" x14ac:dyDescent="0.25">
      <c r="K296" s="462" t="str">
        <f>法术数据!AD294</f>
        <v/>
      </c>
      <c r="L296" s="463" t="str">
        <f>法术数据!AE294</f>
        <v/>
      </c>
    </row>
    <row r="297" spans="11:12" x14ac:dyDescent="0.25">
      <c r="K297" s="464" t="str">
        <f>法术数据!AD295</f>
        <v/>
      </c>
      <c r="L297" s="465" t="str">
        <f>法术数据!AE295</f>
        <v/>
      </c>
    </row>
    <row r="298" spans="11:12" x14ac:dyDescent="0.25">
      <c r="K298" s="462" t="str">
        <f>法术数据!AD296</f>
        <v/>
      </c>
      <c r="L298" s="463" t="str">
        <f>法术数据!AE296</f>
        <v/>
      </c>
    </row>
    <row r="299" spans="11:12" x14ac:dyDescent="0.25">
      <c r="K299" s="464" t="str">
        <f>法术数据!AD297</f>
        <v/>
      </c>
      <c r="L299" s="465" t="str">
        <f>法术数据!AE297</f>
        <v/>
      </c>
    </row>
    <row r="300" spans="11:12" x14ac:dyDescent="0.25">
      <c r="K300" s="462" t="str">
        <f>法术数据!AD298</f>
        <v/>
      </c>
      <c r="L300" s="463" t="str">
        <f>法术数据!AE298</f>
        <v/>
      </c>
    </row>
    <row r="301" spans="11:12" x14ac:dyDescent="0.25">
      <c r="K301" s="464" t="str">
        <f>法术数据!AD299</f>
        <v/>
      </c>
      <c r="L301" s="465" t="str">
        <f>法术数据!AE299</f>
        <v/>
      </c>
    </row>
    <row r="302" spans="11:12" x14ac:dyDescent="0.25">
      <c r="K302" s="462" t="str">
        <f>法术数据!AD300</f>
        <v/>
      </c>
      <c r="L302" s="463" t="str">
        <f>法术数据!AE300</f>
        <v/>
      </c>
    </row>
    <row r="303" spans="11:12" x14ac:dyDescent="0.25">
      <c r="K303" s="464" t="str">
        <f>法术数据!AD301</f>
        <v/>
      </c>
      <c r="L303" s="465" t="str">
        <f>法术数据!AE301</f>
        <v/>
      </c>
    </row>
    <row r="304" spans="11:12" x14ac:dyDescent="0.25">
      <c r="K304" s="462" t="str">
        <f>法术数据!AD302</f>
        <v/>
      </c>
      <c r="L304" s="463" t="str">
        <f>法术数据!AE302</f>
        <v/>
      </c>
    </row>
    <row r="305" spans="11:12" x14ac:dyDescent="0.25">
      <c r="K305" s="464" t="str">
        <f>法术数据!AD303</f>
        <v/>
      </c>
      <c r="L305" s="465" t="str">
        <f>法术数据!AE303</f>
        <v/>
      </c>
    </row>
    <row r="306" spans="11:12" x14ac:dyDescent="0.25">
      <c r="K306" s="462" t="str">
        <f>法术数据!AD304</f>
        <v/>
      </c>
      <c r="L306" s="463" t="str">
        <f>法术数据!AE304</f>
        <v/>
      </c>
    </row>
    <row r="307" spans="11:12" x14ac:dyDescent="0.25">
      <c r="K307" s="464" t="str">
        <f>法术数据!AD305</f>
        <v/>
      </c>
      <c r="L307" s="465" t="str">
        <f>法术数据!AE305</f>
        <v/>
      </c>
    </row>
    <row r="308" spans="11:12" x14ac:dyDescent="0.25">
      <c r="K308" s="462" t="str">
        <f>法术数据!AD306</f>
        <v/>
      </c>
      <c r="L308" s="463" t="str">
        <f>法术数据!AE306</f>
        <v/>
      </c>
    </row>
    <row r="309" spans="11:12" x14ac:dyDescent="0.25">
      <c r="K309" s="464" t="str">
        <f>法术数据!AD307</f>
        <v/>
      </c>
      <c r="L309" s="465" t="str">
        <f>法术数据!AE307</f>
        <v/>
      </c>
    </row>
    <row r="310" spans="11:12" x14ac:dyDescent="0.25">
      <c r="K310" s="462" t="str">
        <f>法术数据!AD308</f>
        <v/>
      </c>
      <c r="L310" s="463" t="str">
        <f>法术数据!AE308</f>
        <v/>
      </c>
    </row>
    <row r="311" spans="11:12" x14ac:dyDescent="0.25">
      <c r="K311" s="464" t="str">
        <f>法术数据!AD309</f>
        <v/>
      </c>
      <c r="L311" s="465" t="str">
        <f>法术数据!AE309</f>
        <v/>
      </c>
    </row>
    <row r="312" spans="11:12" x14ac:dyDescent="0.25">
      <c r="K312" s="462" t="str">
        <f>法术数据!AD310</f>
        <v/>
      </c>
      <c r="L312" s="463" t="str">
        <f>法术数据!AE310</f>
        <v/>
      </c>
    </row>
    <row r="313" spans="11:12" x14ac:dyDescent="0.25">
      <c r="K313" s="464" t="str">
        <f>法术数据!AD311</f>
        <v/>
      </c>
      <c r="L313" s="465" t="str">
        <f>法术数据!AE311</f>
        <v/>
      </c>
    </row>
    <row r="314" spans="11:12" x14ac:dyDescent="0.25">
      <c r="K314" s="462" t="str">
        <f>法术数据!AD312</f>
        <v/>
      </c>
      <c r="L314" s="463" t="str">
        <f>法术数据!AE312</f>
        <v/>
      </c>
    </row>
    <row r="315" spans="11:12" x14ac:dyDescent="0.25">
      <c r="K315" s="464" t="str">
        <f>法术数据!AD313</f>
        <v/>
      </c>
      <c r="L315" s="465" t="str">
        <f>法术数据!AE313</f>
        <v/>
      </c>
    </row>
    <row r="316" spans="11:12" x14ac:dyDescent="0.25">
      <c r="K316" s="462" t="str">
        <f>法术数据!AD314</f>
        <v/>
      </c>
      <c r="L316" s="463" t="str">
        <f>法术数据!AE314</f>
        <v/>
      </c>
    </row>
    <row r="317" spans="11:12" x14ac:dyDescent="0.25">
      <c r="K317" s="464" t="str">
        <f>法术数据!AD315</f>
        <v/>
      </c>
      <c r="L317" s="465" t="str">
        <f>法术数据!AE315</f>
        <v/>
      </c>
    </row>
    <row r="318" spans="11:12" x14ac:dyDescent="0.25">
      <c r="K318" s="462" t="str">
        <f>法术数据!AD316</f>
        <v/>
      </c>
      <c r="L318" s="463" t="str">
        <f>法术数据!AE316</f>
        <v/>
      </c>
    </row>
    <row r="319" spans="11:12" x14ac:dyDescent="0.25">
      <c r="K319" s="464" t="str">
        <f>法术数据!AD317</f>
        <v/>
      </c>
      <c r="L319" s="465" t="str">
        <f>法术数据!AE317</f>
        <v/>
      </c>
    </row>
    <row r="320" spans="11:12" x14ac:dyDescent="0.25">
      <c r="K320" s="462" t="str">
        <f>法术数据!AD318</f>
        <v/>
      </c>
      <c r="L320" s="463" t="str">
        <f>法术数据!AE318</f>
        <v/>
      </c>
    </row>
    <row r="321" spans="11:12" x14ac:dyDescent="0.25">
      <c r="K321" s="464" t="str">
        <f>法术数据!AD319</f>
        <v/>
      </c>
      <c r="L321" s="465" t="str">
        <f>法术数据!AE319</f>
        <v/>
      </c>
    </row>
    <row r="322" spans="11:12" x14ac:dyDescent="0.25">
      <c r="K322" s="462" t="str">
        <f>法术数据!AD320</f>
        <v/>
      </c>
      <c r="L322" s="463" t="str">
        <f>法术数据!AE320</f>
        <v/>
      </c>
    </row>
    <row r="323" spans="11:12" x14ac:dyDescent="0.25">
      <c r="K323" s="464" t="str">
        <f>法术数据!AD321</f>
        <v/>
      </c>
      <c r="L323" s="465" t="str">
        <f>法术数据!AE321</f>
        <v/>
      </c>
    </row>
    <row r="324" spans="11:12" x14ac:dyDescent="0.25">
      <c r="K324" s="462" t="str">
        <f>法术数据!AD322</f>
        <v/>
      </c>
      <c r="L324" s="463" t="str">
        <f>法术数据!AE322</f>
        <v/>
      </c>
    </row>
    <row r="325" spans="11:12" x14ac:dyDescent="0.25">
      <c r="K325" s="464" t="str">
        <f>法术数据!AD323</f>
        <v/>
      </c>
      <c r="L325" s="465" t="str">
        <f>法术数据!AE323</f>
        <v/>
      </c>
    </row>
    <row r="326" spans="11:12" x14ac:dyDescent="0.25">
      <c r="K326" s="462" t="str">
        <f>法术数据!AD324</f>
        <v/>
      </c>
      <c r="L326" s="463" t="str">
        <f>法术数据!AE324</f>
        <v/>
      </c>
    </row>
    <row r="327" spans="11:12" x14ac:dyDescent="0.25">
      <c r="K327" s="464" t="str">
        <f>法术数据!AD325</f>
        <v/>
      </c>
      <c r="L327" s="465" t="str">
        <f>法术数据!AE325</f>
        <v/>
      </c>
    </row>
    <row r="328" spans="11:12" x14ac:dyDescent="0.25">
      <c r="K328" s="462" t="str">
        <f>法术数据!AD326</f>
        <v/>
      </c>
      <c r="L328" s="463" t="str">
        <f>法术数据!AE326</f>
        <v/>
      </c>
    </row>
    <row r="329" spans="11:12" x14ac:dyDescent="0.25">
      <c r="K329" s="464" t="str">
        <f>法术数据!AD327</f>
        <v/>
      </c>
      <c r="L329" s="465" t="str">
        <f>法术数据!AE327</f>
        <v/>
      </c>
    </row>
    <row r="330" spans="11:12" x14ac:dyDescent="0.25">
      <c r="K330" s="462" t="str">
        <f>法术数据!AD328</f>
        <v/>
      </c>
      <c r="L330" s="463" t="str">
        <f>法术数据!AE328</f>
        <v/>
      </c>
    </row>
    <row r="331" spans="11:12" x14ac:dyDescent="0.25">
      <c r="K331" s="464" t="str">
        <f>法术数据!AD329</f>
        <v/>
      </c>
      <c r="L331" s="465" t="str">
        <f>法术数据!AE329</f>
        <v/>
      </c>
    </row>
    <row r="332" spans="11:12" x14ac:dyDescent="0.25">
      <c r="K332" s="462" t="str">
        <f>法术数据!AD330</f>
        <v/>
      </c>
      <c r="L332" s="463" t="str">
        <f>法术数据!AE330</f>
        <v/>
      </c>
    </row>
    <row r="333" spans="11:12" x14ac:dyDescent="0.25">
      <c r="K333" s="464" t="str">
        <f>法术数据!AD331</f>
        <v/>
      </c>
      <c r="L333" s="465" t="str">
        <f>法术数据!AE331</f>
        <v/>
      </c>
    </row>
    <row r="334" spans="11:12" x14ac:dyDescent="0.25">
      <c r="K334" s="462" t="str">
        <f>法术数据!AD332</f>
        <v/>
      </c>
      <c r="L334" s="463" t="str">
        <f>法术数据!AE332</f>
        <v/>
      </c>
    </row>
    <row r="335" spans="11:12" x14ac:dyDescent="0.25">
      <c r="K335" s="464" t="str">
        <f>法术数据!AD333</f>
        <v/>
      </c>
      <c r="L335" s="465" t="str">
        <f>法术数据!AE333</f>
        <v/>
      </c>
    </row>
    <row r="336" spans="11:12" x14ac:dyDescent="0.25">
      <c r="K336" s="462" t="str">
        <f>法术数据!AD334</f>
        <v/>
      </c>
      <c r="L336" s="463" t="str">
        <f>法术数据!AE334</f>
        <v/>
      </c>
    </row>
    <row r="337" spans="11:12" x14ac:dyDescent="0.25">
      <c r="K337" s="464" t="str">
        <f>法术数据!AD335</f>
        <v/>
      </c>
      <c r="L337" s="465" t="str">
        <f>法术数据!AE335</f>
        <v/>
      </c>
    </row>
    <row r="338" spans="11:12" x14ac:dyDescent="0.25">
      <c r="K338" s="462" t="str">
        <f>法术数据!AD336</f>
        <v/>
      </c>
      <c r="L338" s="463" t="str">
        <f>法术数据!AE336</f>
        <v/>
      </c>
    </row>
    <row r="339" spans="11:12" x14ac:dyDescent="0.25">
      <c r="K339" s="464" t="str">
        <f>法术数据!AD337</f>
        <v/>
      </c>
      <c r="L339" s="465" t="str">
        <f>法术数据!AE337</f>
        <v/>
      </c>
    </row>
    <row r="340" spans="11:12" x14ac:dyDescent="0.25">
      <c r="K340" s="462" t="str">
        <f>法术数据!AD338</f>
        <v/>
      </c>
      <c r="L340" s="463" t="str">
        <f>法术数据!AE338</f>
        <v/>
      </c>
    </row>
    <row r="341" spans="11:12" x14ac:dyDescent="0.25">
      <c r="K341" s="464" t="str">
        <f>法术数据!AD339</f>
        <v/>
      </c>
      <c r="L341" s="465" t="str">
        <f>法术数据!AE339</f>
        <v/>
      </c>
    </row>
    <row r="342" spans="11:12" x14ac:dyDescent="0.25">
      <c r="K342" s="462" t="str">
        <f>法术数据!AD340</f>
        <v/>
      </c>
      <c r="L342" s="463" t="str">
        <f>法术数据!AE340</f>
        <v/>
      </c>
    </row>
    <row r="343" spans="11:12" x14ac:dyDescent="0.25">
      <c r="K343" s="464" t="str">
        <f>法术数据!AD341</f>
        <v/>
      </c>
      <c r="L343" s="465" t="str">
        <f>法术数据!AE341</f>
        <v/>
      </c>
    </row>
    <row r="344" spans="11:12" x14ac:dyDescent="0.25">
      <c r="K344" s="462" t="str">
        <f>法术数据!AD342</f>
        <v/>
      </c>
      <c r="L344" s="463" t="str">
        <f>法术数据!AE342</f>
        <v/>
      </c>
    </row>
    <row r="345" spans="11:12" x14ac:dyDescent="0.25">
      <c r="K345" s="464" t="str">
        <f>法术数据!AD343</f>
        <v/>
      </c>
      <c r="L345" s="465" t="str">
        <f>法术数据!AE343</f>
        <v/>
      </c>
    </row>
    <row r="346" spans="11:12" x14ac:dyDescent="0.25">
      <c r="K346" s="462" t="str">
        <f>法术数据!AD344</f>
        <v/>
      </c>
      <c r="L346" s="463" t="str">
        <f>法术数据!AE344</f>
        <v/>
      </c>
    </row>
    <row r="347" spans="11:12" x14ac:dyDescent="0.25">
      <c r="K347" s="464" t="str">
        <f>法术数据!AD345</f>
        <v/>
      </c>
      <c r="L347" s="465" t="str">
        <f>法术数据!AE345</f>
        <v/>
      </c>
    </row>
    <row r="348" spans="11:12" x14ac:dyDescent="0.25">
      <c r="K348" s="462" t="str">
        <f>法术数据!AD346</f>
        <v/>
      </c>
      <c r="L348" s="463" t="str">
        <f>法术数据!AE346</f>
        <v/>
      </c>
    </row>
    <row r="349" spans="11:12" x14ac:dyDescent="0.25">
      <c r="K349" s="464" t="str">
        <f>法术数据!AD347</f>
        <v/>
      </c>
      <c r="L349" s="465" t="str">
        <f>法术数据!AE347</f>
        <v/>
      </c>
    </row>
    <row r="350" spans="11:12" x14ac:dyDescent="0.25">
      <c r="K350" s="462" t="str">
        <f>法术数据!AD348</f>
        <v/>
      </c>
      <c r="L350" s="463" t="str">
        <f>法术数据!AE348</f>
        <v/>
      </c>
    </row>
    <row r="351" spans="11:12" x14ac:dyDescent="0.25">
      <c r="K351" s="464" t="str">
        <f>法术数据!AD349</f>
        <v/>
      </c>
      <c r="L351" s="465" t="str">
        <f>法术数据!AE349</f>
        <v/>
      </c>
    </row>
    <row r="352" spans="11:12" x14ac:dyDescent="0.25">
      <c r="K352" s="462" t="str">
        <f>法术数据!AD350</f>
        <v/>
      </c>
      <c r="L352" s="463" t="str">
        <f>法术数据!AE350</f>
        <v/>
      </c>
    </row>
    <row r="353" spans="11:12" x14ac:dyDescent="0.25">
      <c r="K353" s="464" t="str">
        <f>法术数据!AD351</f>
        <v/>
      </c>
      <c r="L353" s="465" t="str">
        <f>法术数据!AE351</f>
        <v/>
      </c>
    </row>
    <row r="354" spans="11:12" x14ac:dyDescent="0.25">
      <c r="K354" s="462" t="str">
        <f>法术数据!AD352</f>
        <v/>
      </c>
      <c r="L354" s="463" t="str">
        <f>法术数据!AE352</f>
        <v/>
      </c>
    </row>
    <row r="355" spans="11:12" x14ac:dyDescent="0.25">
      <c r="K355" s="464" t="str">
        <f>法术数据!AD353</f>
        <v/>
      </c>
      <c r="L355" s="465" t="str">
        <f>法术数据!AE353</f>
        <v/>
      </c>
    </row>
    <row r="356" spans="11:12" x14ac:dyDescent="0.25">
      <c r="K356" s="462" t="str">
        <f>法术数据!AD354</f>
        <v/>
      </c>
      <c r="L356" s="463" t="str">
        <f>法术数据!AE354</f>
        <v/>
      </c>
    </row>
    <row r="357" spans="11:12" x14ac:dyDescent="0.25">
      <c r="K357" s="464" t="str">
        <f>法术数据!AD355</f>
        <v/>
      </c>
      <c r="L357" s="465" t="str">
        <f>法术数据!AE355</f>
        <v/>
      </c>
    </row>
    <row r="358" spans="11:12" x14ac:dyDescent="0.25">
      <c r="K358" s="462" t="str">
        <f>法术数据!AD356</f>
        <v/>
      </c>
      <c r="L358" s="463" t="str">
        <f>法术数据!AE356</f>
        <v/>
      </c>
    </row>
    <row r="359" spans="11:12" x14ac:dyDescent="0.25">
      <c r="K359" s="464" t="str">
        <f>法术数据!AD357</f>
        <v/>
      </c>
      <c r="L359" s="465" t="str">
        <f>法术数据!AE357</f>
        <v/>
      </c>
    </row>
    <row r="360" spans="11:12" x14ac:dyDescent="0.25">
      <c r="K360" s="462" t="str">
        <f>法术数据!AD358</f>
        <v/>
      </c>
      <c r="L360" s="463" t="str">
        <f>法术数据!AE358</f>
        <v/>
      </c>
    </row>
    <row r="361" spans="11:12" x14ac:dyDescent="0.25">
      <c r="K361" s="464" t="str">
        <f>法术数据!AD359</f>
        <v/>
      </c>
      <c r="L361" s="465" t="str">
        <f>法术数据!AE359</f>
        <v/>
      </c>
    </row>
    <row r="362" spans="11:12" x14ac:dyDescent="0.25">
      <c r="K362" s="462" t="str">
        <f>法术数据!AD360</f>
        <v/>
      </c>
      <c r="L362" s="463" t="str">
        <f>法术数据!AE360</f>
        <v/>
      </c>
    </row>
    <row r="363" spans="11:12" x14ac:dyDescent="0.25">
      <c r="K363" s="464" t="str">
        <f>法术数据!AD361</f>
        <v/>
      </c>
      <c r="L363" s="465" t="str">
        <f>法术数据!AE361</f>
        <v/>
      </c>
    </row>
    <row r="364" spans="11:12" x14ac:dyDescent="0.25">
      <c r="K364" s="462" t="str">
        <f>法术数据!AD362</f>
        <v/>
      </c>
      <c r="L364" s="463" t="str">
        <f>法术数据!AE362</f>
        <v/>
      </c>
    </row>
    <row r="365" spans="11:12" x14ac:dyDescent="0.25">
      <c r="K365" s="464" t="str">
        <f>法术数据!AD363</f>
        <v/>
      </c>
      <c r="L365" s="465" t="str">
        <f>法术数据!AE363</f>
        <v/>
      </c>
    </row>
    <row r="366" spans="11:12" x14ac:dyDescent="0.25">
      <c r="K366" s="462" t="str">
        <f>法术数据!AD364</f>
        <v/>
      </c>
      <c r="L366" s="463" t="str">
        <f>法术数据!AE364</f>
        <v/>
      </c>
    </row>
    <row r="367" spans="11:12" x14ac:dyDescent="0.25">
      <c r="K367" s="464" t="str">
        <f>法术数据!AD365</f>
        <v/>
      </c>
      <c r="L367" s="465" t="str">
        <f>法术数据!AE365</f>
        <v/>
      </c>
    </row>
    <row r="368" spans="11:12" x14ac:dyDescent="0.25">
      <c r="K368" s="462" t="str">
        <f>法术数据!AD366</f>
        <v/>
      </c>
      <c r="L368" s="463" t="str">
        <f>法术数据!AE366</f>
        <v/>
      </c>
    </row>
    <row r="369" spans="11:12" x14ac:dyDescent="0.25">
      <c r="K369" s="464" t="str">
        <f>法术数据!AD367</f>
        <v/>
      </c>
      <c r="L369" s="465" t="str">
        <f>法术数据!AE367</f>
        <v/>
      </c>
    </row>
    <row r="370" spans="11:12" x14ac:dyDescent="0.25">
      <c r="K370" s="462" t="str">
        <f>法术数据!AD368</f>
        <v/>
      </c>
      <c r="L370" s="463" t="str">
        <f>法术数据!AE368</f>
        <v/>
      </c>
    </row>
    <row r="371" spans="11:12" x14ac:dyDescent="0.25">
      <c r="K371" s="464" t="str">
        <f>法术数据!AD369</f>
        <v/>
      </c>
      <c r="L371" s="465" t="str">
        <f>法术数据!AE369</f>
        <v/>
      </c>
    </row>
    <row r="372" spans="11:12" x14ac:dyDescent="0.25">
      <c r="K372" s="462" t="str">
        <f>法术数据!AD370</f>
        <v/>
      </c>
      <c r="L372" s="463" t="str">
        <f>法术数据!AE370</f>
        <v/>
      </c>
    </row>
    <row r="373" spans="11:12" x14ac:dyDescent="0.25">
      <c r="K373" s="464" t="str">
        <f>法术数据!AD371</f>
        <v/>
      </c>
      <c r="L373" s="465" t="str">
        <f>法术数据!AE371</f>
        <v/>
      </c>
    </row>
    <row r="374" spans="11:12" x14ac:dyDescent="0.25">
      <c r="K374" s="462" t="str">
        <f>法术数据!AD372</f>
        <v/>
      </c>
      <c r="L374" s="463" t="str">
        <f>法术数据!AE372</f>
        <v/>
      </c>
    </row>
    <row r="375" spans="11:12" x14ac:dyDescent="0.25">
      <c r="K375" s="464" t="str">
        <f>法术数据!AD373</f>
        <v/>
      </c>
      <c r="L375" s="465" t="str">
        <f>法术数据!AE373</f>
        <v/>
      </c>
    </row>
    <row r="376" spans="11:12" x14ac:dyDescent="0.25">
      <c r="K376" s="462" t="str">
        <f>法术数据!AD374</f>
        <v/>
      </c>
      <c r="L376" s="463" t="str">
        <f>法术数据!AE374</f>
        <v/>
      </c>
    </row>
    <row r="377" spans="11:12" x14ac:dyDescent="0.25">
      <c r="K377" s="464" t="str">
        <f>法术数据!AD375</f>
        <v/>
      </c>
      <c r="L377" s="465" t="str">
        <f>法术数据!AE375</f>
        <v/>
      </c>
    </row>
    <row r="378" spans="11:12" x14ac:dyDescent="0.25">
      <c r="K378" s="462" t="str">
        <f>法术数据!AD376</f>
        <v/>
      </c>
      <c r="L378" s="463" t="str">
        <f>法术数据!AE376</f>
        <v/>
      </c>
    </row>
    <row r="379" spans="11:12" x14ac:dyDescent="0.25">
      <c r="K379" s="464" t="str">
        <f>法术数据!AD377</f>
        <v/>
      </c>
      <c r="L379" s="465" t="str">
        <f>法术数据!AE377</f>
        <v/>
      </c>
    </row>
    <row r="380" spans="11:12" x14ac:dyDescent="0.25">
      <c r="K380" s="462" t="str">
        <f>法术数据!AD378</f>
        <v/>
      </c>
      <c r="L380" s="463" t="str">
        <f>法术数据!AE378</f>
        <v/>
      </c>
    </row>
    <row r="381" spans="11:12" x14ac:dyDescent="0.25">
      <c r="K381" s="464" t="str">
        <f>法术数据!AD379</f>
        <v/>
      </c>
      <c r="L381" s="465" t="str">
        <f>法术数据!AE379</f>
        <v/>
      </c>
    </row>
    <row r="382" spans="11:12" x14ac:dyDescent="0.25">
      <c r="K382" s="462" t="str">
        <f>法术数据!AD380</f>
        <v/>
      </c>
      <c r="L382" s="463" t="str">
        <f>法术数据!AE380</f>
        <v/>
      </c>
    </row>
    <row r="383" spans="11:12" x14ac:dyDescent="0.25">
      <c r="K383" s="464" t="str">
        <f>法术数据!AD381</f>
        <v/>
      </c>
      <c r="L383" s="465" t="str">
        <f>法术数据!AE381</f>
        <v/>
      </c>
    </row>
    <row r="384" spans="11:12" x14ac:dyDescent="0.25">
      <c r="K384" s="462" t="str">
        <f>法术数据!AD382</f>
        <v/>
      </c>
      <c r="L384" s="463" t="str">
        <f>法术数据!AE382</f>
        <v/>
      </c>
    </row>
    <row r="385" spans="11:12" x14ac:dyDescent="0.25">
      <c r="K385" s="464" t="str">
        <f>法术数据!AD383</f>
        <v/>
      </c>
      <c r="L385" s="465" t="str">
        <f>法术数据!AE383</f>
        <v/>
      </c>
    </row>
    <row r="386" spans="11:12" x14ac:dyDescent="0.25">
      <c r="K386" s="462" t="str">
        <f>法术数据!AD384</f>
        <v/>
      </c>
      <c r="L386" s="463" t="str">
        <f>法术数据!AE384</f>
        <v/>
      </c>
    </row>
    <row r="387" spans="11:12" x14ac:dyDescent="0.25">
      <c r="K387" s="464" t="str">
        <f>法术数据!AD385</f>
        <v/>
      </c>
      <c r="L387" s="465" t="str">
        <f>法术数据!AE385</f>
        <v/>
      </c>
    </row>
    <row r="388" spans="11:12" x14ac:dyDescent="0.25">
      <c r="K388" s="462" t="str">
        <f>法术数据!AD386</f>
        <v/>
      </c>
      <c r="L388" s="463" t="str">
        <f>法术数据!AE386</f>
        <v/>
      </c>
    </row>
    <row r="389" spans="11:12" x14ac:dyDescent="0.25">
      <c r="K389" s="464" t="str">
        <f>法术数据!AD387</f>
        <v/>
      </c>
      <c r="L389" s="465" t="str">
        <f>法术数据!AE387</f>
        <v/>
      </c>
    </row>
    <row r="390" spans="11:12" x14ac:dyDescent="0.25">
      <c r="K390" s="462" t="str">
        <f>法术数据!AD388</f>
        <v/>
      </c>
      <c r="L390" s="463" t="str">
        <f>法术数据!AE388</f>
        <v/>
      </c>
    </row>
    <row r="391" spans="11:12" x14ac:dyDescent="0.25">
      <c r="K391" s="464" t="str">
        <f>法术数据!AD389</f>
        <v/>
      </c>
      <c r="L391" s="465" t="str">
        <f>法术数据!AE389</f>
        <v/>
      </c>
    </row>
    <row r="392" spans="11:12" x14ac:dyDescent="0.25">
      <c r="K392" s="462" t="str">
        <f>法术数据!AD390</f>
        <v/>
      </c>
      <c r="L392" s="463" t="str">
        <f>法术数据!AE390</f>
        <v/>
      </c>
    </row>
    <row r="393" spans="11:12" x14ac:dyDescent="0.25">
      <c r="K393" s="464" t="str">
        <f>法术数据!AD391</f>
        <v/>
      </c>
      <c r="L393" s="465" t="str">
        <f>法术数据!AE391</f>
        <v/>
      </c>
    </row>
    <row r="394" spans="11:12" x14ac:dyDescent="0.25">
      <c r="K394" s="462" t="str">
        <f>法术数据!AD392</f>
        <v/>
      </c>
      <c r="L394" s="463" t="str">
        <f>法术数据!AE392</f>
        <v/>
      </c>
    </row>
    <row r="395" spans="11:12" x14ac:dyDescent="0.25">
      <c r="K395" s="464" t="str">
        <f>法术数据!AD393</f>
        <v/>
      </c>
      <c r="L395" s="465" t="str">
        <f>法术数据!AE393</f>
        <v/>
      </c>
    </row>
    <row r="396" spans="11:12" x14ac:dyDescent="0.25">
      <c r="K396" s="462" t="str">
        <f>法术数据!AD394</f>
        <v/>
      </c>
      <c r="L396" s="463" t="str">
        <f>法术数据!AE394</f>
        <v/>
      </c>
    </row>
    <row r="397" spans="11:12" x14ac:dyDescent="0.25">
      <c r="K397" s="464" t="str">
        <f>法术数据!AD395</f>
        <v/>
      </c>
      <c r="L397" s="465" t="str">
        <f>法术数据!AE395</f>
        <v/>
      </c>
    </row>
    <row r="398" spans="11:12" x14ac:dyDescent="0.25">
      <c r="K398" s="462" t="str">
        <f>法术数据!AD396</f>
        <v/>
      </c>
      <c r="L398" s="463" t="str">
        <f>法术数据!AE396</f>
        <v/>
      </c>
    </row>
    <row r="399" spans="11:12" x14ac:dyDescent="0.25">
      <c r="K399" s="464" t="str">
        <f>法术数据!AD397</f>
        <v/>
      </c>
      <c r="L399" s="465" t="str">
        <f>法术数据!AE397</f>
        <v/>
      </c>
    </row>
    <row r="400" spans="11:12" x14ac:dyDescent="0.25">
      <c r="K400" s="462" t="str">
        <f>法术数据!AD398</f>
        <v/>
      </c>
      <c r="L400" s="463" t="str">
        <f>法术数据!AE398</f>
        <v/>
      </c>
    </row>
    <row r="401" spans="11:12" x14ac:dyDescent="0.25">
      <c r="K401" s="464" t="str">
        <f>法术数据!AD399</f>
        <v/>
      </c>
      <c r="L401" s="465" t="str">
        <f>法术数据!AE399</f>
        <v/>
      </c>
    </row>
    <row r="402" spans="11:12" x14ac:dyDescent="0.25">
      <c r="K402" s="462" t="str">
        <f>法术数据!AD400</f>
        <v/>
      </c>
      <c r="L402" s="463" t="str">
        <f>法术数据!AE400</f>
        <v/>
      </c>
    </row>
    <row r="403" spans="11:12" x14ac:dyDescent="0.25">
      <c r="K403" s="464" t="str">
        <f>法术数据!AD401</f>
        <v/>
      </c>
      <c r="L403" s="465" t="str">
        <f>法术数据!AE401</f>
        <v/>
      </c>
    </row>
    <row r="404" spans="11:12" x14ac:dyDescent="0.25">
      <c r="K404" s="462" t="str">
        <f>法术数据!AD402</f>
        <v/>
      </c>
      <c r="L404" s="463" t="str">
        <f>法术数据!AE402</f>
        <v/>
      </c>
    </row>
    <row r="405" spans="11:12" x14ac:dyDescent="0.25">
      <c r="K405" s="464" t="str">
        <f>法术数据!AD403</f>
        <v/>
      </c>
      <c r="L405" s="465" t="str">
        <f>法术数据!AE403</f>
        <v/>
      </c>
    </row>
    <row r="406" spans="11:12" x14ac:dyDescent="0.25">
      <c r="K406" s="462" t="str">
        <f>法术数据!AD404</f>
        <v/>
      </c>
      <c r="L406" s="463" t="str">
        <f>法术数据!AE404</f>
        <v/>
      </c>
    </row>
    <row r="407" spans="11:12" x14ac:dyDescent="0.25">
      <c r="K407" s="464" t="str">
        <f>法术数据!AD405</f>
        <v/>
      </c>
      <c r="L407" s="465" t="str">
        <f>法术数据!AE405</f>
        <v/>
      </c>
    </row>
    <row r="408" spans="11:12" x14ac:dyDescent="0.25">
      <c r="K408" s="462" t="str">
        <f>法术数据!AD406</f>
        <v/>
      </c>
      <c r="L408" s="463" t="str">
        <f>法术数据!AE406</f>
        <v/>
      </c>
    </row>
    <row r="409" spans="11:12" x14ac:dyDescent="0.25">
      <c r="K409" s="464" t="str">
        <f>法术数据!AD407</f>
        <v/>
      </c>
      <c r="L409" s="465" t="str">
        <f>法术数据!AE407</f>
        <v/>
      </c>
    </row>
    <row r="410" spans="11:12" x14ac:dyDescent="0.25">
      <c r="K410" s="462" t="str">
        <f>法术数据!AD408</f>
        <v/>
      </c>
      <c r="L410" s="463" t="str">
        <f>法术数据!AE408</f>
        <v/>
      </c>
    </row>
    <row r="411" spans="11:12" x14ac:dyDescent="0.25">
      <c r="K411" s="464" t="str">
        <f>法术数据!AD409</f>
        <v/>
      </c>
      <c r="L411" s="465" t="str">
        <f>法术数据!AE409</f>
        <v/>
      </c>
    </row>
    <row r="412" spans="11:12" x14ac:dyDescent="0.25">
      <c r="K412" s="462" t="str">
        <f>法术数据!AD410</f>
        <v/>
      </c>
      <c r="L412" s="463" t="str">
        <f>法术数据!AE410</f>
        <v/>
      </c>
    </row>
    <row r="413" spans="11:12" x14ac:dyDescent="0.25">
      <c r="K413" s="464" t="str">
        <f>法术数据!AD411</f>
        <v/>
      </c>
      <c r="L413" s="465" t="str">
        <f>法术数据!AE411</f>
        <v/>
      </c>
    </row>
    <row r="414" spans="11:12" x14ac:dyDescent="0.25">
      <c r="K414" s="462" t="str">
        <f>法术数据!AD412</f>
        <v/>
      </c>
      <c r="L414" s="463" t="str">
        <f>法术数据!AE412</f>
        <v/>
      </c>
    </row>
    <row r="415" spans="11:12" x14ac:dyDescent="0.25">
      <c r="K415" s="464" t="str">
        <f>法术数据!AD413</f>
        <v/>
      </c>
      <c r="L415" s="465" t="str">
        <f>法术数据!AE413</f>
        <v/>
      </c>
    </row>
    <row r="416" spans="11:12" x14ac:dyDescent="0.25">
      <c r="K416" s="462" t="str">
        <f>法术数据!AD414</f>
        <v/>
      </c>
      <c r="L416" s="463" t="str">
        <f>法术数据!AE414</f>
        <v/>
      </c>
    </row>
    <row r="417" spans="11:12" x14ac:dyDescent="0.25">
      <c r="K417" s="464" t="str">
        <f>法术数据!AD415</f>
        <v/>
      </c>
      <c r="L417" s="465" t="str">
        <f>法术数据!AE415</f>
        <v/>
      </c>
    </row>
    <row r="418" spans="11:12" x14ac:dyDescent="0.25">
      <c r="K418" s="462" t="str">
        <f>法术数据!AD416</f>
        <v/>
      </c>
      <c r="L418" s="463" t="str">
        <f>法术数据!AE416</f>
        <v/>
      </c>
    </row>
    <row r="419" spans="11:12" x14ac:dyDescent="0.25">
      <c r="K419" s="464" t="str">
        <f>法术数据!AD417</f>
        <v/>
      </c>
      <c r="L419" s="465" t="str">
        <f>法术数据!AE417</f>
        <v/>
      </c>
    </row>
    <row r="420" spans="11:12" x14ac:dyDescent="0.25">
      <c r="K420" s="462" t="str">
        <f>法术数据!AD418</f>
        <v/>
      </c>
      <c r="L420" s="463" t="str">
        <f>法术数据!AE418</f>
        <v/>
      </c>
    </row>
    <row r="421" spans="11:12" x14ac:dyDescent="0.25">
      <c r="K421" s="464" t="str">
        <f>法术数据!AD419</f>
        <v/>
      </c>
      <c r="L421" s="465" t="str">
        <f>法术数据!AE419</f>
        <v/>
      </c>
    </row>
    <row r="422" spans="11:12" x14ac:dyDescent="0.25">
      <c r="K422" s="462" t="str">
        <f>法术数据!AD420</f>
        <v/>
      </c>
      <c r="L422" s="463" t="str">
        <f>法术数据!AE420</f>
        <v/>
      </c>
    </row>
    <row r="423" spans="11:12" x14ac:dyDescent="0.25">
      <c r="K423" s="464" t="str">
        <f>法术数据!AD421</f>
        <v/>
      </c>
      <c r="L423" s="465" t="str">
        <f>法术数据!AE421</f>
        <v/>
      </c>
    </row>
    <row r="424" spans="11:12" x14ac:dyDescent="0.25">
      <c r="K424" s="462" t="str">
        <f>法术数据!AD422</f>
        <v/>
      </c>
      <c r="L424" s="463" t="str">
        <f>法术数据!AE422</f>
        <v/>
      </c>
    </row>
    <row r="425" spans="11:12" x14ac:dyDescent="0.25">
      <c r="K425" s="464" t="str">
        <f>法术数据!AD423</f>
        <v/>
      </c>
      <c r="L425" s="465" t="str">
        <f>法术数据!AE423</f>
        <v/>
      </c>
    </row>
    <row r="426" spans="11:12" x14ac:dyDescent="0.25">
      <c r="K426" s="462" t="str">
        <f>法术数据!AD424</f>
        <v/>
      </c>
      <c r="L426" s="463" t="str">
        <f>法术数据!AE424</f>
        <v/>
      </c>
    </row>
    <row r="427" spans="11:12" x14ac:dyDescent="0.25">
      <c r="K427" s="464" t="str">
        <f>法术数据!AD425</f>
        <v/>
      </c>
      <c r="L427" s="465" t="str">
        <f>法术数据!AE425</f>
        <v/>
      </c>
    </row>
    <row r="428" spans="11:12" x14ac:dyDescent="0.25">
      <c r="K428" s="462" t="str">
        <f>法术数据!AD426</f>
        <v/>
      </c>
      <c r="L428" s="463" t="str">
        <f>法术数据!AE426</f>
        <v/>
      </c>
    </row>
    <row r="429" spans="11:12" x14ac:dyDescent="0.25">
      <c r="K429" s="464" t="str">
        <f>法术数据!AD427</f>
        <v/>
      </c>
      <c r="L429" s="465" t="str">
        <f>法术数据!AE427</f>
        <v/>
      </c>
    </row>
    <row r="430" spans="11:12" x14ac:dyDescent="0.25">
      <c r="K430" s="462" t="str">
        <f>法术数据!AD428</f>
        <v/>
      </c>
      <c r="L430" s="463" t="str">
        <f>法术数据!AE428</f>
        <v/>
      </c>
    </row>
    <row r="431" spans="11:12" x14ac:dyDescent="0.25">
      <c r="K431" s="464" t="str">
        <f>法术数据!AD429</f>
        <v/>
      </c>
      <c r="L431" s="465" t="str">
        <f>法术数据!AE429</f>
        <v/>
      </c>
    </row>
    <row r="432" spans="11:12" x14ac:dyDescent="0.25">
      <c r="K432" s="462" t="str">
        <f>法术数据!AD430</f>
        <v/>
      </c>
      <c r="L432" s="463" t="str">
        <f>法术数据!AE430</f>
        <v/>
      </c>
    </row>
    <row r="433" spans="11:12" x14ac:dyDescent="0.25">
      <c r="K433" s="464" t="str">
        <f>法术数据!AD431</f>
        <v/>
      </c>
      <c r="L433" s="465" t="str">
        <f>法术数据!AE431</f>
        <v/>
      </c>
    </row>
    <row r="434" spans="11:12" x14ac:dyDescent="0.25">
      <c r="K434" s="462" t="str">
        <f>法术数据!AD432</f>
        <v/>
      </c>
      <c r="L434" s="463" t="str">
        <f>法术数据!AE432</f>
        <v/>
      </c>
    </row>
    <row r="435" spans="11:12" x14ac:dyDescent="0.25">
      <c r="K435" s="464" t="str">
        <f>法术数据!AD433</f>
        <v/>
      </c>
      <c r="L435" s="465" t="str">
        <f>法术数据!AE433</f>
        <v/>
      </c>
    </row>
    <row r="436" spans="11:12" x14ac:dyDescent="0.25">
      <c r="K436" s="462" t="str">
        <f>法术数据!AD434</f>
        <v/>
      </c>
      <c r="L436" s="463" t="str">
        <f>法术数据!AE434</f>
        <v/>
      </c>
    </row>
    <row r="437" spans="11:12" x14ac:dyDescent="0.25">
      <c r="K437" s="464" t="str">
        <f>法术数据!AD435</f>
        <v/>
      </c>
      <c r="L437" s="465" t="str">
        <f>法术数据!AE435</f>
        <v/>
      </c>
    </row>
    <row r="438" spans="11:12" x14ac:dyDescent="0.25">
      <c r="K438" s="462" t="str">
        <f>法术数据!AD436</f>
        <v/>
      </c>
      <c r="L438" s="463" t="str">
        <f>法术数据!AE436</f>
        <v/>
      </c>
    </row>
    <row r="439" spans="11:12" x14ac:dyDescent="0.25">
      <c r="K439" s="464" t="str">
        <f>法术数据!AD437</f>
        <v/>
      </c>
      <c r="L439" s="465" t="str">
        <f>法术数据!AE437</f>
        <v/>
      </c>
    </row>
    <row r="440" spans="11:12" x14ac:dyDescent="0.25">
      <c r="K440" s="462" t="str">
        <f>法术数据!AD438</f>
        <v/>
      </c>
      <c r="L440" s="463" t="str">
        <f>法术数据!AE438</f>
        <v/>
      </c>
    </row>
    <row r="441" spans="11:12" x14ac:dyDescent="0.25">
      <c r="K441" s="464" t="str">
        <f>法术数据!AD439</f>
        <v/>
      </c>
      <c r="L441" s="465" t="str">
        <f>法术数据!AE439</f>
        <v/>
      </c>
    </row>
    <row r="442" spans="11:12" x14ac:dyDescent="0.25">
      <c r="K442" s="462" t="str">
        <f>法术数据!AD440</f>
        <v/>
      </c>
      <c r="L442" s="463" t="str">
        <f>法术数据!AE440</f>
        <v/>
      </c>
    </row>
    <row r="443" spans="11:12" x14ac:dyDescent="0.25">
      <c r="K443" s="464" t="str">
        <f>法术数据!AD441</f>
        <v/>
      </c>
      <c r="L443" s="465" t="str">
        <f>法术数据!AE441</f>
        <v/>
      </c>
    </row>
    <row r="444" spans="11:12" x14ac:dyDescent="0.25">
      <c r="K444" s="462" t="str">
        <f>法术数据!AD442</f>
        <v/>
      </c>
      <c r="L444" s="463" t="str">
        <f>法术数据!AE442</f>
        <v/>
      </c>
    </row>
    <row r="445" spans="11:12" x14ac:dyDescent="0.25">
      <c r="K445" s="464" t="str">
        <f>法术数据!AD443</f>
        <v/>
      </c>
      <c r="L445" s="465" t="str">
        <f>法术数据!AE443</f>
        <v/>
      </c>
    </row>
    <row r="446" spans="11:12" x14ac:dyDescent="0.25">
      <c r="K446" s="462" t="str">
        <f>法术数据!AD444</f>
        <v/>
      </c>
      <c r="L446" s="463" t="str">
        <f>法术数据!AE444</f>
        <v/>
      </c>
    </row>
    <row r="447" spans="11:12" x14ac:dyDescent="0.25">
      <c r="K447" s="464" t="str">
        <f>法术数据!AD445</f>
        <v/>
      </c>
      <c r="L447" s="465" t="str">
        <f>法术数据!AE445</f>
        <v/>
      </c>
    </row>
    <row r="448" spans="11:12" x14ac:dyDescent="0.25">
      <c r="K448" s="462" t="str">
        <f>法术数据!AD446</f>
        <v/>
      </c>
      <c r="L448" s="463" t="str">
        <f>法术数据!AE446</f>
        <v/>
      </c>
    </row>
    <row r="449" spans="11:12" x14ac:dyDescent="0.25">
      <c r="K449" s="464" t="str">
        <f>法术数据!AD447</f>
        <v/>
      </c>
      <c r="L449" s="465" t="str">
        <f>法术数据!AE447</f>
        <v/>
      </c>
    </row>
    <row r="450" spans="11:12" x14ac:dyDescent="0.25">
      <c r="K450" s="462" t="str">
        <f>法术数据!AD448</f>
        <v/>
      </c>
      <c r="L450" s="463" t="str">
        <f>法术数据!AE448</f>
        <v/>
      </c>
    </row>
    <row r="451" spans="11:12" x14ac:dyDescent="0.25">
      <c r="K451" s="464" t="str">
        <f>法术数据!AD449</f>
        <v/>
      </c>
      <c r="L451" s="465" t="str">
        <f>法术数据!AE449</f>
        <v/>
      </c>
    </row>
    <row r="452" spans="11:12" x14ac:dyDescent="0.25">
      <c r="K452" s="462" t="str">
        <f>法术数据!AD450</f>
        <v/>
      </c>
      <c r="L452" s="463" t="str">
        <f>法术数据!AE450</f>
        <v/>
      </c>
    </row>
    <row r="453" spans="11:12" x14ac:dyDescent="0.25">
      <c r="K453" s="464" t="str">
        <f>法术数据!AD451</f>
        <v/>
      </c>
      <c r="L453" s="465" t="str">
        <f>法术数据!AE451</f>
        <v/>
      </c>
    </row>
    <row r="454" spans="11:12" x14ac:dyDescent="0.25">
      <c r="K454" s="462" t="str">
        <f>法术数据!AD452</f>
        <v/>
      </c>
      <c r="L454" s="463" t="str">
        <f>法术数据!AE452</f>
        <v/>
      </c>
    </row>
    <row r="455" spans="11:12" x14ac:dyDescent="0.25">
      <c r="K455" s="464" t="str">
        <f>法术数据!AD453</f>
        <v/>
      </c>
      <c r="L455" s="465" t="str">
        <f>法术数据!AE453</f>
        <v/>
      </c>
    </row>
    <row r="456" spans="11:12" x14ac:dyDescent="0.25">
      <c r="K456" s="462" t="str">
        <f>法术数据!AD454</f>
        <v/>
      </c>
      <c r="L456" s="463" t="str">
        <f>法术数据!AE454</f>
        <v/>
      </c>
    </row>
    <row r="457" spans="11:12" x14ac:dyDescent="0.25">
      <c r="K457" s="464" t="str">
        <f>法术数据!AD455</f>
        <v/>
      </c>
      <c r="L457" s="465" t="str">
        <f>法术数据!AE455</f>
        <v/>
      </c>
    </row>
    <row r="458" spans="11:12" x14ac:dyDescent="0.25">
      <c r="K458" s="462" t="str">
        <f>法术数据!AD456</f>
        <v/>
      </c>
      <c r="L458" s="463" t="str">
        <f>法术数据!AE456</f>
        <v/>
      </c>
    </row>
    <row r="459" spans="11:12" x14ac:dyDescent="0.25">
      <c r="K459" s="464" t="str">
        <f>法术数据!AD457</f>
        <v/>
      </c>
      <c r="L459" s="465" t="str">
        <f>法术数据!AE457</f>
        <v/>
      </c>
    </row>
    <row r="460" spans="11:12" x14ac:dyDescent="0.25">
      <c r="K460" s="462" t="str">
        <f>法术数据!AD458</f>
        <v/>
      </c>
      <c r="L460" s="463" t="str">
        <f>法术数据!AE458</f>
        <v/>
      </c>
    </row>
    <row r="461" spans="11:12" x14ac:dyDescent="0.25">
      <c r="K461" s="464" t="str">
        <f>法术数据!AD459</f>
        <v/>
      </c>
      <c r="L461" s="465" t="str">
        <f>法术数据!AE459</f>
        <v/>
      </c>
    </row>
    <row r="462" spans="11:12" x14ac:dyDescent="0.25">
      <c r="K462" s="462" t="str">
        <f>法术数据!AD460</f>
        <v/>
      </c>
      <c r="L462" s="463" t="str">
        <f>法术数据!AE460</f>
        <v/>
      </c>
    </row>
    <row r="463" spans="11:12" x14ac:dyDescent="0.25">
      <c r="K463" s="464" t="str">
        <f>法术数据!AD461</f>
        <v/>
      </c>
      <c r="L463" s="465" t="str">
        <f>法术数据!AE461</f>
        <v/>
      </c>
    </row>
    <row r="464" spans="11:12" x14ac:dyDescent="0.25">
      <c r="K464" s="462" t="str">
        <f>法术数据!AD462</f>
        <v/>
      </c>
      <c r="L464" s="463" t="str">
        <f>法术数据!AE462</f>
        <v/>
      </c>
    </row>
    <row r="465" spans="11:12" x14ac:dyDescent="0.25">
      <c r="K465" s="464" t="str">
        <f>法术数据!AD463</f>
        <v/>
      </c>
      <c r="L465" s="465" t="str">
        <f>法术数据!AE463</f>
        <v/>
      </c>
    </row>
    <row r="466" spans="11:12" x14ac:dyDescent="0.25">
      <c r="K466" s="462" t="str">
        <f>法术数据!AD464</f>
        <v/>
      </c>
      <c r="L466" s="463" t="str">
        <f>法术数据!AE464</f>
        <v/>
      </c>
    </row>
    <row r="467" spans="11:12" x14ac:dyDescent="0.25">
      <c r="K467" s="464" t="str">
        <f>法术数据!AD465</f>
        <v/>
      </c>
      <c r="L467" s="465" t="str">
        <f>法术数据!AE465</f>
        <v/>
      </c>
    </row>
    <row r="468" spans="11:12" x14ac:dyDescent="0.25">
      <c r="K468" s="462" t="str">
        <f>法术数据!AD466</f>
        <v/>
      </c>
      <c r="L468" s="463" t="str">
        <f>法术数据!AE466</f>
        <v/>
      </c>
    </row>
    <row r="469" spans="11:12" x14ac:dyDescent="0.25">
      <c r="K469" s="464" t="str">
        <f>法术数据!AD467</f>
        <v/>
      </c>
      <c r="L469" s="465" t="str">
        <f>法术数据!AE467</f>
        <v/>
      </c>
    </row>
    <row r="470" spans="11:12" x14ac:dyDescent="0.25">
      <c r="K470" s="462" t="str">
        <f>法术数据!AD468</f>
        <v/>
      </c>
      <c r="L470" s="463" t="str">
        <f>法术数据!AE468</f>
        <v/>
      </c>
    </row>
    <row r="471" spans="11:12" x14ac:dyDescent="0.25">
      <c r="K471" s="464" t="str">
        <f>法术数据!AD469</f>
        <v/>
      </c>
      <c r="L471" s="465" t="str">
        <f>法术数据!AE469</f>
        <v/>
      </c>
    </row>
    <row r="472" spans="11:12" x14ac:dyDescent="0.25">
      <c r="K472" s="462" t="str">
        <f>法术数据!AD470</f>
        <v/>
      </c>
      <c r="L472" s="463" t="str">
        <f>法术数据!AE470</f>
        <v/>
      </c>
    </row>
    <row r="473" spans="11:12" x14ac:dyDescent="0.25">
      <c r="K473" s="464" t="str">
        <f>法术数据!AD471</f>
        <v/>
      </c>
      <c r="L473" s="465" t="str">
        <f>法术数据!AE471</f>
        <v/>
      </c>
    </row>
    <row r="474" spans="11:12" x14ac:dyDescent="0.25">
      <c r="K474" s="462" t="str">
        <f>法术数据!AD472</f>
        <v/>
      </c>
      <c r="L474" s="463" t="str">
        <f>法术数据!AE472</f>
        <v/>
      </c>
    </row>
    <row r="475" spans="11:12" x14ac:dyDescent="0.25">
      <c r="K475" s="464" t="str">
        <f>法术数据!AD473</f>
        <v/>
      </c>
      <c r="L475" s="465" t="str">
        <f>法术数据!AE473</f>
        <v/>
      </c>
    </row>
    <row r="476" spans="11:12" x14ac:dyDescent="0.25">
      <c r="K476" s="462" t="str">
        <f>法术数据!AD474</f>
        <v/>
      </c>
      <c r="L476" s="463" t="str">
        <f>法术数据!AE474</f>
        <v/>
      </c>
    </row>
    <row r="477" spans="11:12" x14ac:dyDescent="0.25">
      <c r="K477" s="464" t="str">
        <f>法术数据!AD475</f>
        <v/>
      </c>
      <c r="L477" s="465" t="str">
        <f>法术数据!AE475</f>
        <v/>
      </c>
    </row>
    <row r="478" spans="11:12" x14ac:dyDescent="0.25">
      <c r="K478" s="462" t="str">
        <f>法术数据!AD476</f>
        <v/>
      </c>
      <c r="L478" s="463" t="str">
        <f>法术数据!AE476</f>
        <v/>
      </c>
    </row>
    <row r="479" spans="11:12" x14ac:dyDescent="0.25">
      <c r="K479" s="464" t="str">
        <f>法术数据!AD477</f>
        <v/>
      </c>
      <c r="L479" s="465" t="str">
        <f>法术数据!AE477</f>
        <v/>
      </c>
    </row>
    <row r="480" spans="11:12" x14ac:dyDescent="0.25">
      <c r="K480" s="462" t="str">
        <f>法术数据!AD478</f>
        <v/>
      </c>
      <c r="L480" s="463" t="str">
        <f>法术数据!AE478</f>
        <v/>
      </c>
    </row>
    <row r="481" spans="11:12" x14ac:dyDescent="0.25">
      <c r="K481" s="464" t="str">
        <f>法术数据!AD479</f>
        <v/>
      </c>
      <c r="L481" s="465" t="str">
        <f>法术数据!AE479</f>
        <v/>
      </c>
    </row>
    <row r="482" spans="11:12" x14ac:dyDescent="0.25">
      <c r="K482" s="462" t="str">
        <f>法术数据!AD480</f>
        <v/>
      </c>
      <c r="L482" s="463" t="str">
        <f>法术数据!AE480</f>
        <v/>
      </c>
    </row>
    <row r="483" spans="11:12" x14ac:dyDescent="0.25">
      <c r="K483" s="464" t="str">
        <f>法术数据!AD481</f>
        <v/>
      </c>
      <c r="L483" s="465" t="str">
        <f>法术数据!AE481</f>
        <v/>
      </c>
    </row>
    <row r="484" spans="11:12" x14ac:dyDescent="0.25">
      <c r="K484" s="462" t="str">
        <f>法术数据!AD482</f>
        <v/>
      </c>
      <c r="L484" s="463" t="str">
        <f>法术数据!AE482</f>
        <v/>
      </c>
    </row>
    <row r="485" spans="11:12" x14ac:dyDescent="0.25">
      <c r="K485" s="464" t="str">
        <f>法术数据!AD483</f>
        <v/>
      </c>
      <c r="L485" s="465" t="str">
        <f>法术数据!AE483</f>
        <v/>
      </c>
    </row>
    <row r="486" spans="11:12" x14ac:dyDescent="0.25">
      <c r="K486" s="462" t="str">
        <f>法术数据!AD484</f>
        <v/>
      </c>
      <c r="L486" s="463" t="str">
        <f>法术数据!AE484</f>
        <v/>
      </c>
    </row>
    <row r="487" spans="11:12" x14ac:dyDescent="0.25">
      <c r="K487" s="464" t="str">
        <f>法术数据!AD485</f>
        <v/>
      </c>
      <c r="L487" s="465" t="str">
        <f>法术数据!AE485</f>
        <v/>
      </c>
    </row>
    <row r="488" spans="11:12" x14ac:dyDescent="0.25">
      <c r="K488" s="462" t="str">
        <f>法术数据!AD486</f>
        <v/>
      </c>
      <c r="L488" s="463" t="str">
        <f>法术数据!AE486</f>
        <v/>
      </c>
    </row>
    <row r="489" spans="11:12" x14ac:dyDescent="0.25">
      <c r="K489" s="464" t="str">
        <f>法术数据!AD487</f>
        <v/>
      </c>
      <c r="L489" s="465" t="str">
        <f>法术数据!AE487</f>
        <v/>
      </c>
    </row>
    <row r="490" spans="11:12" x14ac:dyDescent="0.25">
      <c r="K490" s="462" t="str">
        <f>法术数据!AD488</f>
        <v/>
      </c>
      <c r="L490" s="463" t="str">
        <f>法术数据!AE488</f>
        <v/>
      </c>
    </row>
    <row r="491" spans="11:12" x14ac:dyDescent="0.25">
      <c r="K491" s="464" t="str">
        <f>法术数据!AD489</f>
        <v/>
      </c>
      <c r="L491" s="465" t="str">
        <f>法术数据!AE489</f>
        <v/>
      </c>
    </row>
    <row r="492" spans="11:12" x14ac:dyDescent="0.25">
      <c r="K492" s="462" t="str">
        <f>法术数据!AD490</f>
        <v/>
      </c>
      <c r="L492" s="463" t="str">
        <f>法术数据!AE490</f>
        <v/>
      </c>
    </row>
    <row r="493" spans="11:12" x14ac:dyDescent="0.25">
      <c r="K493" s="464" t="str">
        <f>法术数据!AD491</f>
        <v/>
      </c>
      <c r="L493" s="465" t="str">
        <f>法术数据!AE491</f>
        <v/>
      </c>
    </row>
    <row r="494" spans="11:12" x14ac:dyDescent="0.25">
      <c r="K494" s="462" t="str">
        <f>法术数据!AD492</f>
        <v/>
      </c>
      <c r="L494" s="463" t="str">
        <f>法术数据!AE492</f>
        <v/>
      </c>
    </row>
    <row r="495" spans="11:12" x14ac:dyDescent="0.25">
      <c r="K495" s="464" t="str">
        <f>法术数据!AD493</f>
        <v/>
      </c>
      <c r="L495" s="465" t="str">
        <f>法术数据!AE493</f>
        <v/>
      </c>
    </row>
    <row r="496" spans="11:12" x14ac:dyDescent="0.25">
      <c r="K496" s="462" t="str">
        <f>法术数据!AD494</f>
        <v/>
      </c>
      <c r="L496" s="463" t="str">
        <f>法术数据!AE494</f>
        <v/>
      </c>
    </row>
    <row r="497" spans="11:12" x14ac:dyDescent="0.25">
      <c r="K497" s="464" t="str">
        <f>法术数据!AD495</f>
        <v/>
      </c>
      <c r="L497" s="465" t="str">
        <f>法术数据!AE495</f>
        <v/>
      </c>
    </row>
    <row r="498" spans="11:12" x14ac:dyDescent="0.25">
      <c r="K498" s="462" t="str">
        <f>法术数据!AD496</f>
        <v/>
      </c>
      <c r="L498" s="463" t="str">
        <f>法术数据!AE496</f>
        <v/>
      </c>
    </row>
    <row r="499" spans="11:12" x14ac:dyDescent="0.25">
      <c r="K499" s="464" t="str">
        <f>法术数据!AD497</f>
        <v/>
      </c>
      <c r="L499" s="465" t="str">
        <f>法术数据!AE497</f>
        <v/>
      </c>
    </row>
    <row r="500" spans="11:12" x14ac:dyDescent="0.25">
      <c r="K500" s="462" t="str">
        <f>法术数据!AD498</f>
        <v/>
      </c>
      <c r="L500" s="463" t="str">
        <f>法术数据!AE498</f>
        <v/>
      </c>
    </row>
    <row r="501" spans="11:12" x14ac:dyDescent="0.25">
      <c r="K501" s="464" t="str">
        <f>法术数据!AD499</f>
        <v/>
      </c>
      <c r="L501" s="465" t="str">
        <f>法术数据!AE499</f>
        <v/>
      </c>
    </row>
    <row r="502" spans="11:12" x14ac:dyDescent="0.25">
      <c r="K502" s="462" t="str">
        <f>法术数据!AD500</f>
        <v/>
      </c>
      <c r="L502" s="463" t="str">
        <f>法术数据!AE500</f>
        <v/>
      </c>
    </row>
    <row r="503" spans="11:12" x14ac:dyDescent="0.25">
      <c r="K503" s="464" t="str">
        <f>法术数据!AD501</f>
        <v/>
      </c>
      <c r="L503" s="465" t="str">
        <f>法术数据!AE501</f>
        <v/>
      </c>
    </row>
    <row r="504" spans="11:12" x14ac:dyDescent="0.25">
      <c r="K504" s="462" t="str">
        <f>法术数据!AD502</f>
        <v/>
      </c>
      <c r="L504" s="463" t="str">
        <f>法术数据!AE502</f>
        <v/>
      </c>
    </row>
    <row r="505" spans="11:12" x14ac:dyDescent="0.25">
      <c r="K505" s="464" t="str">
        <f>法术数据!AD503</f>
        <v/>
      </c>
      <c r="L505" s="465" t="str">
        <f>法术数据!AE503</f>
        <v/>
      </c>
    </row>
    <row r="506" spans="11:12" x14ac:dyDescent="0.25">
      <c r="K506" s="462" t="str">
        <f>法术数据!AD504</f>
        <v/>
      </c>
      <c r="L506" s="463" t="str">
        <f>法术数据!AE504</f>
        <v/>
      </c>
    </row>
    <row r="507" spans="11:12" x14ac:dyDescent="0.25">
      <c r="K507" s="464" t="str">
        <f>法术数据!AD505</f>
        <v/>
      </c>
      <c r="L507" s="465" t="str">
        <f>法术数据!AE505</f>
        <v/>
      </c>
    </row>
    <row r="508" spans="11:12" x14ac:dyDescent="0.25">
      <c r="K508" s="462" t="str">
        <f>法术数据!AD506</f>
        <v/>
      </c>
      <c r="L508" s="463" t="str">
        <f>法术数据!AE506</f>
        <v/>
      </c>
    </row>
    <row r="509" spans="11:12" x14ac:dyDescent="0.25">
      <c r="K509" s="464" t="str">
        <f>法术数据!AD507</f>
        <v/>
      </c>
      <c r="L509" s="465" t="str">
        <f>法术数据!AE507</f>
        <v/>
      </c>
    </row>
    <row r="510" spans="11:12" x14ac:dyDescent="0.25">
      <c r="K510" s="462" t="str">
        <f>法术数据!AD508</f>
        <v/>
      </c>
      <c r="L510" s="463" t="str">
        <f>法术数据!AE508</f>
        <v/>
      </c>
    </row>
    <row r="511" spans="11:12" x14ac:dyDescent="0.25">
      <c r="K511" s="464" t="str">
        <f>法术数据!AD509</f>
        <v/>
      </c>
      <c r="L511" s="465" t="str">
        <f>法术数据!AE509</f>
        <v/>
      </c>
    </row>
    <row r="512" spans="11:12" x14ac:dyDescent="0.25">
      <c r="K512" s="462" t="str">
        <f>法术数据!AD510</f>
        <v/>
      </c>
      <c r="L512" s="463" t="str">
        <f>法术数据!AE510</f>
        <v/>
      </c>
    </row>
    <row r="513" spans="11:12" x14ac:dyDescent="0.25">
      <c r="K513" s="464" t="str">
        <f>法术数据!AD511</f>
        <v/>
      </c>
      <c r="L513" s="465" t="str">
        <f>法术数据!AE511</f>
        <v/>
      </c>
    </row>
    <row r="514" spans="11:12" x14ac:dyDescent="0.25">
      <c r="K514" s="462" t="str">
        <f>法术数据!AD512</f>
        <v/>
      </c>
      <c r="L514" s="463" t="str">
        <f>法术数据!AE512</f>
        <v/>
      </c>
    </row>
    <row r="515" spans="11:12" x14ac:dyDescent="0.25">
      <c r="K515" s="464" t="str">
        <f>法术数据!AD513</f>
        <v/>
      </c>
      <c r="L515" s="465" t="str">
        <f>法术数据!AE513</f>
        <v/>
      </c>
    </row>
    <row r="516" spans="11:12" x14ac:dyDescent="0.25">
      <c r="K516" s="462" t="str">
        <f>法术数据!AD514</f>
        <v/>
      </c>
      <c r="L516" s="463" t="str">
        <f>法术数据!AE514</f>
        <v/>
      </c>
    </row>
    <row r="517" spans="11:12" x14ac:dyDescent="0.25">
      <c r="K517" s="464" t="str">
        <f>法术数据!AD515</f>
        <v/>
      </c>
      <c r="L517" s="465" t="str">
        <f>法术数据!AE515</f>
        <v/>
      </c>
    </row>
    <row r="518" spans="11:12" x14ac:dyDescent="0.25">
      <c r="K518" s="468" t="str">
        <f>法术数据!AD516</f>
        <v/>
      </c>
      <c r="L518" s="469" t="str">
        <f>法术数据!AE516</f>
        <v/>
      </c>
    </row>
  </sheetData>
  <sheetProtection sheet="1" objects="1" scenarios="1"/>
  <mergeCells count="16">
    <mergeCell ref="B10:G14"/>
    <mergeCell ref="B15:G44"/>
    <mergeCell ref="I15:J15"/>
    <mergeCell ref="B3:G4"/>
    <mergeCell ref="N2:Q8"/>
    <mergeCell ref="N10:Q16"/>
    <mergeCell ref="A1:M1"/>
    <mergeCell ref="B9:E9"/>
    <mergeCell ref="B8:E8"/>
    <mergeCell ref="F5:G5"/>
    <mergeCell ref="I3:J3"/>
    <mergeCell ref="B6:G7"/>
    <mergeCell ref="F8:G8"/>
    <mergeCell ref="K3:L3"/>
    <mergeCell ref="B5:E5"/>
    <mergeCell ref="F9:G9"/>
  </mergeCells>
  <phoneticPr fontId="83" type="noConversion"/>
  <conditionalFormatting sqref="B5:G44">
    <cfRule type="expression" dxfId="11" priority="1">
      <formula>LEN($F$5)=0</formula>
    </cfRule>
  </conditionalFormatting>
  <conditionalFormatting sqref="B6:G7">
    <cfRule type="expression" dxfId="10" priority="3">
      <formula>COUNTIF($B$6,"*仪式）")</formula>
    </cfRule>
  </conditionalFormatting>
  <conditionalFormatting sqref="K4:L19">
    <cfRule type="expression" dxfId="9" priority="2">
      <formula>LEN($K4)=0</formula>
    </cfRule>
  </conditionalFormatting>
  <conditionalFormatting sqref="K20:L518">
    <cfRule type="expression" dxfId="8" priority="7">
      <formula>LEN($K20)=0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C00-000000000000}">
          <x14:formula1>
            <xm:f>OFFSET(法术数据!$AI$48, , ,SUMPRODUCT(N(LEN(法术数据!$AI$48:$AI$56)&gt;0)), )</xm:f>
          </x14:formula1>
          <xm:sqref>J4</xm:sqref>
        </x14:dataValidation>
        <x14:dataValidation type="list" allowBlank="1" showInputMessage="1" showErrorMessage="1" xr:uid="{00000000-0002-0000-0C00-000001000000}">
          <x14:formula1>
            <xm:f>OFFSET(法术数据!$AG$48, , ,SUMPRODUCT(N(LEN(法术数据!$AG$48:$AG$57)&gt;0)), )</xm:f>
          </x14:formula1>
          <xm:sqref>J5</xm:sqref>
        </x14:dataValidation>
        <x14:dataValidation type="list" allowBlank="1" showInputMessage="1" showErrorMessage="1" xr:uid="{00000000-0002-0000-0C00-000002000000}">
          <x14:formula1>
            <xm:f>法术数据!$AF$13:$AF$20</xm:f>
          </x14:formula1>
          <xm:sqref>J6</xm:sqref>
        </x14:dataValidation>
        <x14:dataValidation type="list" allowBlank="1" showInputMessage="1" showErrorMessage="1" xr:uid="{00000000-0002-0000-0C00-000003000000}">
          <x14:formula1>
            <xm:f>法术数据!$AG$13:$AG$21</xm:f>
          </x14:formula1>
          <xm:sqref>J7</xm:sqref>
        </x14:dataValidation>
        <x14:dataValidation type="list" allowBlank="1" showInputMessage="1" showErrorMessage="1" xr:uid="{00000000-0002-0000-0C00-000004000000}">
          <x14:formula1>
            <xm:f>法术数据!$AF$11:$AG$11</xm:f>
          </x14:formula1>
          <xm:sqref>J10:J11 J16:J19</xm:sqref>
        </x14:dataValidation>
        <x14:dataValidation type="list" allowBlank="1" showInputMessage="1" showErrorMessage="1" xr:uid="{00000000-0002-0000-0C00-000006000000}">
          <x14:formula1>
            <xm:f>法术数据!$AH$13:$AH$46</xm:f>
          </x14:formula1>
          <xm:sqref>J8</xm:sqref>
        </x14:dataValidation>
        <x14:dataValidation type="list" allowBlank="1" showInputMessage="1" showErrorMessage="1" xr:uid="{00000000-0002-0000-0C00-000007000000}">
          <x14:formula1>
            <xm:f>法术数据!$AI$13:$AI$26</xm:f>
          </x14:formula1>
          <xm:sqref>J9</xm:sqref>
        </x14:dataValidation>
        <x14:dataValidation type="list" allowBlank="1" showInputMessage="1" xr:uid="{00000000-0002-0000-0C00-000008000000}">
          <x14:formula1>
            <xm:f>OFFSET(法术数据!$AD$2, , ,SUMPRODUCT(N(LEN(法术数据!$AD$2:$AD$516)&gt;1)), )</xm:f>
          </x14:formula1>
          <xm:sqref>B3:G4</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sheetPr>
  <dimension ref="B1:AD141"/>
  <sheetViews>
    <sheetView workbookViewId="0">
      <selection activeCell="C3" sqref="C3"/>
    </sheetView>
  </sheetViews>
  <sheetFormatPr defaultColWidth="8.90625" defaultRowHeight="14.5" x14ac:dyDescent="0.25"/>
  <cols>
    <col min="1" max="1" width="2.36328125" style="470" customWidth="1"/>
    <col min="2" max="2" width="7.1796875" style="470" customWidth="1"/>
    <col min="3" max="3" width="3.7265625" style="470" customWidth="1"/>
    <col min="4" max="4" width="2.36328125" style="470" customWidth="1"/>
    <col min="5" max="5" width="8.1796875" style="470" customWidth="1"/>
    <col min="6" max="6" width="2.36328125" style="470" customWidth="1"/>
    <col min="7" max="7" width="8.7265625" style="470" customWidth="1"/>
    <col min="8" max="8" width="4.36328125" style="470" customWidth="1"/>
    <col min="9" max="9" width="2.36328125" style="470" customWidth="1"/>
    <col min="10" max="10" width="4.36328125" style="470" customWidth="1"/>
    <col min="11" max="11" width="2.36328125" style="470" customWidth="1"/>
    <col min="12" max="13" width="4.36328125" style="470" customWidth="1"/>
    <col min="14" max="16" width="2.36328125" style="470" customWidth="1"/>
    <col min="17" max="17" width="20.453125" style="470" customWidth="1"/>
    <col min="18" max="18" width="4.90625" style="470" customWidth="1"/>
    <col min="19" max="19" width="7.90625" style="471" customWidth="1"/>
    <col min="20" max="20" width="2.36328125" style="470" customWidth="1"/>
    <col min="21" max="30" width="3.08984375" style="470" customWidth="1"/>
    <col min="31" max="16384" width="8.90625" style="470"/>
  </cols>
  <sheetData>
    <row r="1" spans="2:30" ht="15" customHeight="1" x14ac:dyDescent="0.25">
      <c r="B1" s="1121" t="s">
        <v>8687</v>
      </c>
      <c r="C1" s="1122"/>
      <c r="D1" s="1122"/>
      <c r="E1" s="1123"/>
      <c r="G1" s="1126" t="s">
        <v>8688</v>
      </c>
      <c r="H1" s="1126"/>
      <c r="I1" s="1126"/>
      <c r="J1" s="1126"/>
      <c r="K1" s="1126"/>
      <c r="L1" s="1126"/>
      <c r="M1" s="1126"/>
      <c r="N1" s="1126"/>
      <c r="O1" s="1126"/>
      <c r="Q1" s="1121" t="s">
        <v>8689</v>
      </c>
      <c r="R1" s="1122"/>
      <c r="S1" s="1122"/>
      <c r="U1" s="1125" t="s">
        <v>8690</v>
      </c>
      <c r="V1" s="1126"/>
      <c r="W1" s="1126"/>
      <c r="X1" s="1126"/>
      <c r="Y1" s="1126"/>
      <c r="Z1" s="1126"/>
      <c r="AA1" s="1126"/>
      <c r="AB1" s="1126"/>
      <c r="AC1" s="1126"/>
      <c r="AD1" s="1126"/>
    </row>
    <row r="2" spans="2:30" x14ac:dyDescent="0.35">
      <c r="B2" s="472" t="s">
        <v>63</v>
      </c>
      <c r="C2" s="1131" t="s">
        <v>8691</v>
      </c>
      <c r="D2" s="1131"/>
      <c r="E2" s="472" t="s">
        <v>8692</v>
      </c>
      <c r="G2" s="473" t="s">
        <v>165</v>
      </c>
      <c r="H2" s="474" t="s">
        <v>218</v>
      </c>
      <c r="I2" s="1137" t="s">
        <v>1410</v>
      </c>
      <c r="J2" s="1137"/>
      <c r="K2" s="1137"/>
      <c r="L2" s="1119" t="s">
        <v>8693</v>
      </c>
      <c r="M2" s="1119"/>
      <c r="N2" s="1136">
        <v>0</v>
      </c>
      <c r="O2" s="1136"/>
      <c r="Q2" s="475" t="s">
        <v>8694</v>
      </c>
      <c r="R2" s="1138">
        <f>SUMPRODUCT(R4:R141,S4:S141)</f>
        <v>0</v>
      </c>
      <c r="S2" s="1139"/>
      <c r="U2" s="476"/>
      <c r="V2" s="1135" t="s">
        <v>8695</v>
      </c>
      <c r="W2" s="1140"/>
      <c r="X2" s="478"/>
      <c r="Y2" s="1134" t="s">
        <v>8696</v>
      </c>
      <c r="Z2" s="1135"/>
      <c r="AA2" s="477" t="s">
        <v>8697</v>
      </c>
      <c r="AB2" s="1124">
        <f>ROUND(U2*0.3048+X2*0.0254,2)</f>
        <v>0</v>
      </c>
      <c r="AC2" s="1124"/>
      <c r="AD2" s="477" t="s">
        <v>8698</v>
      </c>
    </row>
    <row r="3" spans="2:30" x14ac:dyDescent="0.35">
      <c r="B3" s="475" t="s">
        <v>71</v>
      </c>
      <c r="C3" s="478">
        <v>8</v>
      </c>
      <c r="D3" s="480"/>
      <c r="E3" s="480">
        <f>VLOOKUP(C3,综合数据!$T$2:$U$9,2,0)</f>
        <v>0</v>
      </c>
      <c r="G3" s="481" t="s">
        <v>1471</v>
      </c>
      <c r="H3" s="478">
        <v>0</v>
      </c>
      <c r="J3" s="480">
        <f>H3</f>
        <v>0</v>
      </c>
      <c r="L3" s="1119" t="s">
        <v>8699</v>
      </c>
      <c r="M3" s="1119"/>
      <c r="N3" s="1136">
        <f>N2-M5*2-M6*3-M7*5-M8*6-M9*7-M10*9-M11*10-M12*11-M13*13</f>
        <v>0</v>
      </c>
      <c r="O3" s="1136"/>
      <c r="Q3" s="482" t="s">
        <v>8700</v>
      </c>
      <c r="R3" s="483" t="s">
        <v>166</v>
      </c>
      <c r="S3" s="484" t="s">
        <v>8701</v>
      </c>
      <c r="U3" s="1130"/>
      <c r="V3" s="1130"/>
      <c r="W3" s="485" t="s">
        <v>8698</v>
      </c>
      <c r="X3" s="485" t="s">
        <v>8697</v>
      </c>
      <c r="Y3" s="479">
        <f>ROUNDDOWN(U3*3.2808399,0)+IF(U3*3.2808399-ROUNDDOWN(U3*3.2808399,0)&gt;23/24,1,0)</f>
        <v>0</v>
      </c>
      <c r="Z3" s="1135" t="s">
        <v>8695</v>
      </c>
      <c r="AA3" s="1135"/>
      <c r="AB3" s="479">
        <f>IF((U3*3.2808399-Y3)&lt;1/24,0,ROUND((U3*3.2808399-Y3)*12,0))</f>
        <v>0</v>
      </c>
      <c r="AC3" s="1135" t="s">
        <v>8696</v>
      </c>
      <c r="AD3" s="1135"/>
    </row>
    <row r="4" spans="2:30" ht="15" customHeight="1" x14ac:dyDescent="0.35">
      <c r="B4" s="475" t="s">
        <v>73</v>
      </c>
      <c r="C4" s="478">
        <v>8</v>
      </c>
      <c r="D4" s="480"/>
      <c r="E4" s="480">
        <f>VLOOKUP(C4,综合数据!$T$2:$U$9,2,0)</f>
        <v>0</v>
      </c>
      <c r="G4" s="481" t="s">
        <v>1501</v>
      </c>
      <c r="H4" s="478">
        <v>0</v>
      </c>
      <c r="J4" s="480">
        <f>H4</f>
        <v>0</v>
      </c>
      <c r="L4" s="474" t="s">
        <v>8702</v>
      </c>
      <c r="M4" s="1137" t="s">
        <v>8703</v>
      </c>
      <c r="N4" s="1137"/>
      <c r="Q4" s="486"/>
      <c r="R4" s="486"/>
      <c r="S4" s="487" t="str">
        <f>IFERROR(VLOOKUP(Q4,装备数据!S:W,2,0),"")</f>
        <v/>
      </c>
    </row>
    <row r="5" spans="2:30" ht="15" customHeight="1" x14ac:dyDescent="0.25">
      <c r="B5" s="475" t="s">
        <v>74</v>
      </c>
      <c r="C5" s="478">
        <v>8</v>
      </c>
      <c r="D5" s="480"/>
      <c r="E5" s="480">
        <f>VLOOKUP(C5,综合数据!$T$2:$U$9,2,0)</f>
        <v>0</v>
      </c>
      <c r="G5" s="481" t="s">
        <v>1531</v>
      </c>
      <c r="H5" s="478">
        <v>0</v>
      </c>
      <c r="J5" s="480">
        <f>H5</f>
        <v>0</v>
      </c>
      <c r="L5" s="475" t="s">
        <v>8704</v>
      </c>
      <c r="M5" s="1120">
        <v>0</v>
      </c>
      <c r="N5" s="1120"/>
      <c r="O5" s="470">
        <f>IF(J13&gt;=1,N2/2,0)</f>
        <v>0</v>
      </c>
      <c r="Q5" s="488"/>
      <c r="R5" s="488"/>
      <c r="S5" s="489" t="str">
        <f>IFERROR(VLOOKUP(Q5,装备数据!S:W,2,0),"")</f>
        <v/>
      </c>
      <c r="U5" s="1132"/>
      <c r="V5" s="1133"/>
      <c r="W5" s="477" t="s">
        <v>8705</v>
      </c>
      <c r="X5" s="477" t="s">
        <v>8697</v>
      </c>
      <c r="Y5" s="1124">
        <f>ROUND(U5*0.45359237,1)</f>
        <v>0</v>
      </c>
      <c r="Z5" s="1124"/>
      <c r="AA5" s="1135" t="s">
        <v>8706</v>
      </c>
      <c r="AB5" s="1135"/>
      <c r="AC5" s="485"/>
    </row>
    <row r="6" spans="2:30" ht="15" customHeight="1" x14ac:dyDescent="0.25">
      <c r="B6" s="475" t="s">
        <v>75</v>
      </c>
      <c r="C6" s="478">
        <v>8</v>
      </c>
      <c r="D6" s="480"/>
      <c r="E6" s="480">
        <f>VLOOKUP(C6,综合数据!$T$2:$U$9,2,0)</f>
        <v>0</v>
      </c>
      <c r="G6" s="481" t="s">
        <v>1565</v>
      </c>
      <c r="H6" s="478">
        <v>0</v>
      </c>
      <c r="J6" s="480">
        <f>IF(H6&gt;=3,IF(SUM(H3:H5)+ROUNDDOWN(H7/2, )+ROUNDDOWN(H8/2, )+IF(H9&lt;3,0,1)+H10+SUM(H11:H12)=0,ROUNDUP(H6/3, ),ROUNDDOWN(H6/3, )),0)</f>
        <v>0</v>
      </c>
      <c r="L6" s="475" t="s">
        <v>8707</v>
      </c>
      <c r="M6" s="1120">
        <v>0</v>
      </c>
      <c r="N6" s="1120"/>
      <c r="O6" s="470">
        <f>IF(J13&gt;=3,N2/3,0)</f>
        <v>0</v>
      </c>
      <c r="Q6" s="488"/>
      <c r="R6" s="488"/>
      <c r="S6" s="489" t="str">
        <f>IFERROR(VLOOKUP(Q6,装备数据!S:W,2,0),"")</f>
        <v/>
      </c>
      <c r="U6" s="1132"/>
      <c r="V6" s="1133"/>
      <c r="W6" s="1134" t="s">
        <v>8706</v>
      </c>
      <c r="X6" s="1135"/>
      <c r="Y6" s="477" t="s">
        <v>8697</v>
      </c>
      <c r="Z6" s="1124">
        <f>ROUND(U6*2.2046226,0)</f>
        <v>0</v>
      </c>
      <c r="AA6" s="1124"/>
      <c r="AB6" s="485" t="s">
        <v>8705</v>
      </c>
    </row>
    <row r="7" spans="2:30" ht="15" customHeight="1" x14ac:dyDescent="0.25">
      <c r="B7" s="475" t="s">
        <v>76</v>
      </c>
      <c r="C7" s="478">
        <v>8</v>
      </c>
      <c r="D7" s="480"/>
      <c r="E7" s="480">
        <f>VLOOKUP(C7,综合数据!$T$2:$U$9,2,0)</f>
        <v>0</v>
      </c>
      <c r="G7" s="481" t="s">
        <v>1614</v>
      </c>
      <c r="H7" s="478">
        <v>0</v>
      </c>
      <c r="J7" s="480">
        <f>IF(H7&gt;=2,IF(SUM(H3:H5)+IF(H6&lt;3,0,1)+ROUNDDOWN(H8/2, )+IF(H9&lt;3,0,1)+H10+SUM(H11:H12)=0,ROUNDUP(H7/2, ),ROUNDDOWN(H7/2, )),0)</f>
        <v>0</v>
      </c>
      <c r="L7" s="475" t="s">
        <v>8708</v>
      </c>
      <c r="M7" s="1120">
        <v>0</v>
      </c>
      <c r="N7" s="1120"/>
      <c r="O7" s="470">
        <f>IF(J13&gt;=5,N2/5,0)</f>
        <v>0</v>
      </c>
      <c r="Q7" s="488"/>
      <c r="R7" s="488"/>
      <c r="S7" s="489" t="str">
        <f>IFERROR(VLOOKUP(Q7,装备数据!S:W,2,0),"")</f>
        <v/>
      </c>
    </row>
    <row r="8" spans="2:30" ht="15" customHeight="1" x14ac:dyDescent="0.25">
      <c r="B8" s="475" t="s">
        <v>77</v>
      </c>
      <c r="C8" s="478">
        <v>8</v>
      </c>
      <c r="D8" s="480"/>
      <c r="E8" s="480">
        <f>VLOOKUP(C8,综合数据!$T$2:$U$9,2,0)</f>
        <v>0</v>
      </c>
      <c r="G8" s="481" t="s">
        <v>1623</v>
      </c>
      <c r="H8" s="478">
        <v>0</v>
      </c>
      <c r="J8" s="480">
        <f>IF(H8&gt;=2,IF(SUM(H3:H5)+IF(H6=0,0,1)+ROUNDDOWN(H7/2, )+IF(H9=0,0,1)+H10+SUM(H11:H12)=0,ROUNDUP(H8/2, ),ROUNDDOWN(H8/2, )),0)</f>
        <v>0</v>
      </c>
      <c r="L8" s="475" t="s">
        <v>8709</v>
      </c>
      <c r="M8" s="1120">
        <v>0</v>
      </c>
      <c r="N8" s="1120"/>
      <c r="O8" s="470">
        <f>IF(J13&gt;=7,N2/6,0)</f>
        <v>0</v>
      </c>
      <c r="Q8" s="488"/>
      <c r="R8" s="488"/>
      <c r="S8" s="489" t="str">
        <f>IFERROR(VLOOKUP(Q8,装备数据!S:W,2,0),"")</f>
        <v/>
      </c>
    </row>
    <row r="9" spans="2:30" ht="15" customHeight="1" x14ac:dyDescent="0.25">
      <c r="B9" s="1127" t="s">
        <v>8710</v>
      </c>
      <c r="C9" s="1128"/>
      <c r="D9" s="1129"/>
      <c r="E9" s="480">
        <f>SUM(E3:E8)</f>
        <v>0</v>
      </c>
      <c r="G9" s="481" t="s">
        <v>1635</v>
      </c>
      <c r="H9" s="478">
        <v>0</v>
      </c>
      <c r="J9" s="480">
        <f>IF(H9&gt;=3,IF(SUM(H3:H5)+IF(H6=0,0,1)+ROUNDDOWN(H7/2, )+ROUNDDOWN(H8/2, )+H10+SUM(H11:H12)=0,ROUNDUP(H9/3, ),ROUNDDOWN(H9/3, )),0)</f>
        <v>0</v>
      </c>
      <c r="L9" s="475" t="s">
        <v>8711</v>
      </c>
      <c r="M9" s="1120">
        <v>0</v>
      </c>
      <c r="N9" s="1120"/>
      <c r="O9" s="470">
        <f>IF(J13&gt;=9,N2/7,0)</f>
        <v>0</v>
      </c>
      <c r="Q9" s="488"/>
      <c r="R9" s="488"/>
      <c r="S9" s="489" t="str">
        <f>IFERROR(VLOOKUP(Q9,装备数据!S:W,2,0),"")</f>
        <v/>
      </c>
    </row>
    <row r="10" spans="2:30" ht="15" customHeight="1" x14ac:dyDescent="0.25">
      <c r="G10" s="481" t="s">
        <v>1642</v>
      </c>
      <c r="H10" s="478">
        <v>0</v>
      </c>
      <c r="J10" s="480">
        <f>H10</f>
        <v>0</v>
      </c>
      <c r="L10" s="475" t="s">
        <v>8712</v>
      </c>
      <c r="M10" s="1120">
        <v>0</v>
      </c>
      <c r="N10" s="1120"/>
      <c r="O10" s="470">
        <f>IF(J13&gt;=11,1,0)</f>
        <v>0</v>
      </c>
      <c r="Q10" s="488"/>
      <c r="R10" s="488"/>
      <c r="S10" s="489" t="str">
        <f>IFERROR(VLOOKUP(Q10,装备数据!S:W,2,0),"")</f>
        <v/>
      </c>
    </row>
    <row r="11" spans="2:30" ht="15" customHeight="1" x14ac:dyDescent="0.25">
      <c r="G11" s="481" t="s">
        <v>1655</v>
      </c>
      <c r="H11" s="478">
        <v>0</v>
      </c>
      <c r="J11" s="480">
        <f>H11</f>
        <v>0</v>
      </c>
      <c r="L11" s="475" t="s">
        <v>8713</v>
      </c>
      <c r="M11" s="1120">
        <v>0</v>
      </c>
      <c r="N11" s="1120"/>
      <c r="O11" s="470">
        <f>IF(J13&gt;=13,1,0)</f>
        <v>0</v>
      </c>
      <c r="Q11" s="488"/>
      <c r="R11" s="488"/>
      <c r="S11" s="489" t="str">
        <f>IFERROR(VLOOKUP(Q11,装备数据!S:W,2,0),"")</f>
        <v/>
      </c>
    </row>
    <row r="12" spans="2:30" ht="15" customHeight="1" x14ac:dyDescent="0.25">
      <c r="G12" s="481" t="s">
        <v>1668</v>
      </c>
      <c r="H12" s="478">
        <v>0</v>
      </c>
      <c r="J12" s="480">
        <f>ROUNDUP(H12/2, )</f>
        <v>0</v>
      </c>
      <c r="L12" s="475" t="s">
        <v>8714</v>
      </c>
      <c r="M12" s="1120">
        <v>0</v>
      </c>
      <c r="N12" s="1120"/>
      <c r="O12" s="470">
        <f>IF(J13&gt;=15,1,0)</f>
        <v>0</v>
      </c>
      <c r="Q12" s="488"/>
      <c r="R12" s="488"/>
      <c r="S12" s="489" t="str">
        <f>IFERROR(VLOOKUP(Q12,装备数据!S:W,2,0),"")</f>
        <v/>
      </c>
    </row>
    <row r="13" spans="2:30" ht="15" customHeight="1" x14ac:dyDescent="0.25">
      <c r="G13" s="1117" t="s">
        <v>8715</v>
      </c>
      <c r="H13" s="1118"/>
      <c r="I13" s="1118"/>
      <c r="J13" s="480">
        <f>SUM(J3:J12)</f>
        <v>0</v>
      </c>
      <c r="L13" s="475" t="s">
        <v>8716</v>
      </c>
      <c r="M13" s="1120">
        <v>0</v>
      </c>
      <c r="N13" s="1120"/>
      <c r="O13" s="470">
        <f>IF(J13&gt;=17,1,0)</f>
        <v>0</v>
      </c>
      <c r="Q13" s="488"/>
      <c r="R13" s="488"/>
      <c r="S13" s="489" t="str">
        <f>IFERROR(VLOOKUP(Q13,装备数据!S:W,2,0),"")</f>
        <v/>
      </c>
    </row>
    <row r="14" spans="2:30" x14ac:dyDescent="0.25">
      <c r="Q14" s="488"/>
      <c r="R14" s="488"/>
      <c r="S14" s="489" t="str">
        <f>IFERROR(VLOOKUP(Q14,装备数据!S:W,2,0),"")</f>
        <v/>
      </c>
    </row>
    <row r="15" spans="2:30" x14ac:dyDescent="0.25">
      <c r="Q15" s="488"/>
      <c r="R15" s="488"/>
      <c r="S15" s="489" t="str">
        <f>IFERROR(VLOOKUP(Q15,装备数据!S:W,2,0),"")</f>
        <v/>
      </c>
    </row>
    <row r="16" spans="2:30" x14ac:dyDescent="0.25">
      <c r="Q16" s="488"/>
      <c r="R16" s="488"/>
      <c r="S16" s="489" t="str">
        <f>IFERROR(VLOOKUP(Q16,装备数据!S:W,2,0),"")</f>
        <v/>
      </c>
    </row>
    <row r="17" spans="17:19" x14ac:dyDescent="0.25">
      <c r="Q17" s="488"/>
      <c r="R17" s="488"/>
      <c r="S17" s="489" t="str">
        <f>IFERROR(VLOOKUP(Q17,装备数据!S:W,2,0),"")</f>
        <v/>
      </c>
    </row>
    <row r="18" spans="17:19" x14ac:dyDescent="0.25">
      <c r="Q18" s="488"/>
      <c r="R18" s="488"/>
      <c r="S18" s="489" t="str">
        <f>IFERROR(VLOOKUP(Q18,装备数据!S:W,2,0),"")</f>
        <v/>
      </c>
    </row>
    <row r="19" spans="17:19" x14ac:dyDescent="0.25">
      <c r="Q19" s="488"/>
      <c r="R19" s="488"/>
      <c r="S19" s="489" t="str">
        <f>IFERROR(VLOOKUP(Q19,装备数据!S:W,2,0),"")</f>
        <v/>
      </c>
    </row>
    <row r="20" spans="17:19" x14ac:dyDescent="0.25">
      <c r="Q20" s="488"/>
      <c r="R20" s="488"/>
      <c r="S20" s="489" t="str">
        <f>IFERROR(VLOOKUP(Q20,装备数据!S:W,2,0),"")</f>
        <v/>
      </c>
    </row>
    <row r="21" spans="17:19" x14ac:dyDescent="0.25">
      <c r="Q21" s="488"/>
      <c r="R21" s="488"/>
      <c r="S21" s="489" t="str">
        <f>IFERROR(VLOOKUP(Q21,装备数据!S:W,2,0),"")</f>
        <v/>
      </c>
    </row>
    <row r="22" spans="17:19" x14ac:dyDescent="0.25">
      <c r="Q22" s="488"/>
      <c r="R22" s="488"/>
      <c r="S22" s="489" t="str">
        <f>IFERROR(VLOOKUP(Q22,装备数据!S:W,2,0),"")</f>
        <v/>
      </c>
    </row>
    <row r="23" spans="17:19" x14ac:dyDescent="0.25">
      <c r="Q23" s="488"/>
      <c r="R23" s="488"/>
      <c r="S23" s="489" t="str">
        <f>IFERROR(VLOOKUP(Q23,装备数据!S:W,2,0),"")</f>
        <v/>
      </c>
    </row>
    <row r="24" spans="17:19" x14ac:dyDescent="0.25">
      <c r="Q24" s="488"/>
      <c r="R24" s="488"/>
      <c r="S24" s="489" t="str">
        <f>IFERROR(VLOOKUP(Q24,装备数据!S:W,2,0),"")</f>
        <v/>
      </c>
    </row>
    <row r="25" spans="17:19" x14ac:dyDescent="0.25">
      <c r="Q25" s="488"/>
      <c r="R25" s="488"/>
      <c r="S25" s="489" t="str">
        <f>IFERROR(VLOOKUP(Q25,装备数据!S:W,2,0),"")</f>
        <v/>
      </c>
    </row>
    <row r="26" spans="17:19" x14ac:dyDescent="0.25">
      <c r="Q26" s="488"/>
      <c r="R26" s="488"/>
      <c r="S26" s="489" t="str">
        <f>IFERROR(VLOOKUP(Q26,装备数据!S:W,2,0),"")</f>
        <v/>
      </c>
    </row>
    <row r="27" spans="17:19" x14ac:dyDescent="0.25">
      <c r="Q27" s="488"/>
      <c r="R27" s="488"/>
      <c r="S27" s="489" t="str">
        <f>IFERROR(VLOOKUP(Q27,装备数据!S:W,2,0),"")</f>
        <v/>
      </c>
    </row>
    <row r="28" spans="17:19" x14ac:dyDescent="0.25">
      <c r="Q28" s="488"/>
      <c r="R28" s="488"/>
      <c r="S28" s="489" t="str">
        <f>IFERROR(VLOOKUP(Q28,装备数据!S:W,2,0),"")</f>
        <v/>
      </c>
    </row>
    <row r="29" spans="17:19" x14ac:dyDescent="0.25">
      <c r="Q29" s="488"/>
      <c r="R29" s="488"/>
      <c r="S29" s="489" t="str">
        <f>IFERROR(VLOOKUP(Q29,装备数据!S:W,2,0),"")</f>
        <v/>
      </c>
    </row>
    <row r="30" spans="17:19" x14ac:dyDescent="0.25">
      <c r="Q30" s="488"/>
      <c r="R30" s="488"/>
      <c r="S30" s="489" t="str">
        <f>IFERROR(VLOOKUP(Q30,装备数据!S:W,2,0),"")</f>
        <v/>
      </c>
    </row>
    <row r="31" spans="17:19" x14ac:dyDescent="0.25">
      <c r="Q31" s="488"/>
      <c r="R31" s="488"/>
      <c r="S31" s="489" t="str">
        <f>IFERROR(VLOOKUP(Q31,装备数据!S:W,2,0),"")</f>
        <v/>
      </c>
    </row>
    <row r="32" spans="17:19" x14ac:dyDescent="0.25">
      <c r="Q32" s="488"/>
      <c r="R32" s="488"/>
      <c r="S32" s="489" t="str">
        <f>IFERROR(VLOOKUP(Q32,装备数据!S:W,2,0),"")</f>
        <v/>
      </c>
    </row>
    <row r="33" spans="17:19" x14ac:dyDescent="0.25">
      <c r="Q33" s="488"/>
      <c r="R33" s="488"/>
      <c r="S33" s="489" t="str">
        <f>IFERROR(VLOOKUP(Q33,装备数据!S:W,2,0),"")</f>
        <v/>
      </c>
    </row>
    <row r="34" spans="17:19" x14ac:dyDescent="0.25">
      <c r="Q34" s="488"/>
      <c r="R34" s="488"/>
      <c r="S34" s="489" t="str">
        <f>IFERROR(VLOOKUP(Q34,装备数据!S:W,2,0),"")</f>
        <v/>
      </c>
    </row>
    <row r="35" spans="17:19" x14ac:dyDescent="0.25">
      <c r="Q35" s="488"/>
      <c r="R35" s="488"/>
      <c r="S35" s="489" t="str">
        <f>IFERROR(VLOOKUP(Q35,装备数据!S:W,2,0),"")</f>
        <v/>
      </c>
    </row>
    <row r="36" spans="17:19" x14ac:dyDescent="0.25">
      <c r="Q36" s="488"/>
      <c r="R36" s="488"/>
      <c r="S36" s="489" t="str">
        <f>IFERROR(VLOOKUP(Q36,装备数据!S:W,2,0),"")</f>
        <v/>
      </c>
    </row>
    <row r="37" spans="17:19" x14ac:dyDescent="0.25">
      <c r="Q37" s="488"/>
      <c r="R37" s="488"/>
      <c r="S37" s="489" t="str">
        <f>IFERROR(VLOOKUP(Q37,装备数据!S:W,2,0),"")</f>
        <v/>
      </c>
    </row>
    <row r="38" spans="17:19" x14ac:dyDescent="0.25">
      <c r="Q38" s="488"/>
      <c r="R38" s="488"/>
      <c r="S38" s="489" t="str">
        <f>IFERROR(VLOOKUP(Q38,装备数据!S:W,2,0),"")</f>
        <v/>
      </c>
    </row>
    <row r="39" spans="17:19" x14ac:dyDescent="0.25">
      <c r="Q39" s="488"/>
      <c r="R39" s="488"/>
      <c r="S39" s="489" t="str">
        <f>IFERROR(VLOOKUP(Q39,装备数据!S:W,2,0),"")</f>
        <v/>
      </c>
    </row>
    <row r="40" spans="17:19" x14ac:dyDescent="0.25">
      <c r="Q40" s="488"/>
      <c r="R40" s="488"/>
      <c r="S40" s="489" t="str">
        <f>IFERROR(VLOOKUP(Q40,装备数据!S:W,2,0),"")</f>
        <v/>
      </c>
    </row>
    <row r="41" spans="17:19" x14ac:dyDescent="0.25">
      <c r="Q41" s="488"/>
      <c r="R41" s="488"/>
      <c r="S41" s="489" t="str">
        <f>IFERROR(VLOOKUP(Q41,装备数据!S:W,2,0),"")</f>
        <v/>
      </c>
    </row>
    <row r="42" spans="17:19" x14ac:dyDescent="0.25">
      <c r="Q42" s="488"/>
      <c r="R42" s="488"/>
      <c r="S42" s="489" t="str">
        <f>IFERROR(VLOOKUP(Q42,装备数据!S:W,2,0),"")</f>
        <v/>
      </c>
    </row>
    <row r="43" spans="17:19" x14ac:dyDescent="0.25">
      <c r="Q43" s="488"/>
      <c r="R43" s="488"/>
      <c r="S43" s="489" t="str">
        <f>IFERROR(VLOOKUP(Q43,装备数据!S:W,2,0),"")</f>
        <v/>
      </c>
    </row>
    <row r="44" spans="17:19" x14ac:dyDescent="0.25">
      <c r="Q44" s="488"/>
      <c r="R44" s="488"/>
      <c r="S44" s="489" t="str">
        <f>IFERROR(VLOOKUP(Q44,装备数据!S:W,2,0),"")</f>
        <v/>
      </c>
    </row>
    <row r="45" spans="17:19" x14ac:dyDescent="0.25">
      <c r="Q45" s="488"/>
      <c r="R45" s="488"/>
      <c r="S45" s="489" t="str">
        <f>IFERROR(VLOOKUP(Q45,装备数据!S:W,2,0),"")</f>
        <v/>
      </c>
    </row>
    <row r="46" spans="17:19" x14ac:dyDescent="0.25">
      <c r="Q46" s="488"/>
      <c r="R46" s="488"/>
      <c r="S46" s="489" t="str">
        <f>IFERROR(VLOOKUP(Q46,装备数据!S:W,2,0),"")</f>
        <v/>
      </c>
    </row>
    <row r="47" spans="17:19" x14ac:dyDescent="0.25">
      <c r="Q47" s="488"/>
      <c r="R47" s="488"/>
      <c r="S47" s="489" t="str">
        <f>IFERROR(VLOOKUP(Q47,装备数据!S:W,2,0),"")</f>
        <v/>
      </c>
    </row>
    <row r="48" spans="17:19" x14ac:dyDescent="0.25">
      <c r="Q48" s="488"/>
      <c r="R48" s="488"/>
      <c r="S48" s="489" t="str">
        <f>IFERROR(VLOOKUP(Q48,装备数据!S:W,2,0),"")</f>
        <v/>
      </c>
    </row>
    <row r="49" spans="17:19" x14ac:dyDescent="0.25">
      <c r="Q49" s="488"/>
      <c r="R49" s="488"/>
      <c r="S49" s="489" t="str">
        <f>IFERROR(VLOOKUP(Q49,装备数据!S:W,2,0),"")</f>
        <v/>
      </c>
    </row>
    <row r="50" spans="17:19" x14ac:dyDescent="0.25">
      <c r="Q50" s="488"/>
      <c r="R50" s="488"/>
      <c r="S50" s="489" t="str">
        <f>IFERROR(VLOOKUP(Q50,装备数据!S:W,2,0),"")</f>
        <v/>
      </c>
    </row>
    <row r="51" spans="17:19" x14ac:dyDescent="0.25">
      <c r="Q51" s="488"/>
      <c r="R51" s="488"/>
      <c r="S51" s="489" t="str">
        <f>IFERROR(VLOOKUP(Q51,装备数据!S:W,2,0),"")</f>
        <v/>
      </c>
    </row>
    <row r="52" spans="17:19" x14ac:dyDescent="0.25">
      <c r="Q52" s="488"/>
      <c r="R52" s="488"/>
      <c r="S52" s="489" t="str">
        <f>IFERROR(VLOOKUP(Q52,装备数据!S:W,2,0),"")</f>
        <v/>
      </c>
    </row>
    <row r="53" spans="17:19" x14ac:dyDescent="0.25">
      <c r="Q53" s="488"/>
      <c r="R53" s="488"/>
      <c r="S53" s="489" t="str">
        <f>IFERROR(VLOOKUP(Q53,装备数据!S:W,2,0),"")</f>
        <v/>
      </c>
    </row>
    <row r="54" spans="17:19" x14ac:dyDescent="0.25">
      <c r="Q54" s="488"/>
      <c r="R54" s="488"/>
      <c r="S54" s="489" t="str">
        <f>IFERROR(VLOOKUP(Q54,装备数据!S:W,2,0),"")</f>
        <v/>
      </c>
    </row>
    <row r="55" spans="17:19" x14ac:dyDescent="0.25">
      <c r="Q55" s="488"/>
      <c r="R55" s="488"/>
      <c r="S55" s="489" t="str">
        <f>IFERROR(VLOOKUP(Q55,装备数据!S:W,2,0),"")</f>
        <v/>
      </c>
    </row>
    <row r="56" spans="17:19" x14ac:dyDescent="0.25">
      <c r="Q56" s="488"/>
      <c r="R56" s="488"/>
      <c r="S56" s="489" t="str">
        <f>IFERROR(VLOOKUP(Q56,装备数据!S:W,2,0),"")</f>
        <v/>
      </c>
    </row>
    <row r="57" spans="17:19" x14ac:dyDescent="0.25">
      <c r="Q57" s="488"/>
      <c r="R57" s="488"/>
      <c r="S57" s="489" t="str">
        <f>IFERROR(VLOOKUP(Q57,装备数据!S:W,2,0),"")</f>
        <v/>
      </c>
    </row>
    <row r="58" spans="17:19" x14ac:dyDescent="0.25">
      <c r="Q58" s="488"/>
      <c r="R58" s="488"/>
      <c r="S58" s="489" t="str">
        <f>IFERROR(VLOOKUP(Q58,装备数据!S:W,2,0),"")</f>
        <v/>
      </c>
    </row>
    <row r="59" spans="17:19" x14ac:dyDescent="0.25">
      <c r="Q59" s="488"/>
      <c r="R59" s="488"/>
      <c r="S59" s="489" t="str">
        <f>IFERROR(VLOOKUP(Q59,装备数据!S:W,2,0),"")</f>
        <v/>
      </c>
    </row>
    <row r="60" spans="17:19" x14ac:dyDescent="0.25">
      <c r="Q60" s="488"/>
      <c r="R60" s="488"/>
      <c r="S60" s="489" t="str">
        <f>IFERROR(VLOOKUP(Q60,装备数据!S:W,2,0),"")</f>
        <v/>
      </c>
    </row>
    <row r="61" spans="17:19" x14ac:dyDescent="0.25">
      <c r="Q61" s="488"/>
      <c r="R61" s="488"/>
      <c r="S61" s="489" t="str">
        <f>IFERROR(VLOOKUP(Q61,装备数据!S:W,2,0),"")</f>
        <v/>
      </c>
    </row>
    <row r="62" spans="17:19" x14ac:dyDescent="0.25">
      <c r="Q62" s="488"/>
      <c r="R62" s="488"/>
      <c r="S62" s="489" t="str">
        <f>IFERROR(VLOOKUP(Q62,装备数据!S:W,2,0),"")</f>
        <v/>
      </c>
    </row>
    <row r="63" spans="17:19" x14ac:dyDescent="0.25">
      <c r="Q63" s="488"/>
      <c r="R63" s="488"/>
      <c r="S63" s="489" t="str">
        <f>IFERROR(VLOOKUP(Q63,装备数据!S:W,2,0),"")</f>
        <v/>
      </c>
    </row>
    <row r="64" spans="17:19" x14ac:dyDescent="0.25">
      <c r="Q64" s="488"/>
      <c r="R64" s="488"/>
      <c r="S64" s="489" t="str">
        <f>IFERROR(VLOOKUP(Q64,装备数据!S:W,2,0),"")</f>
        <v/>
      </c>
    </row>
    <row r="65" spans="17:19" x14ac:dyDescent="0.25">
      <c r="Q65" s="488"/>
      <c r="R65" s="488"/>
      <c r="S65" s="489" t="str">
        <f>IFERROR(VLOOKUP(Q65,装备数据!S:W,2,0),"")</f>
        <v/>
      </c>
    </row>
    <row r="66" spans="17:19" x14ac:dyDescent="0.25">
      <c r="Q66" s="488"/>
      <c r="R66" s="488"/>
      <c r="S66" s="489" t="str">
        <f>IFERROR(VLOOKUP(Q66,装备数据!S:W,2,0),"")</f>
        <v/>
      </c>
    </row>
    <row r="67" spans="17:19" x14ac:dyDescent="0.25">
      <c r="Q67" s="488"/>
      <c r="R67" s="488"/>
      <c r="S67" s="489" t="str">
        <f>IFERROR(VLOOKUP(Q67,装备数据!S:W,2,0),"")</f>
        <v/>
      </c>
    </row>
    <row r="68" spans="17:19" x14ac:dyDescent="0.25">
      <c r="Q68" s="488"/>
      <c r="R68" s="488"/>
      <c r="S68" s="489" t="str">
        <f>IFERROR(VLOOKUP(Q68,装备数据!S:W,2,0),"")</f>
        <v/>
      </c>
    </row>
    <row r="69" spans="17:19" x14ac:dyDescent="0.25">
      <c r="Q69" s="488"/>
      <c r="R69" s="488"/>
      <c r="S69" s="489" t="str">
        <f>IFERROR(VLOOKUP(Q69,装备数据!S:W,2,0),"")</f>
        <v/>
      </c>
    </row>
    <row r="70" spans="17:19" x14ac:dyDescent="0.25">
      <c r="Q70" s="488"/>
      <c r="R70" s="488"/>
      <c r="S70" s="489" t="str">
        <f>IFERROR(VLOOKUP(Q70,装备数据!S:W,2,0),"")</f>
        <v/>
      </c>
    </row>
    <row r="71" spans="17:19" x14ac:dyDescent="0.25">
      <c r="Q71" s="488"/>
      <c r="R71" s="488"/>
      <c r="S71" s="489" t="str">
        <f>IFERROR(VLOOKUP(Q71,装备数据!S:W,2,0),"")</f>
        <v/>
      </c>
    </row>
    <row r="72" spans="17:19" x14ac:dyDescent="0.25">
      <c r="Q72" s="488"/>
      <c r="R72" s="488"/>
      <c r="S72" s="489" t="str">
        <f>IFERROR(VLOOKUP(Q72,装备数据!S:W,2,0),"")</f>
        <v/>
      </c>
    </row>
    <row r="73" spans="17:19" x14ac:dyDescent="0.25">
      <c r="Q73" s="488"/>
      <c r="R73" s="488"/>
      <c r="S73" s="489" t="str">
        <f>IFERROR(VLOOKUP(Q73,装备数据!S:W,2,0),"")</f>
        <v/>
      </c>
    </row>
    <row r="74" spans="17:19" x14ac:dyDescent="0.25">
      <c r="Q74" s="488"/>
      <c r="R74" s="488"/>
      <c r="S74" s="489" t="str">
        <f>IFERROR(VLOOKUP(Q74,装备数据!S:W,2,0),"")</f>
        <v/>
      </c>
    </row>
    <row r="75" spans="17:19" x14ac:dyDescent="0.25">
      <c r="Q75" s="488"/>
      <c r="R75" s="488"/>
      <c r="S75" s="489" t="str">
        <f>IFERROR(VLOOKUP(Q75,装备数据!S:W,2,0),"")</f>
        <v/>
      </c>
    </row>
    <row r="76" spans="17:19" x14ac:dyDescent="0.25">
      <c r="Q76" s="488"/>
      <c r="R76" s="488"/>
      <c r="S76" s="489" t="str">
        <f>IFERROR(VLOOKUP(Q76,装备数据!S:W,2,0),"")</f>
        <v/>
      </c>
    </row>
    <row r="77" spans="17:19" x14ac:dyDescent="0.25">
      <c r="Q77" s="488"/>
      <c r="R77" s="488"/>
      <c r="S77" s="489" t="str">
        <f>IFERROR(VLOOKUP(Q77,装备数据!S:W,2,0),"")</f>
        <v/>
      </c>
    </row>
    <row r="78" spans="17:19" x14ac:dyDescent="0.25">
      <c r="Q78" s="488"/>
      <c r="R78" s="488"/>
      <c r="S78" s="489" t="str">
        <f>IFERROR(VLOOKUP(Q78,装备数据!S:W,2,0),"")</f>
        <v/>
      </c>
    </row>
    <row r="79" spans="17:19" x14ac:dyDescent="0.25">
      <c r="Q79" s="488"/>
      <c r="R79" s="488"/>
      <c r="S79" s="489" t="str">
        <f>IFERROR(VLOOKUP(Q79,装备数据!S:W,2,0),"")</f>
        <v/>
      </c>
    </row>
    <row r="80" spans="17:19" x14ac:dyDescent="0.25">
      <c r="Q80" s="488"/>
      <c r="R80" s="488"/>
      <c r="S80" s="489" t="str">
        <f>IFERROR(VLOOKUP(Q80,装备数据!S:W,2,0),"")</f>
        <v/>
      </c>
    </row>
    <row r="81" spans="17:19" x14ac:dyDescent="0.25">
      <c r="Q81" s="488"/>
      <c r="R81" s="488"/>
      <c r="S81" s="489" t="str">
        <f>IFERROR(VLOOKUP(Q81,装备数据!S:W,2,0),"")</f>
        <v/>
      </c>
    </row>
    <row r="82" spans="17:19" x14ac:dyDescent="0.25">
      <c r="Q82" s="488"/>
      <c r="R82" s="488"/>
      <c r="S82" s="489" t="str">
        <f>IFERROR(VLOOKUP(Q82,装备数据!S:W,2,0),"")</f>
        <v/>
      </c>
    </row>
    <row r="83" spans="17:19" x14ac:dyDescent="0.25">
      <c r="Q83" s="488"/>
      <c r="R83" s="488"/>
      <c r="S83" s="489" t="str">
        <f>IFERROR(VLOOKUP(Q83,装备数据!S:W,2,0),"")</f>
        <v/>
      </c>
    </row>
    <row r="84" spans="17:19" x14ac:dyDescent="0.25">
      <c r="Q84" s="488"/>
      <c r="R84" s="488"/>
      <c r="S84" s="489" t="str">
        <f>IFERROR(VLOOKUP(Q84,装备数据!S:W,2,0),"")</f>
        <v/>
      </c>
    </row>
    <row r="85" spans="17:19" x14ac:dyDescent="0.25">
      <c r="Q85" s="488"/>
      <c r="R85" s="488"/>
      <c r="S85" s="489" t="str">
        <f>IFERROR(VLOOKUP(Q85,装备数据!S:W,2,0),"")</f>
        <v/>
      </c>
    </row>
    <row r="86" spans="17:19" x14ac:dyDescent="0.25">
      <c r="Q86" s="488"/>
      <c r="R86" s="488"/>
      <c r="S86" s="489" t="str">
        <f>IFERROR(VLOOKUP(Q86,装备数据!S:W,2,0),"")</f>
        <v/>
      </c>
    </row>
    <row r="87" spans="17:19" x14ac:dyDescent="0.25">
      <c r="Q87" s="488"/>
      <c r="R87" s="488"/>
      <c r="S87" s="489" t="str">
        <f>IFERROR(VLOOKUP(Q87,装备数据!S:W,2,0),"")</f>
        <v/>
      </c>
    </row>
    <row r="88" spans="17:19" x14ac:dyDescent="0.25">
      <c r="Q88" s="488"/>
      <c r="R88" s="488"/>
      <c r="S88" s="489" t="str">
        <f>IFERROR(VLOOKUP(Q88,装备数据!S:W,2,0),"")</f>
        <v/>
      </c>
    </row>
    <row r="89" spans="17:19" x14ac:dyDescent="0.25">
      <c r="Q89" s="488"/>
      <c r="R89" s="488"/>
      <c r="S89" s="489" t="str">
        <f>IFERROR(VLOOKUP(Q89,装备数据!S:W,2,0),"")</f>
        <v/>
      </c>
    </row>
    <row r="90" spans="17:19" x14ac:dyDescent="0.25">
      <c r="Q90" s="488"/>
      <c r="R90" s="488"/>
      <c r="S90" s="489" t="str">
        <f>IFERROR(VLOOKUP(Q90,装备数据!S:W,2,0),"")</f>
        <v/>
      </c>
    </row>
    <row r="91" spans="17:19" x14ac:dyDescent="0.25">
      <c r="Q91" s="488"/>
      <c r="R91" s="488"/>
      <c r="S91" s="489" t="str">
        <f>IFERROR(VLOOKUP(Q91,装备数据!S:W,2,0),"")</f>
        <v/>
      </c>
    </row>
    <row r="92" spans="17:19" x14ac:dyDescent="0.25">
      <c r="Q92" s="488"/>
      <c r="R92" s="488"/>
      <c r="S92" s="489" t="str">
        <f>IFERROR(VLOOKUP(Q92,装备数据!S:W,2,0),"")</f>
        <v/>
      </c>
    </row>
    <row r="93" spans="17:19" x14ac:dyDescent="0.25">
      <c r="Q93" s="488"/>
      <c r="R93" s="488"/>
      <c r="S93" s="489" t="str">
        <f>IFERROR(VLOOKUP(Q93,装备数据!S:W,2,0),"")</f>
        <v/>
      </c>
    </row>
    <row r="94" spans="17:19" x14ac:dyDescent="0.25">
      <c r="Q94" s="488"/>
      <c r="R94" s="488"/>
      <c r="S94" s="489" t="str">
        <f>IFERROR(VLOOKUP(Q94,装备数据!S:W,2,0),"")</f>
        <v/>
      </c>
    </row>
    <row r="95" spans="17:19" x14ac:dyDescent="0.25">
      <c r="Q95" s="488"/>
      <c r="R95" s="488"/>
      <c r="S95" s="489" t="str">
        <f>IFERROR(VLOOKUP(Q95,装备数据!S:W,2,0),"")</f>
        <v/>
      </c>
    </row>
    <row r="96" spans="17:19" x14ac:dyDescent="0.25">
      <c r="Q96" s="488"/>
      <c r="R96" s="488"/>
      <c r="S96" s="489" t="str">
        <f>IFERROR(VLOOKUP(Q96,装备数据!S:W,2,0),"")</f>
        <v/>
      </c>
    </row>
    <row r="97" spans="17:19" x14ac:dyDescent="0.25">
      <c r="Q97" s="488"/>
      <c r="R97" s="488"/>
      <c r="S97" s="489" t="str">
        <f>IFERROR(VLOOKUP(Q97,装备数据!S:W,2,0),"")</f>
        <v/>
      </c>
    </row>
    <row r="98" spans="17:19" x14ac:dyDescent="0.25">
      <c r="Q98" s="488"/>
      <c r="R98" s="488"/>
      <c r="S98" s="489" t="str">
        <f>IFERROR(VLOOKUP(Q98,装备数据!S:W,2,0),"")</f>
        <v/>
      </c>
    </row>
    <row r="99" spans="17:19" x14ac:dyDescent="0.25">
      <c r="Q99" s="488"/>
      <c r="R99" s="488"/>
      <c r="S99" s="489" t="str">
        <f>IFERROR(VLOOKUP(Q99,装备数据!S:W,2,0),"")</f>
        <v/>
      </c>
    </row>
    <row r="100" spans="17:19" x14ac:dyDescent="0.25">
      <c r="Q100" s="488"/>
      <c r="R100" s="488"/>
      <c r="S100" s="489" t="str">
        <f>IFERROR(VLOOKUP(Q100,装备数据!S:W,2,0),"")</f>
        <v/>
      </c>
    </row>
    <row r="101" spans="17:19" x14ac:dyDescent="0.25">
      <c r="Q101" s="488"/>
      <c r="R101" s="488"/>
      <c r="S101" s="489" t="str">
        <f>IFERROR(VLOOKUP(Q101,装备数据!S:W,2,0),"")</f>
        <v/>
      </c>
    </row>
    <row r="102" spans="17:19" x14ac:dyDescent="0.25">
      <c r="Q102" s="488"/>
      <c r="R102" s="488"/>
      <c r="S102" s="489" t="str">
        <f>IFERROR(VLOOKUP(Q102,装备数据!S:W,2,0),"")</f>
        <v/>
      </c>
    </row>
    <row r="103" spans="17:19" x14ac:dyDescent="0.25">
      <c r="Q103" s="488"/>
      <c r="R103" s="488"/>
      <c r="S103" s="489" t="str">
        <f>IFERROR(VLOOKUP(Q103,装备数据!S:W,2,0),"")</f>
        <v/>
      </c>
    </row>
    <row r="104" spans="17:19" x14ac:dyDescent="0.25">
      <c r="Q104" s="488"/>
      <c r="R104" s="488"/>
      <c r="S104" s="489" t="str">
        <f>IFERROR(VLOOKUP(Q104,装备数据!S:W,2,0),"")</f>
        <v/>
      </c>
    </row>
    <row r="105" spans="17:19" x14ac:dyDescent="0.25">
      <c r="Q105" s="488"/>
      <c r="R105" s="488"/>
      <c r="S105" s="489" t="str">
        <f>IFERROR(VLOOKUP(Q105,装备数据!S:W,2,0),"")</f>
        <v/>
      </c>
    </row>
    <row r="106" spans="17:19" x14ac:dyDescent="0.25">
      <c r="Q106" s="488"/>
      <c r="R106" s="488"/>
      <c r="S106" s="489" t="str">
        <f>IFERROR(VLOOKUP(Q106,装备数据!S:W,2,0),"")</f>
        <v/>
      </c>
    </row>
    <row r="107" spans="17:19" x14ac:dyDescent="0.25">
      <c r="Q107" s="488"/>
      <c r="R107" s="488"/>
      <c r="S107" s="489" t="str">
        <f>IFERROR(VLOOKUP(Q107,装备数据!S:W,2,0),"")</f>
        <v/>
      </c>
    </row>
    <row r="108" spans="17:19" x14ac:dyDescent="0.25">
      <c r="Q108" s="488"/>
      <c r="R108" s="488"/>
      <c r="S108" s="489" t="str">
        <f>IFERROR(VLOOKUP(Q108,装备数据!S:W,2,0),"")</f>
        <v/>
      </c>
    </row>
    <row r="109" spans="17:19" x14ac:dyDescent="0.25">
      <c r="Q109" s="488"/>
      <c r="R109" s="488"/>
      <c r="S109" s="489" t="str">
        <f>IFERROR(VLOOKUP(Q109,装备数据!S:W,2,0),"")</f>
        <v/>
      </c>
    </row>
    <row r="110" spans="17:19" x14ac:dyDescent="0.25">
      <c r="Q110" s="488"/>
      <c r="R110" s="488"/>
      <c r="S110" s="489" t="str">
        <f>IFERROR(VLOOKUP(Q110,装备数据!S:W,2,0),"")</f>
        <v/>
      </c>
    </row>
    <row r="111" spans="17:19" x14ac:dyDescent="0.25">
      <c r="Q111" s="488"/>
      <c r="R111" s="488"/>
      <c r="S111" s="489" t="str">
        <f>IFERROR(VLOOKUP(Q111,装备数据!S:W,2,0),"")</f>
        <v/>
      </c>
    </row>
    <row r="112" spans="17:19" x14ac:dyDescent="0.25">
      <c r="Q112" s="488"/>
      <c r="R112" s="488"/>
      <c r="S112" s="489" t="str">
        <f>IFERROR(VLOOKUP(Q112,装备数据!S:W,2,0),"")</f>
        <v/>
      </c>
    </row>
    <row r="113" spans="17:19" x14ac:dyDescent="0.25">
      <c r="Q113" s="488"/>
      <c r="R113" s="488"/>
      <c r="S113" s="489" t="str">
        <f>IFERROR(VLOOKUP(Q113,装备数据!S:W,2,0),"")</f>
        <v/>
      </c>
    </row>
    <row r="114" spans="17:19" x14ac:dyDescent="0.25">
      <c r="Q114" s="488"/>
      <c r="R114" s="488"/>
      <c r="S114" s="489" t="str">
        <f>IFERROR(VLOOKUP(Q114,装备数据!S:W,2,0),"")</f>
        <v/>
      </c>
    </row>
    <row r="115" spans="17:19" x14ac:dyDescent="0.25">
      <c r="Q115" s="488"/>
      <c r="R115" s="488"/>
      <c r="S115" s="489" t="str">
        <f>IFERROR(VLOOKUP(Q115,装备数据!S:W,2,0),"")</f>
        <v/>
      </c>
    </row>
    <row r="116" spans="17:19" x14ac:dyDescent="0.25">
      <c r="Q116" s="488"/>
      <c r="R116" s="488"/>
      <c r="S116" s="489" t="str">
        <f>IFERROR(VLOOKUP(Q116,装备数据!S:W,2,0),"")</f>
        <v/>
      </c>
    </row>
    <row r="117" spans="17:19" x14ac:dyDescent="0.25">
      <c r="Q117" s="488"/>
      <c r="R117" s="488"/>
      <c r="S117" s="489" t="str">
        <f>IFERROR(VLOOKUP(Q117,装备数据!S:W,2,0),"")</f>
        <v/>
      </c>
    </row>
    <row r="118" spans="17:19" x14ac:dyDescent="0.25">
      <c r="Q118" s="488"/>
      <c r="R118" s="488"/>
      <c r="S118" s="489" t="str">
        <f>IFERROR(VLOOKUP(Q118,装备数据!S:W,2,0),"")</f>
        <v/>
      </c>
    </row>
    <row r="119" spans="17:19" x14ac:dyDescent="0.25">
      <c r="Q119" s="488"/>
      <c r="R119" s="488"/>
      <c r="S119" s="489" t="str">
        <f>IFERROR(VLOOKUP(Q119,装备数据!S:W,2,0),"")</f>
        <v/>
      </c>
    </row>
    <row r="120" spans="17:19" x14ac:dyDescent="0.25">
      <c r="Q120" s="488"/>
      <c r="R120" s="488"/>
      <c r="S120" s="489" t="str">
        <f>IFERROR(VLOOKUP(Q120,装备数据!S:W,2,0),"")</f>
        <v/>
      </c>
    </row>
    <row r="121" spans="17:19" x14ac:dyDescent="0.25">
      <c r="Q121" s="488"/>
      <c r="R121" s="488"/>
      <c r="S121" s="489" t="str">
        <f>IFERROR(VLOOKUP(Q121,装备数据!S:W,2,0),"")</f>
        <v/>
      </c>
    </row>
    <row r="122" spans="17:19" x14ac:dyDescent="0.25">
      <c r="Q122" s="488"/>
      <c r="R122" s="488"/>
      <c r="S122" s="489" t="str">
        <f>IFERROR(VLOOKUP(Q122,装备数据!S:W,2,0),"")</f>
        <v/>
      </c>
    </row>
    <row r="123" spans="17:19" x14ac:dyDescent="0.25">
      <c r="Q123" s="488"/>
      <c r="R123" s="488"/>
      <c r="S123" s="489" t="str">
        <f>IFERROR(VLOOKUP(Q123,装备数据!S:W,2,0),"")</f>
        <v/>
      </c>
    </row>
    <row r="124" spans="17:19" x14ac:dyDescent="0.25">
      <c r="Q124" s="488"/>
      <c r="R124" s="488"/>
      <c r="S124" s="489" t="str">
        <f>IFERROR(VLOOKUP(Q124,装备数据!S:W,2,0),"")</f>
        <v/>
      </c>
    </row>
    <row r="125" spans="17:19" x14ac:dyDescent="0.25">
      <c r="Q125" s="488"/>
      <c r="R125" s="488"/>
      <c r="S125" s="489" t="str">
        <f>IFERROR(VLOOKUP(Q125,装备数据!S:W,2,0),"")</f>
        <v/>
      </c>
    </row>
    <row r="126" spans="17:19" x14ac:dyDescent="0.25">
      <c r="Q126" s="488"/>
      <c r="R126" s="488"/>
      <c r="S126" s="489" t="str">
        <f>IFERROR(VLOOKUP(Q126,装备数据!S:W,2,0),"")</f>
        <v/>
      </c>
    </row>
    <row r="127" spans="17:19" x14ac:dyDescent="0.25">
      <c r="Q127" s="488"/>
      <c r="R127" s="488"/>
      <c r="S127" s="489" t="str">
        <f>IFERROR(VLOOKUP(Q127,装备数据!S:W,2,0),"")</f>
        <v/>
      </c>
    </row>
    <row r="128" spans="17:19" x14ac:dyDescent="0.25">
      <c r="Q128" s="488"/>
      <c r="R128" s="488"/>
      <c r="S128" s="489" t="str">
        <f>IFERROR(VLOOKUP(Q128,装备数据!S:W,2,0),"")</f>
        <v/>
      </c>
    </row>
    <row r="129" spans="17:19" x14ac:dyDescent="0.25">
      <c r="Q129" s="488"/>
      <c r="R129" s="488"/>
      <c r="S129" s="489" t="str">
        <f>IFERROR(VLOOKUP(Q129,装备数据!S:W,2,0),"")</f>
        <v/>
      </c>
    </row>
    <row r="130" spans="17:19" x14ac:dyDescent="0.25">
      <c r="Q130" s="488"/>
      <c r="R130" s="488"/>
      <c r="S130" s="489" t="str">
        <f>IFERROR(VLOOKUP(Q130,装备数据!S:W,2,0),"")</f>
        <v/>
      </c>
    </row>
    <row r="131" spans="17:19" x14ac:dyDescent="0.25">
      <c r="Q131" s="488"/>
      <c r="R131" s="488"/>
      <c r="S131" s="489" t="str">
        <f>IFERROR(VLOOKUP(Q131,装备数据!S:W,2,0),"")</f>
        <v/>
      </c>
    </row>
    <row r="132" spans="17:19" x14ac:dyDescent="0.25">
      <c r="Q132" s="488"/>
      <c r="R132" s="488"/>
      <c r="S132" s="489" t="str">
        <f>IFERROR(VLOOKUP(Q132,装备数据!S:W,2,0),"")</f>
        <v/>
      </c>
    </row>
    <row r="133" spans="17:19" x14ac:dyDescent="0.25">
      <c r="Q133" s="488"/>
      <c r="R133" s="488"/>
      <c r="S133" s="489" t="str">
        <f>IFERROR(VLOOKUP(Q133,装备数据!S:W,2,0),"")</f>
        <v/>
      </c>
    </row>
    <row r="134" spans="17:19" x14ac:dyDescent="0.25">
      <c r="Q134" s="488"/>
      <c r="R134" s="488"/>
      <c r="S134" s="489" t="str">
        <f>IFERROR(VLOOKUP(Q134,装备数据!S:W,2,0),"")</f>
        <v/>
      </c>
    </row>
    <row r="135" spans="17:19" x14ac:dyDescent="0.25">
      <c r="Q135" s="488"/>
      <c r="R135" s="488"/>
      <c r="S135" s="489" t="str">
        <f>IFERROR(VLOOKUP(Q135,装备数据!S:W,2,0),"")</f>
        <v/>
      </c>
    </row>
    <row r="136" spans="17:19" x14ac:dyDescent="0.25">
      <c r="Q136" s="488"/>
      <c r="R136" s="488"/>
      <c r="S136" s="489" t="str">
        <f>IFERROR(VLOOKUP(Q136,装备数据!S:W,2,0),"")</f>
        <v/>
      </c>
    </row>
    <row r="137" spans="17:19" x14ac:dyDescent="0.25">
      <c r="Q137" s="488"/>
      <c r="R137" s="488"/>
      <c r="S137" s="489" t="str">
        <f>IFERROR(VLOOKUP(Q137,装备数据!S:W,2,0),"")</f>
        <v/>
      </c>
    </row>
    <row r="138" spans="17:19" x14ac:dyDescent="0.25">
      <c r="Q138" s="488"/>
      <c r="R138" s="488"/>
      <c r="S138" s="489" t="str">
        <f>IFERROR(VLOOKUP(Q138,装备数据!S:W,2,0),"")</f>
        <v/>
      </c>
    </row>
    <row r="139" spans="17:19" x14ac:dyDescent="0.25">
      <c r="Q139" s="488"/>
      <c r="R139" s="488"/>
      <c r="S139" s="489" t="str">
        <f>IFERROR(VLOOKUP(Q139,装备数据!S:W,2,0),"")</f>
        <v/>
      </c>
    </row>
    <row r="140" spans="17:19" x14ac:dyDescent="0.25">
      <c r="Q140" s="488"/>
      <c r="R140" s="488"/>
      <c r="S140" s="489" t="str">
        <f>IFERROR(VLOOKUP(Q140,装备数据!S:W,2,0),"")</f>
        <v/>
      </c>
    </row>
    <row r="141" spans="17:19" x14ac:dyDescent="0.25">
      <c r="Q141" s="488"/>
      <c r="R141" s="488"/>
      <c r="S141" s="489" t="str">
        <f>IFERROR(VLOOKUP(Q141,装备数据!S:W,2,0),"")</f>
        <v/>
      </c>
    </row>
  </sheetData>
  <sheetProtection sheet="1" objects="1" scenarios="1"/>
  <mergeCells count="35">
    <mergeCell ref="Y2:Z2"/>
    <mergeCell ref="Z3:AA3"/>
    <mergeCell ref="AB2:AC2"/>
    <mergeCell ref="M7:N7"/>
    <mergeCell ref="AC3:AD3"/>
    <mergeCell ref="V2:W2"/>
    <mergeCell ref="Z6:AA6"/>
    <mergeCell ref="AA5:AB5"/>
    <mergeCell ref="C2:D2"/>
    <mergeCell ref="U6:V6"/>
    <mergeCell ref="W6:X6"/>
    <mergeCell ref="N3:O3"/>
    <mergeCell ref="M4:N4"/>
    <mergeCell ref="M5:N5"/>
    <mergeCell ref="R2:S2"/>
    <mergeCell ref="L2:M2"/>
    <mergeCell ref="I2:K2"/>
    <mergeCell ref="N2:O2"/>
    <mergeCell ref="U5:V5"/>
    <mergeCell ref="G13:I13"/>
    <mergeCell ref="L3:M3"/>
    <mergeCell ref="M6:N6"/>
    <mergeCell ref="B1:E1"/>
    <mergeCell ref="Y5:Z5"/>
    <mergeCell ref="M9:N9"/>
    <mergeCell ref="M10:N10"/>
    <mergeCell ref="M8:N8"/>
    <mergeCell ref="U1:AD1"/>
    <mergeCell ref="G1:O1"/>
    <mergeCell ref="M12:N12"/>
    <mergeCell ref="B9:D9"/>
    <mergeCell ref="M11:N11"/>
    <mergeCell ref="Q1:S1"/>
    <mergeCell ref="M13:N13"/>
    <mergeCell ref="U3:V3"/>
  </mergeCells>
  <phoneticPr fontId="83" type="noConversion"/>
  <conditionalFormatting sqref="M5:N13">
    <cfRule type="expression" dxfId="7" priority="20">
      <formula>$M5&gt;$O5</formula>
    </cfRule>
  </conditionalFormatting>
  <conditionalFormatting sqref="N3:O3">
    <cfRule type="expression" dxfId="6" priority="16">
      <formula>$N$3&lt;0</formula>
    </cfRule>
  </conditionalFormatting>
  <conditionalFormatting sqref="Q5:S141">
    <cfRule type="expression" dxfId="5" priority="14">
      <formula>COUNTA($Q4,$Q5)&gt;0</formula>
    </cfRule>
  </conditionalFormatting>
  <conditionalFormatting sqref="Y3:AA3">
    <cfRule type="expression" dxfId="4" priority="4">
      <formula>$Y$3=0</formula>
    </cfRule>
  </conditionalFormatting>
  <conditionalFormatting sqref="Y5:AB5">
    <cfRule type="expression" dxfId="3" priority="2">
      <formula>$Y$5=0</formula>
    </cfRule>
  </conditionalFormatting>
  <conditionalFormatting sqref="Z6:AB6">
    <cfRule type="expression" dxfId="2" priority="1">
      <formula>$Z$6=0</formula>
    </cfRule>
  </conditionalFormatting>
  <conditionalFormatting sqref="AB2:AD2">
    <cfRule type="expression" dxfId="1" priority="5">
      <formula>$AB$2=0</formula>
    </cfRule>
  </conditionalFormatting>
  <conditionalFormatting sqref="AB3:AD3">
    <cfRule type="expression" dxfId="0" priority="3">
      <formula>$AB$3=0</formula>
    </cfRule>
  </conditionalFormatting>
  <dataValidations count="25">
    <dataValidation type="whole" allowBlank="1" showInputMessage="1" showErrorMessage="1" sqref="X2" xr:uid="{00000000-0002-0000-0D00-000001000000}">
      <formula1>0</formula1>
      <formula2>12</formula2>
    </dataValidation>
    <dataValidation type="whole" allowBlank="1" showInputMessage="1" showErrorMessage="1" sqref="M12" xr:uid="{00000000-0002-0000-0D00-000002000000}">
      <formula1>0</formula1>
      <formula2>IF(J13&gt;15,1,0)</formula2>
    </dataValidation>
    <dataValidation type="whole" allowBlank="1" showInputMessage="1" showErrorMessage="1" sqref="N13" xr:uid="{00000000-0002-0000-0D00-000003000000}">
      <formula1>0</formula1>
      <formula2>IF(L13&gt;17,1,0)</formula2>
    </dataValidation>
    <dataValidation type="whole" allowBlank="1" showInputMessage="1" showErrorMessage="1" sqref="H3:H12" xr:uid="{00000000-0002-0000-0D00-000004000000}">
      <formula1>0</formula1>
      <formula2>20</formula2>
    </dataValidation>
    <dataValidation type="whole" allowBlank="1" showInputMessage="1" showErrorMessage="1" sqref="U2" xr:uid="{00000000-0002-0000-0D00-000005000000}">
      <formula1>0</formula1>
      <formula2>99</formula2>
    </dataValidation>
    <dataValidation type="decimal" allowBlank="1" showInputMessage="1" showErrorMessage="1" sqref="U3:V3" xr:uid="{00000000-0002-0000-0D00-000006000000}">
      <formula1>0</formula1>
      <formula2>9.9</formula2>
    </dataValidation>
    <dataValidation type="whole" allowBlank="1" showInputMessage="1" showErrorMessage="1" sqref="M13" xr:uid="{00000000-0002-0000-0D00-000007000000}">
      <formula1>0</formula1>
      <formula2>IF(J13&gt;17,1,0)</formula2>
    </dataValidation>
    <dataValidation type="whole" allowBlank="1" showInputMessage="1" showErrorMessage="1" sqref="N7" xr:uid="{00000000-0002-0000-0D00-000008000000}">
      <formula1>0</formula1>
      <formula2>IF(L13&gt;5,P2/5,0)</formula2>
    </dataValidation>
    <dataValidation type="whole" allowBlank="1" showInputMessage="1" showErrorMessage="1" sqref="M6" xr:uid="{00000000-0002-0000-0D00-000009000000}">
      <formula1>0</formula1>
      <formula2>IF(J13&gt;3,N2/3,0)</formula2>
    </dataValidation>
    <dataValidation type="whole" allowBlank="1" showInputMessage="1" showErrorMessage="1" sqref="N9" xr:uid="{00000000-0002-0000-0D00-00000A000000}">
      <formula1>0</formula1>
      <formula2>IF(L13&gt;9,P2/7,0)</formula2>
    </dataValidation>
    <dataValidation type="decimal" allowBlank="1" showInputMessage="1" showErrorMessage="1" sqref="U6:V6" xr:uid="{00000000-0002-0000-0D00-00000B000000}">
      <formula1>0</formula1>
      <formula2>999</formula2>
    </dataValidation>
    <dataValidation type="whole" allowBlank="1" showInputMessage="1" showErrorMessage="1" sqref="N12" xr:uid="{00000000-0002-0000-0D00-00000C000000}">
      <formula1>0</formula1>
      <formula2>IF(L13&gt;15,1,0)</formula2>
    </dataValidation>
    <dataValidation type="whole" allowBlank="1" showInputMessage="1" showErrorMessage="1" sqref="M10" xr:uid="{00000000-0002-0000-0D00-00000D000000}">
      <formula1>0</formula1>
      <formula2>IF(J13&gt;11,1,0)</formula2>
    </dataValidation>
    <dataValidation type="whole" allowBlank="1" showInputMessage="1" showErrorMessage="1" sqref="N5" xr:uid="{00000000-0002-0000-0D00-00000E000000}">
      <formula1>0</formula1>
      <formula2>Q6</formula2>
    </dataValidation>
    <dataValidation type="whole" allowBlank="1" showInputMessage="1" showErrorMessage="1" sqref="M8" xr:uid="{00000000-0002-0000-0D00-00000F000000}">
      <formula1>0</formula1>
      <formula2>IF(J13&gt;7,N2/6,0)</formula2>
    </dataValidation>
    <dataValidation type="whole" allowBlank="1" showInputMessage="1" showErrorMessage="1" sqref="N11" xr:uid="{00000000-0002-0000-0D00-000010000000}">
      <formula1>0</formula1>
      <formula2>IF(L13&gt;13,1,0)</formula2>
    </dataValidation>
    <dataValidation type="whole" allowBlank="1" showInputMessage="1" showErrorMessage="1" sqref="N10" xr:uid="{00000000-0002-0000-0D00-000011000000}">
      <formula1>0</formula1>
      <formula2>IF(L13&gt;11,1,0)</formula2>
    </dataValidation>
    <dataValidation type="whole" allowBlank="1" showInputMessage="1" showErrorMessage="1" sqref="U5" xr:uid="{00000000-0002-0000-0D00-000012000000}">
      <formula1>0</formula1>
      <formula2>999</formula2>
    </dataValidation>
    <dataValidation type="whole" allowBlank="1" showInputMessage="1" showErrorMessage="1" sqref="M11" xr:uid="{00000000-0002-0000-0D00-000013000000}">
      <formula1>0</formula1>
      <formula2>IF(J13&gt;13,1,0)</formula2>
    </dataValidation>
    <dataValidation type="whole" allowBlank="1" showInputMessage="1" showErrorMessage="1" sqref="N6" xr:uid="{00000000-0002-0000-0D00-000014000000}">
      <formula1>0</formula1>
      <formula2>IF(L13&gt;3,P2/3,0)</formula2>
    </dataValidation>
    <dataValidation type="whole" allowBlank="1" showInputMessage="1" showErrorMessage="1" sqref="M5" xr:uid="{00000000-0002-0000-0D00-000015000000}">
      <formula1>0</formula1>
      <formula2>O5</formula2>
    </dataValidation>
    <dataValidation type="whole" allowBlank="1" showInputMessage="1" showErrorMessage="1" sqref="N8" xr:uid="{00000000-0002-0000-0D00-000016000000}">
      <formula1>0</formula1>
      <formula2>IF(L13&gt;7,P2/6,0)</formula2>
    </dataValidation>
    <dataValidation type="whole" allowBlank="1" showInputMessage="1" showErrorMessage="1" sqref="M7" xr:uid="{00000000-0002-0000-0D00-000017000000}">
      <formula1>0</formula1>
      <formula2>IF(J13&gt;5,N2/5,0)</formula2>
    </dataValidation>
    <dataValidation type="whole" allowBlank="1" showInputMessage="1" showErrorMessage="1" sqref="M9" xr:uid="{00000000-0002-0000-0D00-000018000000}">
      <formula1>0</formula1>
      <formula2>IF(J13&gt;9,N2/7,0)</formula2>
    </dataValidation>
    <dataValidation type="whole" allowBlank="1" showInputMessage="1" showErrorMessage="1" sqref="C3:C8" xr:uid="{00000000-0002-0000-0D00-000019000000}">
      <formula1>8</formula1>
      <formula2>15</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D00-000000000000}">
          <x14:formula1>
            <xm:f>装备数据!$S$3:$S$142</xm:f>
          </x14:formula1>
          <xm:sqref>Q4:Q141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D800"/>
  </sheetPr>
  <dimension ref="A1:BV46"/>
  <sheetViews>
    <sheetView topLeftCell="A10" workbookViewId="0">
      <selection activeCell="A2" sqref="A2"/>
    </sheetView>
  </sheetViews>
  <sheetFormatPr defaultColWidth="2.7265625" defaultRowHeight="14" x14ac:dyDescent="0.25"/>
  <cols>
    <col min="1" max="16384" width="2.7265625" style="490"/>
  </cols>
  <sheetData>
    <row r="1" spans="1:72" ht="16.5" x14ac:dyDescent="0.25">
      <c r="A1" s="491" t="s">
        <v>8717</v>
      </c>
      <c r="B1" s="492"/>
      <c r="C1" s="492"/>
      <c r="D1" s="492"/>
      <c r="E1" s="492"/>
      <c r="F1" s="492"/>
      <c r="G1" s="492"/>
      <c r="H1" s="492"/>
      <c r="I1" s="492"/>
      <c r="J1" s="492"/>
      <c r="K1" s="492"/>
      <c r="L1" s="492"/>
      <c r="M1" s="492"/>
      <c r="N1" s="492"/>
      <c r="O1" s="492"/>
      <c r="P1" s="492"/>
      <c r="Q1" s="492"/>
      <c r="R1" s="492"/>
      <c r="S1" s="492"/>
      <c r="T1" s="492"/>
      <c r="U1" s="492"/>
      <c r="V1" s="492"/>
      <c r="W1" s="492"/>
      <c r="X1" s="492"/>
      <c r="Y1" s="492"/>
      <c r="Z1" s="493"/>
      <c r="AA1" s="492"/>
      <c r="AB1" s="492"/>
      <c r="AC1" s="492"/>
      <c r="AD1" s="492"/>
      <c r="AE1" s="492"/>
      <c r="AF1" s="492"/>
      <c r="AG1" s="492"/>
      <c r="AH1" s="492"/>
      <c r="AI1" s="492"/>
      <c r="AJ1" s="492"/>
      <c r="AK1" s="492"/>
      <c r="AL1" s="492"/>
      <c r="AM1" s="492"/>
      <c r="AN1" s="493"/>
      <c r="AO1" s="493"/>
      <c r="AP1" s="493"/>
      <c r="AQ1" s="493"/>
      <c r="AR1" s="493"/>
      <c r="AS1" s="493"/>
      <c r="AT1" s="493"/>
      <c r="AU1" s="493"/>
      <c r="AV1" s="493"/>
      <c r="AW1" s="493"/>
      <c r="AX1" s="493"/>
      <c r="AY1" s="493"/>
      <c r="AZ1" s="493"/>
      <c r="BA1" s="493"/>
      <c r="BB1" s="493"/>
      <c r="BC1" s="493"/>
      <c r="BD1" s="493"/>
      <c r="BE1" s="493"/>
      <c r="BF1" s="493"/>
      <c r="BG1" s="493"/>
      <c r="BH1" s="493"/>
      <c r="BI1" s="493"/>
      <c r="BJ1" s="493"/>
      <c r="BK1" s="493"/>
      <c r="BL1" s="493"/>
      <c r="BM1" s="493"/>
      <c r="BN1" s="493"/>
      <c r="BO1" s="493"/>
      <c r="BP1" s="493"/>
      <c r="BQ1" s="493"/>
      <c r="BR1" s="493"/>
      <c r="BS1" s="493"/>
      <c r="BT1" s="493"/>
    </row>
    <row r="2" spans="1:72" ht="16.5" x14ac:dyDescent="0.25">
      <c r="A2" s="494"/>
      <c r="B2" s="1154" t="s">
        <v>8718</v>
      </c>
      <c r="C2" s="1154"/>
      <c r="D2" s="1154"/>
      <c r="E2" s="1154"/>
      <c r="F2" s="1154"/>
      <c r="G2" s="1154"/>
      <c r="H2" s="1154"/>
      <c r="I2" s="1154"/>
      <c r="J2" s="1154"/>
      <c r="K2" s="1154"/>
      <c r="L2" s="1154"/>
      <c r="M2" s="1154"/>
      <c r="N2" s="1154"/>
      <c r="O2" s="1154"/>
      <c r="P2" s="1154"/>
      <c r="Q2" s="1154"/>
      <c r="R2" s="1154"/>
      <c r="S2" s="1154"/>
      <c r="T2" s="1154"/>
      <c r="U2" s="1154"/>
      <c r="V2" s="1154"/>
      <c r="W2" s="1154"/>
      <c r="X2" s="1154"/>
      <c r="Y2" s="1154"/>
      <c r="Z2" s="495"/>
      <c r="AA2" s="1162" t="s">
        <v>8719</v>
      </c>
      <c r="AB2" s="1162"/>
      <c r="AC2" s="1162"/>
      <c r="AD2" s="1162"/>
      <c r="AE2" s="1162"/>
      <c r="AF2" s="1162"/>
      <c r="AG2" s="1162"/>
      <c r="AH2" s="1162"/>
      <c r="AI2" s="1162"/>
      <c r="AJ2" s="1162"/>
      <c r="AK2" s="1162"/>
      <c r="AL2" s="1162"/>
      <c r="AM2" s="1162"/>
      <c r="AN2" s="496"/>
      <c r="AO2" s="1153" t="s">
        <v>8720</v>
      </c>
      <c r="AP2" s="1153"/>
      <c r="AQ2" s="1153"/>
      <c r="AR2" s="1153"/>
      <c r="AS2" s="1153"/>
      <c r="AT2" s="1153"/>
      <c r="AU2" s="1153"/>
      <c r="AV2" s="1153"/>
      <c r="AW2" s="1153"/>
      <c r="AX2" s="1153"/>
      <c r="AY2" s="1153"/>
      <c r="AZ2" s="1153"/>
      <c r="BA2" s="1153"/>
      <c r="BB2" s="497"/>
      <c r="BC2" s="1153" t="s">
        <v>8721</v>
      </c>
      <c r="BD2" s="1153"/>
      <c r="BE2" s="1153"/>
      <c r="BF2" s="1153"/>
      <c r="BG2" s="1153"/>
      <c r="BH2" s="1153"/>
      <c r="BI2" s="1153"/>
      <c r="BJ2" s="1153"/>
      <c r="BK2" s="1153"/>
      <c r="BL2" s="1153"/>
      <c r="BM2" s="1153"/>
      <c r="BN2" s="1153"/>
      <c r="BO2" s="1153"/>
      <c r="BP2" s="497"/>
      <c r="BQ2" s="493"/>
      <c r="BR2" s="493"/>
      <c r="BS2" s="493"/>
      <c r="BT2" s="493"/>
    </row>
    <row r="3" spans="1:72" ht="16.5" x14ac:dyDescent="0.25">
      <c r="A3" s="494"/>
      <c r="B3" s="1143" t="s">
        <v>8722</v>
      </c>
      <c r="C3" s="1143"/>
      <c r="D3" s="1143"/>
      <c r="E3" s="1143"/>
      <c r="F3" s="1143"/>
      <c r="G3" s="1143"/>
      <c r="H3" s="1143"/>
      <c r="I3" s="1143"/>
      <c r="J3" s="1143"/>
      <c r="K3" s="1143"/>
      <c r="L3" s="1143"/>
      <c r="M3" s="1143"/>
      <c r="N3" s="1143"/>
      <c r="O3" s="1143"/>
      <c r="P3" s="1143"/>
      <c r="Q3" s="1143"/>
      <c r="R3" s="1143"/>
      <c r="S3" s="1143"/>
      <c r="T3" s="1143"/>
      <c r="U3" s="1143"/>
      <c r="V3" s="1143"/>
      <c r="W3" s="1143"/>
      <c r="X3" s="1143"/>
      <c r="Y3" s="1143"/>
      <c r="Z3" s="495"/>
      <c r="AA3" s="1146" t="s">
        <v>8723</v>
      </c>
      <c r="AB3" s="1146"/>
      <c r="AC3" s="1146"/>
      <c r="AD3" s="1146"/>
      <c r="AE3" s="1146"/>
      <c r="AF3" s="1146"/>
      <c r="AG3" s="1146"/>
      <c r="AH3" s="1146"/>
      <c r="AI3" s="1146"/>
      <c r="AJ3" s="1146"/>
      <c r="AK3" s="1146"/>
      <c r="AL3" s="1146"/>
      <c r="AM3" s="1146"/>
      <c r="AN3" s="495"/>
      <c r="AO3" s="1155" t="s">
        <v>8724</v>
      </c>
      <c r="AP3" s="1155"/>
      <c r="AQ3" s="1146" t="s">
        <v>8725</v>
      </c>
      <c r="AR3" s="1146"/>
      <c r="AS3" s="1146"/>
      <c r="AT3" s="1146"/>
      <c r="AU3" s="1146"/>
      <c r="AV3" s="1146"/>
      <c r="AW3" s="1146"/>
      <c r="AX3" s="1146"/>
      <c r="AY3" s="1146"/>
      <c r="AZ3" s="1146"/>
      <c r="BA3" s="1146"/>
      <c r="BB3" s="495"/>
      <c r="BC3" s="1146" t="s">
        <v>8726</v>
      </c>
      <c r="BD3" s="1146"/>
      <c r="BE3" s="1146"/>
      <c r="BF3" s="1146"/>
      <c r="BG3" s="1146"/>
      <c r="BH3" s="1146"/>
      <c r="BI3" s="1146"/>
      <c r="BJ3" s="1146"/>
      <c r="BK3" s="1146"/>
      <c r="BL3" s="1146"/>
      <c r="BM3" s="1146"/>
      <c r="BN3" s="1146"/>
      <c r="BO3" s="1146"/>
      <c r="BP3" s="496"/>
      <c r="BQ3" s="493"/>
      <c r="BR3" s="493"/>
      <c r="BS3" s="493"/>
      <c r="BT3" s="493"/>
    </row>
    <row r="4" spans="1:72" ht="16.5" x14ac:dyDescent="0.25">
      <c r="A4" s="494"/>
      <c r="B4" s="1143"/>
      <c r="C4" s="1143"/>
      <c r="D4" s="1143"/>
      <c r="E4" s="1143"/>
      <c r="F4" s="1143"/>
      <c r="G4" s="1143"/>
      <c r="H4" s="1143"/>
      <c r="I4" s="1143"/>
      <c r="J4" s="1143"/>
      <c r="K4" s="1143"/>
      <c r="L4" s="1143"/>
      <c r="M4" s="1143"/>
      <c r="N4" s="1143"/>
      <c r="O4" s="1143"/>
      <c r="P4" s="1143"/>
      <c r="Q4" s="1143"/>
      <c r="R4" s="1143"/>
      <c r="S4" s="1143"/>
      <c r="T4" s="1143"/>
      <c r="U4" s="1143"/>
      <c r="V4" s="1143"/>
      <c r="W4" s="1143"/>
      <c r="X4" s="1143"/>
      <c r="Y4" s="1143"/>
      <c r="Z4" s="495"/>
      <c r="AA4" s="1146" t="s">
        <v>8727</v>
      </c>
      <c r="AB4" s="1146"/>
      <c r="AC4" s="1146"/>
      <c r="AD4" s="1146"/>
      <c r="AE4" s="1146"/>
      <c r="AF4" s="1146"/>
      <c r="AG4" s="1146"/>
      <c r="AH4" s="1146"/>
      <c r="AI4" s="1146"/>
      <c r="AJ4" s="1146"/>
      <c r="AK4" s="1146"/>
      <c r="AL4" s="1146"/>
      <c r="AM4" s="1146"/>
      <c r="AN4" s="495"/>
      <c r="AO4" s="1155"/>
      <c r="AP4" s="1155"/>
      <c r="AQ4" s="1146" t="s">
        <v>8728</v>
      </c>
      <c r="AR4" s="1146"/>
      <c r="AS4" s="1146"/>
      <c r="AT4" s="1146"/>
      <c r="AU4" s="1146"/>
      <c r="AV4" s="1146"/>
      <c r="AW4" s="1146"/>
      <c r="AX4" s="1146"/>
      <c r="AY4" s="1146"/>
      <c r="AZ4" s="1146"/>
      <c r="BA4" s="1146"/>
      <c r="BB4" s="495"/>
      <c r="BC4" s="1146" t="s">
        <v>8729</v>
      </c>
      <c r="BD4" s="1146"/>
      <c r="BE4" s="1146"/>
      <c r="BF4" s="1146"/>
      <c r="BG4" s="1146"/>
      <c r="BH4" s="1146"/>
      <c r="BI4" s="1146"/>
      <c r="BJ4" s="1146"/>
      <c r="BK4" s="1146"/>
      <c r="BL4" s="1146"/>
      <c r="BM4" s="1146"/>
      <c r="BN4" s="1146"/>
      <c r="BO4" s="1146"/>
      <c r="BP4" s="496"/>
      <c r="BQ4" s="493"/>
      <c r="BR4" s="493"/>
      <c r="BS4" s="493"/>
      <c r="BT4" s="493"/>
    </row>
    <row r="5" spans="1:72" ht="16.5" x14ac:dyDescent="0.25">
      <c r="A5" s="494"/>
      <c r="B5" s="1141" t="s">
        <v>8730</v>
      </c>
      <c r="C5" s="1141"/>
      <c r="D5" s="1141"/>
      <c r="E5" s="1141"/>
      <c r="F5" s="1141"/>
      <c r="G5" s="1141"/>
      <c r="H5" s="1141"/>
      <c r="I5" s="1141"/>
      <c r="J5" s="1141"/>
      <c r="K5" s="1141"/>
      <c r="L5" s="1141"/>
      <c r="M5" s="1141"/>
      <c r="N5" s="1141"/>
      <c r="O5" s="1141"/>
      <c r="P5" s="1141"/>
      <c r="Q5" s="1141"/>
      <c r="R5" s="1141"/>
      <c r="S5" s="1141"/>
      <c r="T5" s="1141"/>
      <c r="U5" s="1141"/>
      <c r="V5" s="1141"/>
      <c r="W5" s="1141"/>
      <c r="X5" s="1141"/>
      <c r="Y5" s="1141"/>
      <c r="Z5" s="495"/>
      <c r="AA5" s="1146" t="s">
        <v>8731</v>
      </c>
      <c r="AB5" s="1146"/>
      <c r="AC5" s="1146"/>
      <c r="AD5" s="1146"/>
      <c r="AE5" s="1146"/>
      <c r="AF5" s="1146"/>
      <c r="AG5" s="1146"/>
      <c r="AH5" s="1146"/>
      <c r="AI5" s="1146"/>
      <c r="AJ5" s="1146"/>
      <c r="AK5" s="1146"/>
      <c r="AL5" s="1146"/>
      <c r="AM5" s="1146"/>
      <c r="AN5" s="496"/>
      <c r="AO5" s="498"/>
      <c r="AP5" s="498"/>
      <c r="AQ5" s="498"/>
      <c r="AR5" s="498"/>
      <c r="AS5" s="498"/>
      <c r="AT5" s="498"/>
      <c r="AU5" s="498"/>
      <c r="AV5" s="498"/>
      <c r="AW5" s="498"/>
      <c r="AX5" s="498"/>
      <c r="AY5" s="498"/>
      <c r="AZ5" s="498"/>
      <c r="BA5" s="498"/>
      <c r="BB5" s="499"/>
      <c r="BC5" s="1146"/>
      <c r="BD5" s="1146"/>
      <c r="BE5" s="1146"/>
      <c r="BF5" s="1146"/>
      <c r="BG5" s="1146"/>
      <c r="BH5" s="1146"/>
      <c r="BI5" s="1146"/>
      <c r="BJ5" s="1146"/>
      <c r="BK5" s="1146"/>
      <c r="BL5" s="1146"/>
      <c r="BM5" s="1146"/>
      <c r="BN5" s="1146"/>
      <c r="BO5" s="1146"/>
      <c r="BP5" s="496"/>
      <c r="BQ5" s="493"/>
      <c r="BR5" s="493"/>
      <c r="BS5" s="493"/>
      <c r="BT5" s="493"/>
    </row>
    <row r="6" spans="1:72" ht="16.5" x14ac:dyDescent="0.25">
      <c r="A6" s="494"/>
      <c r="B6" s="1141" t="s">
        <v>8732</v>
      </c>
      <c r="C6" s="1141"/>
      <c r="D6" s="1141"/>
      <c r="E6" s="1141"/>
      <c r="F6" s="1141"/>
      <c r="G6" s="1141"/>
      <c r="H6" s="1141"/>
      <c r="I6" s="1141"/>
      <c r="J6" s="1141"/>
      <c r="K6" s="1141"/>
      <c r="L6" s="1141"/>
      <c r="M6" s="1141"/>
      <c r="N6" s="1141"/>
      <c r="O6" s="1141"/>
      <c r="P6" s="1141"/>
      <c r="Q6" s="1141"/>
      <c r="R6" s="1141"/>
      <c r="S6" s="1141"/>
      <c r="T6" s="1141"/>
      <c r="U6" s="1141"/>
      <c r="V6" s="1141"/>
      <c r="W6" s="1141"/>
      <c r="X6" s="1141"/>
      <c r="Y6" s="1141"/>
      <c r="Z6" s="495"/>
      <c r="AA6" s="1146"/>
      <c r="AB6" s="1146"/>
      <c r="AC6" s="1146"/>
      <c r="AD6" s="1146"/>
      <c r="AE6" s="1146"/>
      <c r="AF6" s="1146"/>
      <c r="AG6" s="1146"/>
      <c r="AH6" s="1146"/>
      <c r="AI6" s="1146"/>
      <c r="AJ6" s="1146"/>
      <c r="AK6" s="1146"/>
      <c r="AL6" s="1146"/>
      <c r="AM6" s="1146"/>
      <c r="AN6" s="495"/>
      <c r="AO6" s="1145"/>
      <c r="AP6" s="1145"/>
      <c r="AQ6" s="1146" t="s">
        <v>8733</v>
      </c>
      <c r="AR6" s="1146"/>
      <c r="AS6" s="1146"/>
      <c r="AT6" s="1146"/>
      <c r="AU6" s="1146"/>
      <c r="AV6" s="1146"/>
      <c r="AW6" s="1146"/>
      <c r="AX6" s="1146"/>
      <c r="AY6" s="1146"/>
      <c r="AZ6" s="1146"/>
      <c r="BA6" s="1146"/>
      <c r="BB6" s="496"/>
      <c r="BC6" s="500"/>
      <c r="BD6" s="500"/>
      <c r="BE6" s="500"/>
      <c r="BF6" s="500"/>
      <c r="BG6" s="500"/>
      <c r="BH6" s="500"/>
      <c r="BI6" s="500"/>
      <c r="BJ6" s="500"/>
      <c r="BK6" s="500"/>
      <c r="BL6" s="500"/>
      <c r="BM6" s="500"/>
      <c r="BN6" s="500"/>
      <c r="BO6" s="500"/>
      <c r="BP6" s="497"/>
      <c r="BQ6" s="493"/>
      <c r="BR6" s="493"/>
      <c r="BS6" s="493"/>
      <c r="BT6" s="493"/>
    </row>
    <row r="7" spans="1:72" ht="16.5" x14ac:dyDescent="0.25">
      <c r="A7" s="494"/>
      <c r="B7" s="1141" t="s">
        <v>8734</v>
      </c>
      <c r="C7" s="1141"/>
      <c r="D7" s="1141"/>
      <c r="E7" s="1141"/>
      <c r="F7" s="1141"/>
      <c r="G7" s="1141"/>
      <c r="H7" s="1141"/>
      <c r="I7" s="1141"/>
      <c r="J7" s="1141"/>
      <c r="K7" s="1141"/>
      <c r="L7" s="1141"/>
      <c r="M7" s="1141"/>
      <c r="N7" s="1141"/>
      <c r="O7" s="1141"/>
      <c r="P7" s="1141"/>
      <c r="Q7" s="1141"/>
      <c r="R7" s="1141"/>
      <c r="S7" s="1141"/>
      <c r="T7" s="1141"/>
      <c r="U7" s="1141"/>
      <c r="V7" s="1141"/>
      <c r="W7" s="1141"/>
      <c r="X7" s="1141"/>
      <c r="Y7" s="1141"/>
      <c r="Z7" s="495"/>
      <c r="AA7" s="1146"/>
      <c r="AB7" s="1146"/>
      <c r="AC7" s="1146"/>
      <c r="AD7" s="1146"/>
      <c r="AE7" s="1146"/>
      <c r="AF7" s="1146"/>
      <c r="AG7" s="1146"/>
      <c r="AH7" s="1146"/>
      <c r="AI7" s="1146"/>
      <c r="AJ7" s="1146"/>
      <c r="AK7" s="1146"/>
      <c r="AL7" s="1146"/>
      <c r="AM7" s="1146"/>
      <c r="AN7" s="495"/>
      <c r="AO7" s="1145"/>
      <c r="AP7" s="1145"/>
      <c r="AQ7" s="1146" t="s">
        <v>8735</v>
      </c>
      <c r="AR7" s="1146"/>
      <c r="AS7" s="1146"/>
      <c r="AT7" s="1146"/>
      <c r="AU7" s="1146"/>
      <c r="AV7" s="1146"/>
      <c r="AW7" s="1146"/>
      <c r="AX7" s="1146"/>
      <c r="AY7" s="1146"/>
      <c r="AZ7" s="1146"/>
      <c r="BA7" s="1146"/>
      <c r="BB7" s="495"/>
      <c r="BC7" s="1146" t="s">
        <v>8736</v>
      </c>
      <c r="BD7" s="1146"/>
      <c r="BE7" s="1146"/>
      <c r="BF7" s="1146"/>
      <c r="BG7" s="1146"/>
      <c r="BH7" s="1146"/>
      <c r="BI7" s="1146"/>
      <c r="BJ7" s="1146"/>
      <c r="BK7" s="1146"/>
      <c r="BL7" s="1146"/>
      <c r="BM7" s="1146"/>
      <c r="BN7" s="1146"/>
      <c r="BO7" s="1146"/>
      <c r="BP7" s="496"/>
      <c r="BQ7" s="493"/>
      <c r="BR7" s="493"/>
      <c r="BS7" s="493"/>
      <c r="BT7" s="493"/>
    </row>
    <row r="8" spans="1:72" ht="16.5" x14ac:dyDescent="0.25">
      <c r="A8" s="494"/>
      <c r="B8" s="1141" t="s">
        <v>8737</v>
      </c>
      <c r="C8" s="1141"/>
      <c r="D8" s="1141"/>
      <c r="E8" s="1141"/>
      <c r="F8" s="1141"/>
      <c r="G8" s="1141"/>
      <c r="H8" s="1141"/>
      <c r="I8" s="1141"/>
      <c r="J8" s="1141"/>
      <c r="K8" s="1141"/>
      <c r="L8" s="1141"/>
      <c r="M8" s="1141"/>
      <c r="N8" s="1141"/>
      <c r="O8" s="1141"/>
      <c r="P8" s="1141"/>
      <c r="Q8" s="1141"/>
      <c r="R8" s="1141"/>
      <c r="S8" s="1141"/>
      <c r="T8" s="1141"/>
      <c r="U8" s="1141"/>
      <c r="V8" s="1141"/>
      <c r="W8" s="1141"/>
      <c r="X8" s="1141"/>
      <c r="Y8" s="1141"/>
      <c r="Z8" s="495"/>
      <c r="AA8" s="1146"/>
      <c r="AB8" s="1146"/>
      <c r="AC8" s="1146"/>
      <c r="AD8" s="1146"/>
      <c r="AE8" s="1146"/>
      <c r="AF8" s="1146"/>
      <c r="AG8" s="1146"/>
      <c r="AH8" s="1146"/>
      <c r="AI8" s="1146"/>
      <c r="AJ8" s="1146"/>
      <c r="AK8" s="1146"/>
      <c r="AL8" s="1146"/>
      <c r="AM8" s="1146"/>
      <c r="AN8" s="496"/>
      <c r="AO8" s="498"/>
      <c r="AP8" s="498"/>
      <c r="AQ8" s="498"/>
      <c r="AR8" s="498"/>
      <c r="AS8" s="498"/>
      <c r="AT8" s="498"/>
      <c r="AU8" s="498"/>
      <c r="AV8" s="498"/>
      <c r="AW8" s="498"/>
      <c r="AX8" s="498"/>
      <c r="AY8" s="498"/>
      <c r="AZ8" s="498"/>
      <c r="BA8" s="498"/>
      <c r="BB8" s="499"/>
      <c r="BC8" s="1146" t="s">
        <v>8738</v>
      </c>
      <c r="BD8" s="1146"/>
      <c r="BE8" s="1146"/>
      <c r="BF8" s="1146"/>
      <c r="BG8" s="1146"/>
      <c r="BH8" s="1146"/>
      <c r="BI8" s="1146"/>
      <c r="BJ8" s="1146"/>
      <c r="BK8" s="1146"/>
      <c r="BL8" s="1146"/>
      <c r="BM8" s="1146"/>
      <c r="BN8" s="1146"/>
      <c r="BO8" s="1146"/>
      <c r="BP8" s="496"/>
      <c r="BQ8" s="493"/>
      <c r="BR8" s="493"/>
      <c r="BS8" s="493"/>
      <c r="BT8" s="493"/>
    </row>
    <row r="9" spans="1:72" ht="16.5" x14ac:dyDescent="0.25">
      <c r="A9" s="494"/>
      <c r="B9" s="1141" t="s">
        <v>8739</v>
      </c>
      <c r="C9" s="1141"/>
      <c r="D9" s="1141"/>
      <c r="E9" s="1141"/>
      <c r="F9" s="1141"/>
      <c r="G9" s="1141"/>
      <c r="H9" s="1141"/>
      <c r="I9" s="1141"/>
      <c r="J9" s="1141"/>
      <c r="K9" s="1141"/>
      <c r="L9" s="1141"/>
      <c r="M9" s="1141"/>
      <c r="N9" s="1141"/>
      <c r="O9" s="1141"/>
      <c r="P9" s="1141"/>
      <c r="Q9" s="1141"/>
      <c r="R9" s="1141"/>
      <c r="S9" s="1141"/>
      <c r="T9" s="1141"/>
      <c r="U9" s="1141"/>
      <c r="V9" s="1141"/>
      <c r="W9" s="1141"/>
      <c r="X9" s="1141"/>
      <c r="Y9" s="1141"/>
      <c r="Z9" s="495"/>
      <c r="AA9" s="1146"/>
      <c r="AB9" s="1146"/>
      <c r="AC9" s="1146"/>
      <c r="AD9" s="1146"/>
      <c r="AE9" s="1146"/>
      <c r="AF9" s="1146"/>
      <c r="AG9" s="1146"/>
      <c r="AH9" s="1146"/>
      <c r="AI9" s="1146"/>
      <c r="AJ9" s="1146"/>
      <c r="AK9" s="1146"/>
      <c r="AL9" s="1146"/>
      <c r="AM9" s="1146"/>
      <c r="AN9" s="495"/>
      <c r="AO9" s="1155" t="s">
        <v>8724</v>
      </c>
      <c r="AP9" s="1155"/>
      <c r="AQ9" s="1163" t="s">
        <v>8740</v>
      </c>
      <c r="AR9" s="1163"/>
      <c r="AS9" s="1163"/>
      <c r="AT9" s="1163"/>
      <c r="AU9" s="1163"/>
      <c r="AV9" s="1163"/>
      <c r="AW9" s="1163"/>
      <c r="AX9" s="1163"/>
      <c r="AY9" s="1163"/>
      <c r="AZ9" s="1163"/>
      <c r="BA9" s="1163"/>
      <c r="BB9" s="495"/>
      <c r="BC9" s="1146"/>
      <c r="BD9" s="1146"/>
      <c r="BE9" s="1146"/>
      <c r="BF9" s="1146"/>
      <c r="BG9" s="1146"/>
      <c r="BH9" s="1146"/>
      <c r="BI9" s="1146"/>
      <c r="BJ9" s="1146"/>
      <c r="BK9" s="1146"/>
      <c r="BL9" s="1146"/>
      <c r="BM9" s="1146"/>
      <c r="BN9" s="1146"/>
      <c r="BO9" s="1146"/>
      <c r="BP9" s="496"/>
      <c r="BQ9" s="493"/>
      <c r="BR9" s="493"/>
      <c r="BS9" s="493"/>
      <c r="BT9" s="493"/>
    </row>
    <row r="10" spans="1:72" ht="16.5" x14ac:dyDescent="0.25">
      <c r="A10" s="494"/>
      <c r="B10" s="1141" t="s">
        <v>8741</v>
      </c>
      <c r="C10" s="1141"/>
      <c r="D10" s="1141"/>
      <c r="E10" s="1141"/>
      <c r="F10" s="1141"/>
      <c r="G10" s="1141"/>
      <c r="H10" s="1141"/>
      <c r="I10" s="1141"/>
      <c r="J10" s="1141"/>
      <c r="K10" s="1141"/>
      <c r="L10" s="1141"/>
      <c r="M10" s="1141"/>
      <c r="N10" s="1141"/>
      <c r="O10" s="1141"/>
      <c r="P10" s="1141"/>
      <c r="Q10" s="1141"/>
      <c r="R10" s="1141"/>
      <c r="S10" s="1141"/>
      <c r="T10" s="1141"/>
      <c r="U10" s="1141"/>
      <c r="V10" s="1141"/>
      <c r="W10" s="1141"/>
      <c r="X10" s="1141"/>
      <c r="Y10" s="1141"/>
      <c r="Z10" s="495"/>
      <c r="AA10" s="1146"/>
      <c r="AB10" s="1146"/>
      <c r="AC10" s="1146"/>
      <c r="AD10" s="1146"/>
      <c r="AE10" s="1146"/>
      <c r="AF10" s="1146"/>
      <c r="AG10" s="1146"/>
      <c r="AH10" s="1146"/>
      <c r="AI10" s="1146"/>
      <c r="AJ10" s="1146"/>
      <c r="AK10" s="1146"/>
      <c r="AL10" s="1146"/>
      <c r="AM10" s="1146"/>
      <c r="AN10" s="495"/>
      <c r="AO10" s="1155"/>
      <c r="AP10" s="1155"/>
      <c r="AQ10" s="1146" t="s">
        <v>8728</v>
      </c>
      <c r="AR10" s="1146"/>
      <c r="AS10" s="1146"/>
      <c r="AT10" s="1146"/>
      <c r="AU10" s="1146"/>
      <c r="AV10" s="1146"/>
      <c r="AW10" s="1146"/>
      <c r="AX10" s="1146"/>
      <c r="AY10" s="1146"/>
      <c r="AZ10" s="1146"/>
      <c r="BA10" s="1146"/>
      <c r="BB10" s="496"/>
      <c r="BC10" s="500"/>
      <c r="BD10" s="500"/>
      <c r="BE10" s="500"/>
      <c r="BF10" s="500"/>
      <c r="BG10" s="500"/>
      <c r="BH10" s="500"/>
      <c r="BI10" s="500"/>
      <c r="BJ10" s="500"/>
      <c r="BK10" s="500"/>
      <c r="BL10" s="500"/>
      <c r="BM10" s="500"/>
      <c r="BN10" s="500"/>
      <c r="BO10" s="500"/>
      <c r="BP10" s="497"/>
      <c r="BQ10" s="493"/>
      <c r="BR10" s="493"/>
      <c r="BS10" s="493"/>
      <c r="BT10" s="493"/>
    </row>
    <row r="11" spans="1:72" ht="16.5" x14ac:dyDescent="0.25">
      <c r="A11" s="494"/>
      <c r="B11" s="1141" t="s">
        <v>8742</v>
      </c>
      <c r="C11" s="1141"/>
      <c r="D11" s="1141"/>
      <c r="E11" s="1141"/>
      <c r="F11" s="1141"/>
      <c r="G11" s="1141"/>
      <c r="H11" s="1141"/>
      <c r="I11" s="1141"/>
      <c r="J11" s="1141"/>
      <c r="K11" s="1141"/>
      <c r="L11" s="1141"/>
      <c r="M11" s="1141"/>
      <c r="N11" s="1141"/>
      <c r="O11" s="1141"/>
      <c r="P11" s="1141"/>
      <c r="Q11" s="1141"/>
      <c r="R11" s="1141"/>
      <c r="S11" s="1141"/>
      <c r="T11" s="1141"/>
      <c r="U11" s="1141"/>
      <c r="V11" s="1141"/>
      <c r="W11" s="1141"/>
      <c r="X11" s="1141"/>
      <c r="Y11" s="1141"/>
      <c r="Z11" s="495"/>
      <c r="AA11" s="1146"/>
      <c r="AB11" s="1146"/>
      <c r="AC11" s="1146"/>
      <c r="AD11" s="1146"/>
      <c r="AE11" s="1146"/>
      <c r="AF11" s="1146"/>
      <c r="AG11" s="1146"/>
      <c r="AH11" s="1146"/>
      <c r="AI11" s="1146"/>
      <c r="AJ11" s="1146"/>
      <c r="AK11" s="1146"/>
      <c r="AL11" s="1146"/>
      <c r="AM11" s="1146"/>
      <c r="AN11" s="496"/>
      <c r="AO11" s="498"/>
      <c r="AP11" s="498"/>
      <c r="AQ11" s="498"/>
      <c r="AR11" s="498"/>
      <c r="AS11" s="498"/>
      <c r="AT11" s="498"/>
      <c r="AU11" s="498"/>
      <c r="AV11" s="498"/>
      <c r="AW11" s="498"/>
      <c r="AX11" s="498"/>
      <c r="AY11" s="498"/>
      <c r="AZ11" s="498"/>
      <c r="BA11" s="498"/>
      <c r="BB11" s="499"/>
      <c r="BC11" s="1146" t="s">
        <v>8743</v>
      </c>
      <c r="BD11" s="1146"/>
      <c r="BE11" s="1146"/>
      <c r="BF11" s="1146"/>
      <c r="BG11" s="1146"/>
      <c r="BH11" s="1146"/>
      <c r="BI11" s="1146"/>
      <c r="BJ11" s="1146"/>
      <c r="BK11" s="1146"/>
      <c r="BL11" s="1146"/>
      <c r="BM11" s="1146"/>
      <c r="BN11" s="1146"/>
      <c r="BO11" s="1146"/>
      <c r="BP11" s="496"/>
      <c r="BQ11" s="493"/>
      <c r="BR11" s="493"/>
      <c r="BS11" s="493"/>
      <c r="BT11" s="493"/>
    </row>
    <row r="12" spans="1:72" ht="15.65" customHeight="1" x14ac:dyDescent="0.25">
      <c r="A12" s="494"/>
      <c r="B12" s="1141" t="s">
        <v>8744</v>
      </c>
      <c r="C12" s="1141"/>
      <c r="D12" s="1141"/>
      <c r="E12" s="1141"/>
      <c r="F12" s="1141"/>
      <c r="G12" s="1141"/>
      <c r="H12" s="1141"/>
      <c r="I12" s="1141"/>
      <c r="J12" s="1141"/>
      <c r="K12" s="1141"/>
      <c r="L12" s="1141"/>
      <c r="M12" s="1141"/>
      <c r="N12" s="1141"/>
      <c r="O12" s="1141"/>
      <c r="P12" s="1141"/>
      <c r="Q12" s="1141"/>
      <c r="R12" s="1141"/>
      <c r="S12" s="1141"/>
      <c r="T12" s="1141"/>
      <c r="U12" s="1141"/>
      <c r="V12" s="1141"/>
      <c r="W12" s="1141"/>
      <c r="X12" s="1141"/>
      <c r="Y12" s="1141"/>
      <c r="Z12" s="495"/>
      <c r="AA12" s="1146"/>
      <c r="AB12" s="1146"/>
      <c r="AC12" s="1146"/>
      <c r="AD12" s="1146"/>
      <c r="AE12" s="1146"/>
      <c r="AF12" s="1146"/>
      <c r="AG12" s="1146"/>
      <c r="AH12" s="1146"/>
      <c r="AI12" s="1146"/>
      <c r="AJ12" s="1146"/>
      <c r="AK12" s="1146"/>
      <c r="AL12" s="1146"/>
      <c r="AM12" s="1146"/>
      <c r="AN12" s="495"/>
      <c r="AO12" s="1145"/>
      <c r="AP12" s="1145"/>
      <c r="AQ12" s="1146" t="s">
        <v>8745</v>
      </c>
      <c r="AR12" s="1146"/>
      <c r="AS12" s="1146"/>
      <c r="AT12" s="1146"/>
      <c r="AU12" s="1146"/>
      <c r="AV12" s="1146"/>
      <c r="AW12" s="1146"/>
      <c r="AX12" s="1146"/>
      <c r="AY12" s="1146"/>
      <c r="AZ12" s="1146"/>
      <c r="BA12" s="1146"/>
      <c r="BB12" s="495"/>
      <c r="BC12" s="1146" t="s">
        <v>8746</v>
      </c>
      <c r="BD12" s="1146"/>
      <c r="BE12" s="1146"/>
      <c r="BF12" s="1146"/>
      <c r="BG12" s="1146"/>
      <c r="BH12" s="1146"/>
      <c r="BI12" s="1146"/>
      <c r="BJ12" s="1146"/>
      <c r="BK12" s="1146"/>
      <c r="BL12" s="1146"/>
      <c r="BM12" s="1146"/>
      <c r="BN12" s="1146"/>
      <c r="BO12" s="1146"/>
      <c r="BP12" s="496"/>
      <c r="BQ12" s="493"/>
      <c r="BR12" s="493"/>
      <c r="BS12" s="493"/>
      <c r="BT12" s="493"/>
    </row>
    <row r="13" spans="1:72" ht="15.65" customHeight="1" x14ac:dyDescent="0.25">
      <c r="A13" s="494"/>
      <c r="B13" s="1141" t="s">
        <v>8747</v>
      </c>
      <c r="C13" s="1141"/>
      <c r="D13" s="1141"/>
      <c r="E13" s="1141"/>
      <c r="F13" s="1141"/>
      <c r="G13" s="1141"/>
      <c r="H13" s="1141"/>
      <c r="I13" s="1141"/>
      <c r="J13" s="1141"/>
      <c r="K13" s="1141"/>
      <c r="L13" s="1141"/>
      <c r="M13" s="1141"/>
      <c r="N13" s="1141"/>
      <c r="O13" s="1141"/>
      <c r="P13" s="1141"/>
      <c r="Q13" s="1141"/>
      <c r="R13" s="1141"/>
      <c r="S13" s="1141"/>
      <c r="T13" s="1141"/>
      <c r="U13" s="1141"/>
      <c r="V13" s="1141"/>
      <c r="W13" s="1141"/>
      <c r="X13" s="1141"/>
      <c r="Y13" s="1141"/>
      <c r="Z13" s="495"/>
      <c r="AA13" s="1146"/>
      <c r="AB13" s="1146"/>
      <c r="AC13" s="1146"/>
      <c r="AD13" s="1146"/>
      <c r="AE13" s="1146"/>
      <c r="AF13" s="1146"/>
      <c r="AG13" s="1146"/>
      <c r="AH13" s="1146"/>
      <c r="AI13" s="1146"/>
      <c r="AJ13" s="1146"/>
      <c r="AK13" s="1146"/>
      <c r="AL13" s="1146"/>
      <c r="AM13" s="1146"/>
      <c r="AN13" s="495"/>
      <c r="AO13" s="1145"/>
      <c r="AP13" s="1145"/>
      <c r="AQ13" s="1144" t="s">
        <v>8748</v>
      </c>
      <c r="AR13" s="1144"/>
      <c r="AS13" s="1144"/>
      <c r="AT13" s="1144"/>
      <c r="AU13" s="1144"/>
      <c r="AV13" s="1144"/>
      <c r="AW13" s="1144"/>
      <c r="AX13" s="1144"/>
      <c r="AY13" s="1144"/>
      <c r="AZ13" s="1144"/>
      <c r="BA13" s="1144"/>
      <c r="BB13" s="495"/>
      <c r="BC13" s="1146"/>
      <c r="BD13" s="1146"/>
      <c r="BE13" s="1146"/>
      <c r="BF13" s="1146"/>
      <c r="BG13" s="1146"/>
      <c r="BH13" s="1146"/>
      <c r="BI13" s="1146"/>
      <c r="BJ13" s="1146"/>
      <c r="BK13" s="1146"/>
      <c r="BL13" s="1146"/>
      <c r="BM13" s="1146"/>
      <c r="BN13" s="1146"/>
      <c r="BO13" s="1146"/>
      <c r="BP13" s="496"/>
      <c r="BQ13" s="493"/>
      <c r="BR13" s="493"/>
      <c r="BS13" s="493"/>
      <c r="BT13" s="493"/>
    </row>
    <row r="14" spans="1:72" ht="16.5" x14ac:dyDescent="0.25">
      <c r="A14" s="494"/>
      <c r="B14" s="1141" t="s">
        <v>8749</v>
      </c>
      <c r="C14" s="1141"/>
      <c r="D14" s="1141"/>
      <c r="E14" s="1141"/>
      <c r="F14" s="1141"/>
      <c r="G14" s="1141"/>
      <c r="H14" s="1141"/>
      <c r="I14" s="1141"/>
      <c r="J14" s="1141"/>
      <c r="K14" s="1141"/>
      <c r="L14" s="1141"/>
      <c r="M14" s="1141"/>
      <c r="N14" s="1141"/>
      <c r="O14" s="1141"/>
      <c r="P14" s="1141"/>
      <c r="Q14" s="1141"/>
      <c r="R14" s="1141"/>
      <c r="S14" s="1141"/>
      <c r="T14" s="1141"/>
      <c r="U14" s="1141"/>
      <c r="V14" s="1141"/>
      <c r="W14" s="1141"/>
      <c r="X14" s="1141"/>
      <c r="Y14" s="1141"/>
      <c r="Z14" s="496"/>
      <c r="AA14" s="501"/>
      <c r="AB14" s="501"/>
      <c r="AC14" s="501"/>
      <c r="AD14" s="501"/>
      <c r="AE14" s="501"/>
      <c r="AF14" s="501"/>
      <c r="AG14" s="501"/>
      <c r="AH14" s="501"/>
      <c r="AI14" s="501"/>
      <c r="AJ14" s="501"/>
      <c r="AK14" s="501"/>
      <c r="AL14" s="501"/>
      <c r="AM14" s="501"/>
      <c r="AN14" s="497"/>
      <c r="AO14" s="502"/>
      <c r="AP14" s="502"/>
      <c r="AQ14" s="502"/>
      <c r="AR14" s="502"/>
      <c r="AS14" s="502"/>
      <c r="AT14" s="502"/>
      <c r="AU14" s="502"/>
      <c r="AV14" s="502"/>
      <c r="AW14" s="502"/>
      <c r="AX14" s="502"/>
      <c r="AY14" s="502"/>
      <c r="AZ14" s="502"/>
      <c r="BA14" s="502"/>
      <c r="BB14" s="497"/>
      <c r="BC14" s="500"/>
      <c r="BD14" s="500"/>
      <c r="BE14" s="500"/>
      <c r="BF14" s="500"/>
      <c r="BG14" s="500"/>
      <c r="BH14" s="500"/>
      <c r="BI14" s="500"/>
      <c r="BJ14" s="500"/>
      <c r="BK14" s="500"/>
      <c r="BL14" s="500"/>
      <c r="BM14" s="500"/>
      <c r="BN14" s="500"/>
      <c r="BO14" s="500"/>
      <c r="BP14" s="497"/>
      <c r="BQ14" s="493"/>
      <c r="BR14" s="493"/>
      <c r="BS14" s="493"/>
      <c r="BT14" s="493"/>
    </row>
    <row r="15" spans="1:72" ht="15.65" customHeight="1" x14ac:dyDescent="0.25">
      <c r="A15" s="494"/>
      <c r="B15" s="1141" t="s">
        <v>8750</v>
      </c>
      <c r="C15" s="1141"/>
      <c r="D15" s="1141"/>
      <c r="E15" s="1141"/>
      <c r="F15" s="1141"/>
      <c r="G15" s="1141"/>
      <c r="H15" s="1141"/>
      <c r="I15" s="1141"/>
      <c r="J15" s="1141"/>
      <c r="K15" s="1141"/>
      <c r="L15" s="1141"/>
      <c r="M15" s="1141"/>
      <c r="N15" s="1141"/>
      <c r="O15" s="1141"/>
      <c r="P15" s="1141"/>
      <c r="Q15" s="1141"/>
      <c r="R15" s="1141"/>
      <c r="S15" s="1141"/>
      <c r="T15" s="1141"/>
      <c r="U15" s="1141"/>
      <c r="V15" s="1141"/>
      <c r="W15" s="1141"/>
      <c r="X15" s="1141"/>
      <c r="Y15" s="1141"/>
      <c r="Z15" s="496"/>
      <c r="AA15" s="497"/>
      <c r="AB15" s="497"/>
      <c r="AC15" s="497"/>
      <c r="AD15" s="497"/>
      <c r="AE15" s="497"/>
      <c r="AF15" s="497"/>
      <c r="AG15" s="497"/>
      <c r="AH15" s="497"/>
      <c r="AI15" s="497"/>
      <c r="AJ15" s="497"/>
      <c r="AK15" s="497"/>
      <c r="AL15" s="497"/>
      <c r="AM15" s="497"/>
      <c r="AN15" s="499"/>
      <c r="AO15" s="1145"/>
      <c r="AP15" s="1145"/>
      <c r="AQ15" s="1146" t="s">
        <v>8751</v>
      </c>
      <c r="AR15" s="1146"/>
      <c r="AS15" s="1146"/>
      <c r="AT15" s="1146"/>
      <c r="AU15" s="1146"/>
      <c r="AV15" s="1146"/>
      <c r="AW15" s="1146"/>
      <c r="AX15" s="1146"/>
      <c r="AY15" s="1146"/>
      <c r="AZ15" s="1146"/>
      <c r="BA15" s="1146"/>
      <c r="BB15" s="495"/>
      <c r="BC15" s="1146" t="s">
        <v>8752</v>
      </c>
      <c r="BD15" s="1146"/>
      <c r="BE15" s="1146"/>
      <c r="BF15" s="1146"/>
      <c r="BG15" s="1146"/>
      <c r="BH15" s="1146"/>
      <c r="BI15" s="1146"/>
      <c r="BJ15" s="1146"/>
      <c r="BK15" s="1146"/>
      <c r="BL15" s="1146"/>
      <c r="BM15" s="1146"/>
      <c r="BN15" s="1146"/>
      <c r="BO15" s="1146"/>
      <c r="BP15" s="496"/>
      <c r="BQ15" s="493"/>
      <c r="BR15" s="493"/>
      <c r="BS15" s="493"/>
      <c r="BT15" s="493"/>
    </row>
    <row r="16" spans="1:72" ht="15.65" customHeight="1" x14ac:dyDescent="0.25">
      <c r="A16" s="494"/>
      <c r="B16" s="1141" t="s">
        <v>8753</v>
      </c>
      <c r="C16" s="1141"/>
      <c r="D16" s="1141"/>
      <c r="E16" s="1141"/>
      <c r="F16" s="1141"/>
      <c r="G16" s="1141"/>
      <c r="H16" s="1141"/>
      <c r="I16" s="1141"/>
      <c r="J16" s="1141"/>
      <c r="K16" s="1141"/>
      <c r="L16" s="1141"/>
      <c r="M16" s="1141"/>
      <c r="N16" s="1141"/>
      <c r="O16" s="1141"/>
      <c r="P16" s="1141"/>
      <c r="Q16" s="1141"/>
      <c r="R16" s="1141"/>
      <c r="S16" s="1141"/>
      <c r="T16" s="1141"/>
      <c r="U16" s="1141"/>
      <c r="V16" s="1141"/>
      <c r="W16" s="1141"/>
      <c r="X16" s="1141"/>
      <c r="Y16" s="1141"/>
      <c r="Z16" s="496"/>
      <c r="AA16" s="1147" t="s">
        <v>8754</v>
      </c>
      <c r="AB16" s="1147"/>
      <c r="AC16" s="1147"/>
      <c r="AD16" s="1147"/>
      <c r="AE16" s="1147"/>
      <c r="AF16" s="1147"/>
      <c r="AG16" s="1147"/>
      <c r="AH16" s="1147"/>
      <c r="AI16" s="1147"/>
      <c r="AJ16" s="1147"/>
      <c r="AK16" s="1147"/>
      <c r="AL16" s="1147"/>
      <c r="AM16" s="1147"/>
      <c r="AN16" s="499"/>
      <c r="AO16" s="1145"/>
      <c r="AP16" s="1145"/>
      <c r="AQ16" s="1144" t="s">
        <v>8755</v>
      </c>
      <c r="AR16" s="1144"/>
      <c r="AS16" s="1144"/>
      <c r="AT16" s="1144"/>
      <c r="AU16" s="1144"/>
      <c r="AV16" s="1144"/>
      <c r="AW16" s="1144"/>
      <c r="AX16" s="1144"/>
      <c r="AY16" s="1144"/>
      <c r="AZ16" s="1144"/>
      <c r="BA16" s="1144"/>
      <c r="BB16" s="495"/>
      <c r="BC16" s="1146" t="s">
        <v>8756</v>
      </c>
      <c r="BD16" s="1146"/>
      <c r="BE16" s="1146"/>
      <c r="BF16" s="1146"/>
      <c r="BG16" s="1146"/>
      <c r="BH16" s="1146"/>
      <c r="BI16" s="1146"/>
      <c r="BJ16" s="1146"/>
      <c r="BK16" s="1146"/>
      <c r="BL16" s="1146"/>
      <c r="BM16" s="1146"/>
      <c r="BN16" s="1146"/>
      <c r="BO16" s="1146"/>
      <c r="BP16" s="496"/>
      <c r="BQ16" s="493"/>
      <c r="BR16" s="493"/>
      <c r="BS16" s="493"/>
      <c r="BT16" s="493"/>
    </row>
    <row r="17" spans="1:74" ht="16.5" x14ac:dyDescent="0.25">
      <c r="A17" s="494"/>
      <c r="B17" s="1141" t="s">
        <v>8757</v>
      </c>
      <c r="C17" s="1141"/>
      <c r="D17" s="1141"/>
      <c r="E17" s="1141"/>
      <c r="F17" s="1141"/>
      <c r="G17" s="1141"/>
      <c r="H17" s="1141"/>
      <c r="I17" s="1141"/>
      <c r="J17" s="1141"/>
      <c r="K17" s="1141"/>
      <c r="L17" s="1141"/>
      <c r="M17" s="1141"/>
      <c r="N17" s="1141"/>
      <c r="O17" s="1141"/>
      <c r="P17" s="1141"/>
      <c r="Q17" s="1141"/>
      <c r="R17" s="1141"/>
      <c r="S17" s="1141"/>
      <c r="T17" s="1141"/>
      <c r="U17" s="1141"/>
      <c r="V17" s="1141"/>
      <c r="W17" s="1141"/>
      <c r="X17" s="1141"/>
      <c r="Y17" s="1141"/>
      <c r="Z17" s="496"/>
      <c r="AA17" s="1147" t="s">
        <v>8758</v>
      </c>
      <c r="AB17" s="1147"/>
      <c r="AC17" s="1147"/>
      <c r="AD17" s="1147"/>
      <c r="AE17" s="1147"/>
      <c r="AF17" s="1147"/>
      <c r="AG17" s="1147"/>
      <c r="AH17" s="1147"/>
      <c r="AI17" s="1147"/>
      <c r="AJ17" s="1147"/>
      <c r="AK17" s="1147"/>
      <c r="AL17" s="1147"/>
      <c r="AM17" s="1147"/>
      <c r="AN17" s="497"/>
      <c r="AO17" s="502"/>
      <c r="AP17" s="502"/>
      <c r="AQ17" s="502"/>
      <c r="AR17" s="502"/>
      <c r="AS17" s="502"/>
      <c r="AT17" s="502"/>
      <c r="AU17" s="502"/>
      <c r="AV17" s="502"/>
      <c r="AW17" s="502"/>
      <c r="AX17" s="502"/>
      <c r="AY17" s="502"/>
      <c r="AZ17" s="502"/>
      <c r="BA17" s="502"/>
      <c r="BB17" s="499"/>
      <c r="BC17" s="1146"/>
      <c r="BD17" s="1146"/>
      <c r="BE17" s="1146"/>
      <c r="BF17" s="1146"/>
      <c r="BG17" s="1146"/>
      <c r="BH17" s="1146"/>
      <c r="BI17" s="1146"/>
      <c r="BJ17" s="1146"/>
      <c r="BK17" s="1146"/>
      <c r="BL17" s="1146"/>
      <c r="BM17" s="1146"/>
      <c r="BN17" s="1146"/>
      <c r="BO17" s="1146"/>
      <c r="BP17" s="496"/>
      <c r="BQ17" s="493"/>
      <c r="BR17" s="493"/>
      <c r="BS17" s="493"/>
      <c r="BT17" s="493"/>
    </row>
    <row r="18" spans="1:74" ht="17.399999999999999" customHeight="1" x14ac:dyDescent="0.25">
      <c r="A18" s="494"/>
      <c r="B18" s="1141" t="s">
        <v>8759</v>
      </c>
      <c r="C18" s="1141"/>
      <c r="D18" s="1141"/>
      <c r="E18" s="1141"/>
      <c r="F18" s="1141"/>
      <c r="G18" s="1141"/>
      <c r="H18" s="1141"/>
      <c r="I18" s="1141"/>
      <c r="J18" s="1141"/>
      <c r="K18" s="1141"/>
      <c r="L18" s="1141"/>
      <c r="M18" s="1141"/>
      <c r="N18" s="1141"/>
      <c r="O18" s="1141"/>
      <c r="P18" s="1141"/>
      <c r="Q18" s="1141"/>
      <c r="R18" s="1141"/>
      <c r="S18" s="1141"/>
      <c r="T18" s="1141"/>
      <c r="U18" s="1141"/>
      <c r="V18" s="1141"/>
      <c r="W18" s="1141"/>
      <c r="X18" s="1141"/>
      <c r="Y18" s="1141"/>
      <c r="Z18" s="496"/>
      <c r="AA18" s="1164" t="s">
        <v>8760</v>
      </c>
      <c r="AB18" s="1164"/>
      <c r="AC18" s="1164"/>
      <c r="AD18" s="1164"/>
      <c r="AE18" s="1164"/>
      <c r="AF18" s="1164"/>
      <c r="AG18" s="1164"/>
      <c r="AH18" s="1164"/>
      <c r="AI18" s="1164"/>
      <c r="AJ18" s="1164"/>
      <c r="AK18" s="1164"/>
      <c r="AL18" s="1164"/>
      <c r="AM18" s="497"/>
      <c r="AN18" s="499"/>
      <c r="AO18" s="1145"/>
      <c r="AP18" s="1145"/>
      <c r="AQ18" s="1146" t="s">
        <v>8761</v>
      </c>
      <c r="AR18" s="1146"/>
      <c r="AS18" s="1146"/>
      <c r="AT18" s="1146"/>
      <c r="AU18" s="1146"/>
      <c r="AV18" s="1146"/>
      <c r="AW18" s="1146"/>
      <c r="AX18" s="1146"/>
      <c r="AY18" s="1146"/>
      <c r="AZ18" s="1146"/>
      <c r="BA18" s="1146"/>
      <c r="BB18" s="496"/>
      <c r="BC18" s="503"/>
      <c r="BD18" s="503"/>
      <c r="BE18" s="503"/>
      <c r="BF18" s="503"/>
      <c r="BG18" s="503"/>
      <c r="BH18" s="503"/>
      <c r="BI18" s="503"/>
      <c r="BJ18" s="503"/>
      <c r="BK18" s="503"/>
      <c r="BL18" s="503"/>
      <c r="BM18" s="503"/>
      <c r="BN18" s="503"/>
      <c r="BO18" s="503"/>
      <c r="BP18" s="497"/>
      <c r="BQ18" s="493"/>
      <c r="BR18" s="493"/>
      <c r="BS18" s="493"/>
      <c r="BT18" s="493"/>
      <c r="BU18" s="493"/>
      <c r="BV18" s="493"/>
    </row>
    <row r="19" spans="1:74" ht="15.65" customHeight="1" x14ac:dyDescent="0.25">
      <c r="A19" s="494"/>
      <c r="B19" s="1141" t="s">
        <v>8762</v>
      </c>
      <c r="C19" s="1141"/>
      <c r="D19" s="1141"/>
      <c r="E19" s="1141"/>
      <c r="F19" s="1141"/>
      <c r="G19" s="1141"/>
      <c r="H19" s="1141"/>
      <c r="I19" s="1141"/>
      <c r="J19" s="1141"/>
      <c r="K19" s="1141"/>
      <c r="L19" s="1141"/>
      <c r="M19" s="1141"/>
      <c r="N19" s="1141"/>
      <c r="O19" s="1141"/>
      <c r="P19" s="1141"/>
      <c r="Q19" s="1141"/>
      <c r="R19" s="1141"/>
      <c r="S19" s="1141"/>
      <c r="T19" s="1141"/>
      <c r="U19" s="1141"/>
      <c r="V19" s="1141"/>
      <c r="W19" s="1141"/>
      <c r="X19" s="1141"/>
      <c r="Y19" s="1141"/>
      <c r="Z19" s="496"/>
      <c r="AA19" s="497"/>
      <c r="AB19" s="497"/>
      <c r="AC19" s="497"/>
      <c r="AD19" s="497"/>
      <c r="AE19" s="497"/>
      <c r="AF19" s="497"/>
      <c r="AG19" s="497"/>
      <c r="AH19" s="497"/>
      <c r="AI19" s="497"/>
      <c r="AJ19" s="497"/>
      <c r="AK19" s="497"/>
      <c r="AL19" s="497"/>
      <c r="AM19" s="497"/>
      <c r="AN19" s="499"/>
      <c r="AO19" s="1145"/>
      <c r="AP19" s="1145"/>
      <c r="AQ19" s="1144" t="s">
        <v>8763</v>
      </c>
      <c r="AR19" s="1144"/>
      <c r="AS19" s="1144"/>
      <c r="AT19" s="1144"/>
      <c r="AU19" s="1144"/>
      <c r="AV19" s="1144"/>
      <c r="AW19" s="1144"/>
      <c r="AX19" s="1144"/>
      <c r="AY19" s="1144"/>
      <c r="AZ19" s="1144"/>
      <c r="BA19" s="1144"/>
      <c r="BB19" s="495"/>
      <c r="BC19" s="1150" t="s">
        <v>8764</v>
      </c>
      <c r="BD19" s="1151"/>
      <c r="BE19" s="1151"/>
      <c r="BF19" s="1151"/>
      <c r="BG19" s="1151"/>
      <c r="BH19" s="1151"/>
      <c r="BI19" s="1151"/>
      <c r="BJ19" s="1151"/>
      <c r="BK19" s="1151"/>
      <c r="BL19" s="1151"/>
      <c r="BM19" s="1151"/>
      <c r="BN19" s="1151"/>
      <c r="BO19" s="1152"/>
      <c r="BP19" s="504"/>
      <c r="BQ19" s="493"/>
      <c r="BR19" s="493"/>
      <c r="BS19" s="493"/>
      <c r="BT19" s="493"/>
      <c r="BU19" s="493"/>
      <c r="BV19" s="493"/>
    </row>
    <row r="20" spans="1:74" ht="15.65" customHeight="1" x14ac:dyDescent="0.25">
      <c r="A20" s="494"/>
      <c r="B20" s="1141" t="s">
        <v>8765</v>
      </c>
      <c r="C20" s="1141"/>
      <c r="D20" s="1141"/>
      <c r="E20" s="1141"/>
      <c r="F20" s="1141"/>
      <c r="G20" s="1141"/>
      <c r="H20" s="1141"/>
      <c r="I20" s="1141"/>
      <c r="J20" s="1141"/>
      <c r="K20" s="1141"/>
      <c r="L20" s="1141"/>
      <c r="M20" s="1141"/>
      <c r="N20" s="1141"/>
      <c r="O20" s="1141"/>
      <c r="P20" s="1141"/>
      <c r="Q20" s="1141"/>
      <c r="R20" s="1141"/>
      <c r="S20" s="1141"/>
      <c r="T20" s="1141"/>
      <c r="U20" s="1141"/>
      <c r="V20" s="1141"/>
      <c r="W20" s="1141"/>
      <c r="X20" s="1141"/>
      <c r="Y20" s="1141"/>
      <c r="Z20" s="496"/>
      <c r="AA20" s="1148" t="s">
        <v>8766</v>
      </c>
      <c r="AB20" s="1148"/>
      <c r="AC20" s="1148"/>
      <c r="AD20" s="1148"/>
      <c r="AE20" s="1148"/>
      <c r="AF20" s="1148"/>
      <c r="AG20" s="1148"/>
      <c r="AH20" s="1148"/>
      <c r="AI20" s="1148"/>
      <c r="AJ20" s="1148"/>
      <c r="AK20" s="1148"/>
      <c r="AL20" s="1148"/>
      <c r="AM20" s="1148"/>
      <c r="AN20" s="497"/>
      <c r="AO20" s="505"/>
      <c r="AP20" s="505"/>
      <c r="AQ20" s="505"/>
      <c r="AR20" s="505"/>
      <c r="AS20" s="505"/>
      <c r="AT20" s="505"/>
      <c r="AU20" s="505"/>
      <c r="AV20" s="506"/>
      <c r="AW20" s="505"/>
      <c r="AX20" s="505"/>
      <c r="AY20" s="505"/>
      <c r="AZ20" s="505"/>
      <c r="BA20" s="505"/>
      <c r="BB20" s="499"/>
      <c r="BC20" s="1156" t="s">
        <v>8767</v>
      </c>
      <c r="BD20" s="1157"/>
      <c r="BE20" s="1157"/>
      <c r="BF20" s="1157"/>
      <c r="BG20" s="1157"/>
      <c r="BH20" s="1158"/>
      <c r="BI20" s="507"/>
      <c r="BJ20" s="1156" t="s">
        <v>8768</v>
      </c>
      <c r="BK20" s="1157"/>
      <c r="BL20" s="1157"/>
      <c r="BM20" s="1157"/>
      <c r="BN20" s="1157"/>
      <c r="BO20" s="1158"/>
      <c r="BP20" s="496"/>
      <c r="BQ20" s="493"/>
      <c r="BR20" s="493"/>
      <c r="BS20" s="493"/>
      <c r="BT20" s="493"/>
      <c r="BU20" s="493"/>
      <c r="BV20" s="493"/>
    </row>
    <row r="21" spans="1:74" ht="15.65" customHeight="1" x14ac:dyDescent="0.25">
      <c r="A21" s="494"/>
      <c r="B21" s="1141" t="s">
        <v>8769</v>
      </c>
      <c r="C21" s="1141"/>
      <c r="D21" s="1141"/>
      <c r="E21" s="1141"/>
      <c r="F21" s="1141"/>
      <c r="G21" s="1141"/>
      <c r="H21" s="1141"/>
      <c r="I21" s="1141"/>
      <c r="J21" s="1141"/>
      <c r="K21" s="1141"/>
      <c r="L21" s="1141"/>
      <c r="M21" s="1141"/>
      <c r="N21" s="1141"/>
      <c r="O21" s="1141"/>
      <c r="P21" s="1141"/>
      <c r="Q21" s="1141"/>
      <c r="R21" s="1141"/>
      <c r="S21" s="1141"/>
      <c r="T21" s="1141"/>
      <c r="U21" s="1141"/>
      <c r="V21" s="1141"/>
      <c r="W21" s="1141"/>
      <c r="X21" s="1141"/>
      <c r="Y21" s="1141"/>
      <c r="Z21" s="496"/>
      <c r="AA21" s="1148" t="s">
        <v>8770</v>
      </c>
      <c r="AB21" s="1148"/>
      <c r="AC21" s="1148"/>
      <c r="AD21" s="1148"/>
      <c r="AE21" s="1148"/>
      <c r="AF21" s="1148"/>
      <c r="AG21" s="1148"/>
      <c r="AH21" s="1148"/>
      <c r="AI21" s="1148"/>
      <c r="AJ21" s="1148"/>
      <c r="AK21" s="1148"/>
      <c r="AL21" s="1148"/>
      <c r="AM21" s="1148"/>
      <c r="AN21" s="497"/>
      <c r="BB21" s="497"/>
      <c r="BC21" s="1159"/>
      <c r="BD21" s="1160"/>
      <c r="BE21" s="1160"/>
      <c r="BF21" s="1160"/>
      <c r="BG21" s="1160"/>
      <c r="BH21" s="1161"/>
      <c r="BI21" s="508"/>
      <c r="BJ21" s="1159"/>
      <c r="BK21" s="1160"/>
      <c r="BL21" s="1160"/>
      <c r="BM21" s="1160"/>
      <c r="BN21" s="1160"/>
      <c r="BO21" s="1161"/>
      <c r="BP21" s="497"/>
      <c r="BQ21" s="493"/>
      <c r="BR21" s="493"/>
      <c r="BS21" s="493"/>
      <c r="BT21" s="493"/>
      <c r="BU21" s="493"/>
      <c r="BV21" s="493"/>
    </row>
    <row r="22" spans="1:74" ht="15.65" customHeight="1" x14ac:dyDescent="0.25">
      <c r="A22" s="494"/>
      <c r="B22" s="1141" t="s">
        <v>8771</v>
      </c>
      <c r="C22" s="1141"/>
      <c r="D22" s="1141"/>
      <c r="E22" s="1141"/>
      <c r="F22" s="1141"/>
      <c r="G22" s="1141"/>
      <c r="H22" s="1141"/>
      <c r="I22" s="1141"/>
      <c r="J22" s="1141"/>
      <c r="K22" s="1141"/>
      <c r="L22" s="1141"/>
      <c r="M22" s="1141"/>
      <c r="N22" s="1141"/>
      <c r="O22" s="1141"/>
      <c r="P22" s="1141"/>
      <c r="Q22" s="1141"/>
      <c r="R22" s="1141"/>
      <c r="S22" s="1141"/>
      <c r="T22" s="1141"/>
      <c r="U22" s="1141"/>
      <c r="V22" s="1141"/>
      <c r="W22" s="1141"/>
      <c r="X22" s="1141"/>
      <c r="Y22" s="1141"/>
      <c r="Z22" s="496"/>
      <c r="AA22" s="497"/>
      <c r="AB22" s="509"/>
      <c r="AC22" s="509"/>
      <c r="AD22" s="509"/>
      <c r="AE22" s="509"/>
      <c r="AF22" s="509"/>
      <c r="AG22" s="509"/>
      <c r="AH22" s="509"/>
      <c r="AI22" s="509"/>
      <c r="AJ22" s="509"/>
      <c r="AK22" s="509"/>
      <c r="AL22" s="509"/>
      <c r="AM22" s="509"/>
      <c r="AN22" s="509"/>
      <c r="AO22" s="503"/>
      <c r="AP22" s="503"/>
      <c r="AQ22" s="503"/>
      <c r="AR22" s="503"/>
      <c r="AS22" s="503"/>
      <c r="AT22" s="503"/>
      <c r="AU22" s="503"/>
      <c r="AV22" s="503"/>
      <c r="AW22" s="503"/>
      <c r="AX22" s="503"/>
      <c r="AY22" s="503"/>
      <c r="AZ22" s="503"/>
      <c r="BA22" s="503"/>
      <c r="BB22" s="497"/>
      <c r="BP22" s="497"/>
      <c r="BQ22" s="493"/>
      <c r="BR22" s="493"/>
      <c r="BS22" s="493"/>
      <c r="BT22" s="493"/>
      <c r="BU22" s="493"/>
      <c r="BV22" s="493"/>
    </row>
    <row r="23" spans="1:74" ht="15.65" customHeight="1" x14ac:dyDescent="0.25">
      <c r="A23" s="494"/>
      <c r="B23" s="1149" t="s">
        <v>8772</v>
      </c>
      <c r="C23" s="1149"/>
      <c r="D23" s="1149"/>
      <c r="E23" s="1149"/>
      <c r="F23" s="1149"/>
      <c r="G23" s="1149"/>
      <c r="H23" s="1149"/>
      <c r="I23" s="1149"/>
      <c r="J23" s="1149"/>
      <c r="K23" s="1149"/>
      <c r="L23" s="1149"/>
      <c r="M23" s="1149"/>
      <c r="N23" s="1149"/>
      <c r="O23" s="1149"/>
      <c r="P23" s="1149"/>
      <c r="Q23" s="1149"/>
      <c r="R23" s="1149"/>
      <c r="S23" s="1149"/>
      <c r="T23" s="1149"/>
      <c r="U23" s="1149"/>
      <c r="V23" s="1149"/>
      <c r="W23" s="1149"/>
      <c r="X23" s="1149"/>
      <c r="Y23" s="1149"/>
      <c r="Z23" s="496"/>
      <c r="AA23" s="499"/>
      <c r="AB23" s="1142" t="s">
        <v>8773</v>
      </c>
      <c r="AC23" s="1142"/>
      <c r="AD23" s="1142"/>
      <c r="AE23" s="1142"/>
      <c r="AF23" s="1142"/>
      <c r="AG23" s="1142"/>
      <c r="AH23" s="1142"/>
      <c r="AI23" s="1142"/>
      <c r="AJ23" s="1142"/>
      <c r="AK23" s="1142"/>
      <c r="AL23" s="1142"/>
      <c r="AM23" s="1142"/>
      <c r="AN23" s="1142"/>
      <c r="AO23" s="1142"/>
      <c r="AP23" s="1142"/>
      <c r="AQ23" s="1142"/>
      <c r="AR23" s="1142"/>
      <c r="AS23" s="1142"/>
      <c r="AT23" s="1142"/>
      <c r="AU23" s="1142"/>
      <c r="AV23" s="1142"/>
      <c r="AW23" s="1142"/>
      <c r="AX23" s="1142"/>
      <c r="AY23" s="1142"/>
      <c r="AZ23" s="1142"/>
      <c r="BA23" s="1142"/>
      <c r="BB23" s="496"/>
      <c r="BP23" s="497"/>
      <c r="BQ23" s="493"/>
      <c r="BR23" s="493"/>
      <c r="BS23" s="493"/>
      <c r="BT23" s="493"/>
      <c r="BU23" s="493"/>
      <c r="BV23" s="493"/>
    </row>
    <row r="24" spans="1:74" ht="15.65" customHeight="1" x14ac:dyDescent="0.25">
      <c r="A24" s="494"/>
      <c r="B24" s="1141" t="s">
        <v>8774</v>
      </c>
      <c r="C24" s="1141"/>
      <c r="D24" s="1141"/>
      <c r="E24" s="1141"/>
      <c r="F24" s="1141"/>
      <c r="G24" s="1141"/>
      <c r="H24" s="1141"/>
      <c r="I24" s="1141"/>
      <c r="J24" s="1141"/>
      <c r="K24" s="1141"/>
      <c r="L24" s="1141"/>
      <c r="M24" s="1141"/>
      <c r="N24" s="1141"/>
      <c r="O24" s="1141"/>
      <c r="P24" s="1141"/>
      <c r="Q24" s="1141"/>
      <c r="R24" s="1141"/>
      <c r="S24" s="1141"/>
      <c r="T24" s="1141"/>
      <c r="U24" s="1141"/>
      <c r="V24" s="1141"/>
      <c r="W24" s="1141"/>
      <c r="X24" s="1141"/>
      <c r="Y24" s="1141"/>
      <c r="Z24" s="496"/>
      <c r="AA24" s="510"/>
      <c r="AB24" s="1142" t="s">
        <v>8775</v>
      </c>
      <c r="AC24" s="1142"/>
      <c r="AD24" s="1142"/>
      <c r="AE24" s="1142"/>
      <c r="AF24" s="1142"/>
      <c r="AG24" s="1142"/>
      <c r="AH24" s="1142"/>
      <c r="AI24" s="1142"/>
      <c r="AJ24" s="1142"/>
      <c r="AK24" s="1142"/>
      <c r="AL24" s="1142"/>
      <c r="AM24" s="1142"/>
      <c r="AN24" s="1142"/>
      <c r="AO24" s="1142"/>
      <c r="AP24" s="1142"/>
      <c r="AQ24" s="1142"/>
      <c r="AR24" s="1142"/>
      <c r="AS24" s="1142"/>
      <c r="AT24" s="1142"/>
      <c r="AU24" s="1142"/>
      <c r="AV24" s="1142"/>
      <c r="AW24" s="1142"/>
      <c r="AX24" s="1142"/>
      <c r="AY24" s="1142"/>
      <c r="AZ24" s="1142"/>
      <c r="BA24" s="1142"/>
      <c r="BB24" s="496"/>
      <c r="BP24" s="497"/>
      <c r="BQ24" s="493"/>
      <c r="BR24" s="493"/>
      <c r="BS24" s="493"/>
      <c r="BT24" s="493"/>
      <c r="BU24" s="493"/>
      <c r="BV24" s="493"/>
    </row>
    <row r="25" spans="1:74" ht="15.65" customHeight="1" x14ac:dyDescent="0.25">
      <c r="A25" s="494"/>
      <c r="B25" s="1141" t="s">
        <v>8776</v>
      </c>
      <c r="C25" s="1141"/>
      <c r="D25" s="1141"/>
      <c r="E25" s="1141"/>
      <c r="F25" s="1141"/>
      <c r="G25" s="1141"/>
      <c r="H25" s="1141"/>
      <c r="I25" s="1141"/>
      <c r="J25" s="1141"/>
      <c r="K25" s="1141"/>
      <c r="L25" s="1141"/>
      <c r="M25" s="1141"/>
      <c r="N25" s="1141"/>
      <c r="O25" s="1141"/>
      <c r="P25" s="1141"/>
      <c r="Q25" s="1141"/>
      <c r="R25" s="1141"/>
      <c r="S25" s="1141"/>
      <c r="T25" s="1141"/>
      <c r="U25" s="1141"/>
      <c r="V25" s="1141"/>
      <c r="W25" s="1141"/>
      <c r="X25" s="1141"/>
      <c r="Y25" s="1141"/>
      <c r="Z25" s="496"/>
      <c r="AA25" s="510"/>
      <c r="AB25" s="1142" t="s">
        <v>8777</v>
      </c>
      <c r="AC25" s="1142"/>
      <c r="AD25" s="1142"/>
      <c r="AE25" s="1142"/>
      <c r="AF25" s="1142"/>
      <c r="AG25" s="1142"/>
      <c r="AH25" s="1142"/>
      <c r="AI25" s="1142"/>
      <c r="AJ25" s="1142"/>
      <c r="AK25" s="1142"/>
      <c r="AL25" s="1142"/>
      <c r="AM25" s="1142"/>
      <c r="AN25" s="1142"/>
      <c r="AO25" s="1142"/>
      <c r="AP25" s="1142"/>
      <c r="AQ25" s="1142"/>
      <c r="AR25" s="1142"/>
      <c r="AS25" s="1142"/>
      <c r="AT25" s="1142"/>
      <c r="AU25" s="1142"/>
      <c r="AV25" s="1142"/>
      <c r="AW25" s="1142"/>
      <c r="AX25" s="1142"/>
      <c r="AY25" s="1142"/>
      <c r="AZ25" s="1142"/>
      <c r="BA25" s="1142"/>
      <c r="BB25" s="496"/>
      <c r="BP25" s="497"/>
      <c r="BQ25" s="493"/>
      <c r="BR25" s="493"/>
      <c r="BS25" s="493"/>
      <c r="BT25" s="493"/>
      <c r="BU25" s="493"/>
      <c r="BV25" s="493"/>
    </row>
    <row r="26" spans="1:74" ht="15.65" customHeight="1" x14ac:dyDescent="0.25">
      <c r="A26" s="494"/>
      <c r="B26" s="1141" t="s">
        <v>8778</v>
      </c>
      <c r="C26" s="1141"/>
      <c r="D26" s="1141"/>
      <c r="E26" s="1141"/>
      <c r="F26" s="1141"/>
      <c r="G26" s="1141"/>
      <c r="H26" s="1141"/>
      <c r="I26" s="1141"/>
      <c r="J26" s="1141"/>
      <c r="K26" s="1141"/>
      <c r="L26" s="1141"/>
      <c r="M26" s="1141"/>
      <c r="N26" s="1141"/>
      <c r="O26" s="1141"/>
      <c r="P26" s="1141"/>
      <c r="Q26" s="1141"/>
      <c r="R26" s="1141"/>
      <c r="S26" s="1141"/>
      <c r="T26" s="1141"/>
      <c r="U26" s="1141"/>
      <c r="V26" s="1141"/>
      <c r="W26" s="1141"/>
      <c r="X26" s="1141"/>
      <c r="Y26" s="1141"/>
      <c r="Z26" s="496"/>
      <c r="AA26" s="510"/>
      <c r="AB26" s="1142" t="s">
        <v>8779</v>
      </c>
      <c r="AC26" s="1142"/>
      <c r="AD26" s="1142"/>
      <c r="AE26" s="1142"/>
      <c r="AF26" s="1142"/>
      <c r="AG26" s="1142"/>
      <c r="AH26" s="1142"/>
      <c r="AI26" s="1142"/>
      <c r="AJ26" s="1142"/>
      <c r="AK26" s="1142"/>
      <c r="AL26" s="1142"/>
      <c r="AM26" s="1142"/>
      <c r="AN26" s="1142"/>
      <c r="AO26" s="1142"/>
      <c r="AP26" s="1142"/>
      <c r="AQ26" s="1142"/>
      <c r="AR26" s="1142"/>
      <c r="AS26" s="1142"/>
      <c r="AT26" s="1142"/>
      <c r="AU26" s="1142"/>
      <c r="AV26" s="1142"/>
      <c r="AW26" s="1142"/>
      <c r="AX26" s="1142"/>
      <c r="AY26" s="1142"/>
      <c r="AZ26" s="1142"/>
      <c r="BA26" s="1142"/>
      <c r="BB26" s="496"/>
      <c r="BC26" s="508"/>
      <c r="BD26" s="508"/>
      <c r="BE26" s="508"/>
      <c r="BF26" s="508"/>
      <c r="BG26" s="508"/>
      <c r="BH26" s="508"/>
      <c r="BI26" s="508"/>
      <c r="BJ26" s="508"/>
      <c r="BK26" s="508"/>
      <c r="BL26" s="508"/>
      <c r="BM26" s="508"/>
      <c r="BN26" s="508"/>
      <c r="BO26" s="508"/>
      <c r="BP26" s="497"/>
      <c r="BQ26" s="493"/>
      <c r="BR26" s="493"/>
      <c r="BS26" s="493"/>
      <c r="BT26" s="493"/>
    </row>
    <row r="27" spans="1:74" ht="15.65" customHeight="1" x14ac:dyDescent="0.25">
      <c r="A27" s="494"/>
      <c r="B27" s="1141" t="s">
        <v>8780</v>
      </c>
      <c r="C27" s="1141"/>
      <c r="D27" s="1141"/>
      <c r="E27" s="1141"/>
      <c r="F27" s="1141"/>
      <c r="G27" s="1141"/>
      <c r="H27" s="1141"/>
      <c r="I27" s="1141"/>
      <c r="J27" s="1141"/>
      <c r="K27" s="1141"/>
      <c r="L27" s="1141"/>
      <c r="M27" s="1141"/>
      <c r="N27" s="1141"/>
      <c r="O27" s="1141"/>
      <c r="P27" s="1141"/>
      <c r="Q27" s="1141"/>
      <c r="R27" s="1141"/>
      <c r="S27" s="1141"/>
      <c r="T27" s="1141"/>
      <c r="U27" s="1141"/>
      <c r="V27" s="1141"/>
      <c r="W27" s="1141"/>
      <c r="X27" s="1141"/>
      <c r="Y27" s="1141"/>
      <c r="Z27" s="496"/>
      <c r="AA27" s="510"/>
      <c r="AB27" s="1142" t="s">
        <v>8781</v>
      </c>
      <c r="AC27" s="1142"/>
      <c r="AD27" s="1142"/>
      <c r="AE27" s="1142"/>
      <c r="AF27" s="1142"/>
      <c r="AG27" s="1142"/>
      <c r="AH27" s="1142"/>
      <c r="AI27" s="1142"/>
      <c r="AJ27" s="1142"/>
      <c r="AK27" s="1142"/>
      <c r="AL27" s="1142"/>
      <c r="AM27" s="1142"/>
      <c r="AN27" s="1142"/>
      <c r="AO27" s="1142"/>
      <c r="AP27" s="1142"/>
      <c r="AQ27" s="1142"/>
      <c r="AR27" s="1142"/>
      <c r="AS27" s="1142"/>
      <c r="AT27" s="1142"/>
      <c r="AU27" s="1142"/>
      <c r="AV27" s="1142"/>
      <c r="AW27" s="1142"/>
      <c r="AX27" s="1142"/>
      <c r="AY27" s="1142"/>
      <c r="AZ27" s="1142"/>
      <c r="BA27" s="1142"/>
      <c r="BB27" s="496"/>
      <c r="BC27" s="508"/>
      <c r="BD27" s="508"/>
      <c r="BE27" s="508"/>
      <c r="BF27" s="508"/>
      <c r="BG27" s="508"/>
      <c r="BH27" s="508"/>
      <c r="BI27" s="508"/>
      <c r="BJ27" s="508"/>
      <c r="BK27" s="508"/>
      <c r="BL27" s="508"/>
      <c r="BM27" s="508"/>
      <c r="BN27" s="508"/>
      <c r="BO27" s="508"/>
      <c r="BP27" s="497"/>
      <c r="BQ27" s="493"/>
      <c r="BR27" s="493"/>
      <c r="BS27" s="493"/>
      <c r="BT27" s="493"/>
    </row>
    <row r="28" spans="1:74" ht="15.65" customHeight="1" x14ac:dyDescent="0.25">
      <c r="A28" s="494"/>
      <c r="B28" s="1141" t="s">
        <v>8782</v>
      </c>
      <c r="C28" s="1141"/>
      <c r="D28" s="1141"/>
      <c r="E28" s="1141"/>
      <c r="F28" s="1141"/>
      <c r="G28" s="1141"/>
      <c r="H28" s="1141"/>
      <c r="I28" s="1141"/>
      <c r="J28" s="1141"/>
      <c r="K28" s="1141"/>
      <c r="L28" s="1141"/>
      <c r="M28" s="1141"/>
      <c r="N28" s="1141"/>
      <c r="O28" s="1141"/>
      <c r="P28" s="1141"/>
      <c r="Q28" s="1141"/>
      <c r="R28" s="1141"/>
      <c r="S28" s="1141"/>
      <c r="T28" s="1141"/>
      <c r="U28" s="1141"/>
      <c r="V28" s="1141"/>
      <c r="W28" s="1141"/>
      <c r="X28" s="1141"/>
      <c r="Y28" s="1141"/>
      <c r="Z28" s="496"/>
      <c r="AA28" s="499"/>
      <c r="AB28" s="1142" t="s">
        <v>8783</v>
      </c>
      <c r="AC28" s="1142"/>
      <c r="AD28" s="1142"/>
      <c r="AE28" s="1142"/>
      <c r="AF28" s="1142"/>
      <c r="AG28" s="1142"/>
      <c r="AH28" s="1142"/>
      <c r="AI28" s="1142"/>
      <c r="AJ28" s="1142"/>
      <c r="AK28" s="1142"/>
      <c r="AL28" s="1142"/>
      <c r="AM28" s="1142"/>
      <c r="AN28" s="1142"/>
      <c r="AO28" s="1142"/>
      <c r="AP28" s="1142"/>
      <c r="AQ28" s="1142"/>
      <c r="AR28" s="1142"/>
      <c r="AS28" s="1142"/>
      <c r="AT28" s="1142"/>
      <c r="AU28" s="1142"/>
      <c r="AV28" s="1142"/>
      <c r="AW28" s="1142"/>
      <c r="AX28" s="1142"/>
      <c r="AY28" s="1142"/>
      <c r="AZ28" s="1142"/>
      <c r="BA28" s="1142"/>
      <c r="BB28" s="496"/>
      <c r="BC28" s="508"/>
      <c r="BD28" s="508"/>
      <c r="BE28" s="508"/>
      <c r="BF28" s="508"/>
      <c r="BG28" s="508"/>
      <c r="BH28" s="508"/>
      <c r="BI28" s="508"/>
      <c r="BJ28" s="508"/>
      <c r="BK28" s="508"/>
      <c r="BL28" s="508"/>
      <c r="BM28" s="508"/>
      <c r="BN28" s="508"/>
      <c r="BO28" s="508"/>
      <c r="BP28" s="497"/>
      <c r="BQ28" s="493"/>
      <c r="BR28" s="493"/>
      <c r="BS28" s="493"/>
      <c r="BT28" s="493"/>
    </row>
    <row r="29" spans="1:74" ht="15.65" customHeight="1" x14ac:dyDescent="0.25">
      <c r="A29" s="494"/>
      <c r="B29" s="1141" t="s">
        <v>8784</v>
      </c>
      <c r="C29" s="1141"/>
      <c r="D29" s="1141"/>
      <c r="E29" s="1141"/>
      <c r="F29" s="1141"/>
      <c r="G29" s="1141"/>
      <c r="H29" s="1141"/>
      <c r="I29" s="1141"/>
      <c r="J29" s="1141"/>
      <c r="K29" s="1141"/>
      <c r="L29" s="1141"/>
      <c r="M29" s="1141"/>
      <c r="N29" s="1141"/>
      <c r="O29" s="1141"/>
      <c r="P29" s="1141"/>
      <c r="Q29" s="1141"/>
      <c r="R29" s="1141"/>
      <c r="S29" s="1141"/>
      <c r="T29" s="1141"/>
      <c r="U29" s="1141"/>
      <c r="V29" s="1141"/>
      <c r="W29" s="1141"/>
      <c r="X29" s="1141"/>
      <c r="Y29" s="1141"/>
      <c r="Z29" s="496"/>
      <c r="AA29" s="499"/>
      <c r="AB29" s="1142" t="s">
        <v>8785</v>
      </c>
      <c r="AC29" s="1142"/>
      <c r="AD29" s="1142"/>
      <c r="AE29" s="1142"/>
      <c r="AF29" s="1142"/>
      <c r="AG29" s="1142"/>
      <c r="AH29" s="1142"/>
      <c r="AI29" s="1142"/>
      <c r="AJ29" s="1142"/>
      <c r="AK29" s="1142"/>
      <c r="AL29" s="1142"/>
      <c r="AM29" s="1142"/>
      <c r="AN29" s="1142"/>
      <c r="AO29" s="1142"/>
      <c r="AP29" s="1142"/>
      <c r="AQ29" s="1142"/>
      <c r="AR29" s="1142"/>
      <c r="AS29" s="1142"/>
      <c r="AT29" s="1142"/>
      <c r="AU29" s="1142"/>
      <c r="AV29" s="1142"/>
      <c r="AW29" s="1142"/>
      <c r="AX29" s="1142"/>
      <c r="AY29" s="1142"/>
      <c r="AZ29" s="1142"/>
      <c r="BA29" s="1142"/>
      <c r="BB29" s="496"/>
      <c r="BC29" s="508"/>
      <c r="BD29" s="508"/>
      <c r="BE29" s="508"/>
      <c r="BF29" s="508"/>
      <c r="BG29" s="508"/>
      <c r="BH29" s="508"/>
      <c r="BI29" s="508"/>
      <c r="BJ29" s="508"/>
      <c r="BK29" s="508"/>
      <c r="BL29" s="508"/>
      <c r="BM29" s="508"/>
      <c r="BN29" s="508"/>
      <c r="BO29" s="508"/>
      <c r="BP29" s="497"/>
      <c r="BQ29" s="493"/>
      <c r="BR29" s="493"/>
      <c r="BS29" s="493"/>
      <c r="BT29" s="493"/>
    </row>
    <row r="30" spans="1:74" ht="16.5" x14ac:dyDescent="0.25">
      <c r="A30" s="494"/>
      <c r="B30" s="1141" t="s">
        <v>8786</v>
      </c>
      <c r="C30" s="1141"/>
      <c r="D30" s="1141"/>
      <c r="E30" s="1141"/>
      <c r="F30" s="1141"/>
      <c r="G30" s="1141"/>
      <c r="H30" s="1141"/>
      <c r="I30" s="1141"/>
      <c r="J30" s="1141"/>
      <c r="K30" s="1141"/>
      <c r="L30" s="1141"/>
      <c r="M30" s="1141"/>
      <c r="N30" s="1141"/>
      <c r="O30" s="1141"/>
      <c r="P30" s="1141"/>
      <c r="Q30" s="1141"/>
      <c r="R30" s="1141"/>
      <c r="S30" s="1141"/>
      <c r="T30" s="1141"/>
      <c r="U30" s="1141"/>
      <c r="V30" s="1141"/>
      <c r="W30" s="1141"/>
      <c r="X30" s="1141"/>
      <c r="Y30" s="1141"/>
      <c r="Z30" s="496"/>
      <c r="AA30" s="499"/>
      <c r="AB30" s="1142" t="s">
        <v>8787</v>
      </c>
      <c r="AC30" s="1142"/>
      <c r="AD30" s="1142"/>
      <c r="AE30" s="1142"/>
      <c r="AF30" s="1142"/>
      <c r="AG30" s="1142"/>
      <c r="AH30" s="1142"/>
      <c r="AI30" s="1142"/>
      <c r="AJ30" s="1142"/>
      <c r="AK30" s="1142"/>
      <c r="AL30" s="1142"/>
      <c r="AM30" s="1142"/>
      <c r="AN30" s="1142"/>
      <c r="AO30" s="1142"/>
      <c r="AP30" s="1142"/>
      <c r="AQ30" s="1142"/>
      <c r="AR30" s="1142"/>
      <c r="AS30" s="1142"/>
      <c r="AT30" s="1142"/>
      <c r="AU30" s="1142"/>
      <c r="AV30" s="1142"/>
      <c r="AW30" s="1142"/>
      <c r="AX30" s="1142"/>
      <c r="AY30" s="1142"/>
      <c r="AZ30" s="1142"/>
      <c r="BA30" s="1142"/>
      <c r="BB30" s="496"/>
      <c r="BC30" s="511"/>
      <c r="BD30" s="497"/>
      <c r="BE30" s="497"/>
      <c r="BF30" s="497"/>
      <c r="BG30" s="497"/>
      <c r="BH30" s="497"/>
      <c r="BI30" s="497"/>
      <c r="BJ30" s="497"/>
      <c r="BK30" s="497"/>
      <c r="BL30" s="497"/>
      <c r="BM30" s="497"/>
      <c r="BN30" s="497"/>
      <c r="BO30" s="497"/>
      <c r="BP30" s="497"/>
      <c r="BQ30" s="493"/>
      <c r="BR30" s="493"/>
      <c r="BS30" s="493"/>
      <c r="BT30" s="493"/>
    </row>
    <row r="31" spans="1:74" ht="16.5" x14ac:dyDescent="0.25">
      <c r="A31" s="494"/>
      <c r="B31" s="1141" t="s">
        <v>8788</v>
      </c>
      <c r="C31" s="1141"/>
      <c r="D31" s="1141"/>
      <c r="E31" s="1141"/>
      <c r="F31" s="1141"/>
      <c r="G31" s="1141"/>
      <c r="H31" s="1141"/>
      <c r="I31" s="1141"/>
      <c r="J31" s="1141"/>
      <c r="K31" s="1141"/>
      <c r="L31" s="1141"/>
      <c r="M31" s="1141"/>
      <c r="N31" s="1141"/>
      <c r="O31" s="1141"/>
      <c r="P31" s="1141"/>
      <c r="Q31" s="1141"/>
      <c r="R31" s="1141"/>
      <c r="S31" s="1141"/>
      <c r="T31" s="1141"/>
      <c r="U31" s="1141"/>
      <c r="V31" s="1141"/>
      <c r="W31" s="1141"/>
      <c r="X31" s="1141"/>
      <c r="Y31" s="1141"/>
      <c r="Z31" s="496"/>
      <c r="AA31" s="499"/>
      <c r="AB31" s="1142" t="s">
        <v>8789</v>
      </c>
      <c r="AC31" s="1142"/>
      <c r="AD31" s="1142"/>
      <c r="AE31" s="1142"/>
      <c r="AF31" s="1142"/>
      <c r="AG31" s="1142"/>
      <c r="AH31" s="1142"/>
      <c r="AI31" s="1142"/>
      <c r="AJ31" s="1142"/>
      <c r="AK31" s="1142"/>
      <c r="AL31" s="1142"/>
      <c r="AM31" s="1142"/>
      <c r="AN31" s="1142"/>
      <c r="AO31" s="1142"/>
      <c r="AP31" s="1142"/>
      <c r="AQ31" s="1142"/>
      <c r="AR31" s="1142"/>
      <c r="AS31" s="1142"/>
      <c r="AT31" s="1142"/>
      <c r="AU31" s="1142"/>
      <c r="AV31" s="1142"/>
      <c r="AW31" s="1142"/>
      <c r="AX31" s="1142"/>
      <c r="AY31" s="1142"/>
      <c r="AZ31" s="1142"/>
      <c r="BA31" s="1142"/>
      <c r="BB31" s="496"/>
      <c r="BC31" s="497"/>
      <c r="BD31" s="497"/>
      <c r="BE31" s="497"/>
      <c r="BF31" s="497"/>
      <c r="BG31" s="497"/>
      <c r="BH31" s="497"/>
      <c r="BI31" s="497"/>
      <c r="BJ31" s="497"/>
      <c r="BK31" s="497"/>
      <c r="BL31" s="497"/>
      <c r="BM31" s="497"/>
      <c r="BN31" s="497"/>
      <c r="BO31" s="497"/>
      <c r="BP31" s="497"/>
      <c r="BQ31" s="493"/>
      <c r="BR31" s="493"/>
      <c r="BS31" s="493"/>
      <c r="BT31" s="493"/>
    </row>
    <row r="32" spans="1:74" ht="16.5" x14ac:dyDescent="0.25">
      <c r="A32" s="494"/>
      <c r="B32" s="1141" t="s">
        <v>8790</v>
      </c>
      <c r="C32" s="1141"/>
      <c r="D32" s="1141"/>
      <c r="E32" s="1141"/>
      <c r="F32" s="1141"/>
      <c r="G32" s="1141"/>
      <c r="H32" s="1141"/>
      <c r="I32" s="1141"/>
      <c r="J32" s="1141"/>
      <c r="K32" s="1141"/>
      <c r="L32" s="1141"/>
      <c r="M32" s="1141"/>
      <c r="N32" s="1141"/>
      <c r="O32" s="1141"/>
      <c r="P32" s="1141"/>
      <c r="Q32" s="1141"/>
      <c r="R32" s="1141"/>
      <c r="S32" s="1141"/>
      <c r="T32" s="1141"/>
      <c r="U32" s="1141"/>
      <c r="V32" s="1141"/>
      <c r="W32" s="1141"/>
      <c r="X32" s="1141"/>
      <c r="Y32" s="1141"/>
      <c r="Z32" s="496"/>
      <c r="AA32" s="499"/>
      <c r="AB32" s="1142" t="s">
        <v>8791</v>
      </c>
      <c r="AC32" s="1142"/>
      <c r="AD32" s="1142"/>
      <c r="AE32" s="1142"/>
      <c r="AF32" s="1142"/>
      <c r="AG32" s="1142"/>
      <c r="AH32" s="1142"/>
      <c r="AI32" s="1142"/>
      <c r="AJ32" s="1142"/>
      <c r="AK32" s="1142"/>
      <c r="AL32" s="1142"/>
      <c r="AM32" s="1142"/>
      <c r="AN32" s="1142"/>
      <c r="AO32" s="1142"/>
      <c r="AP32" s="1142"/>
      <c r="AQ32" s="1142"/>
      <c r="AR32" s="1142"/>
      <c r="AS32" s="1142"/>
      <c r="AT32" s="1142"/>
      <c r="AU32" s="1142"/>
      <c r="AV32" s="1142"/>
      <c r="AW32" s="1142"/>
      <c r="AX32" s="1142"/>
      <c r="AY32" s="1142"/>
      <c r="AZ32" s="1142"/>
      <c r="BA32" s="1142"/>
      <c r="BB32" s="496"/>
      <c r="BC32" s="497"/>
      <c r="BD32" s="497"/>
      <c r="BE32" s="497"/>
      <c r="BF32" s="497"/>
      <c r="BG32" s="497"/>
      <c r="BH32" s="497"/>
      <c r="BI32" s="497"/>
      <c r="BJ32" s="497"/>
      <c r="BK32" s="497"/>
      <c r="BL32" s="497"/>
      <c r="BM32" s="497"/>
      <c r="BN32" s="497"/>
      <c r="BO32" s="497"/>
      <c r="BP32" s="497"/>
      <c r="BQ32" s="493"/>
      <c r="BR32" s="493"/>
      <c r="BS32" s="493"/>
      <c r="BT32" s="493"/>
    </row>
    <row r="33" spans="1:72" ht="16.5" x14ac:dyDescent="0.25">
      <c r="A33" s="494"/>
      <c r="B33" s="1141" t="s">
        <v>8792</v>
      </c>
      <c r="C33" s="1141"/>
      <c r="D33" s="1141"/>
      <c r="E33" s="1141"/>
      <c r="F33" s="1141"/>
      <c r="G33" s="1141"/>
      <c r="H33" s="1141"/>
      <c r="I33" s="1141"/>
      <c r="J33" s="1141"/>
      <c r="K33" s="1141"/>
      <c r="L33" s="1141"/>
      <c r="M33" s="1141"/>
      <c r="N33" s="1141"/>
      <c r="O33" s="1141"/>
      <c r="P33" s="1141"/>
      <c r="Q33" s="1141"/>
      <c r="R33" s="1141"/>
      <c r="S33" s="1141"/>
      <c r="T33" s="1141"/>
      <c r="U33" s="1141"/>
      <c r="V33" s="1141"/>
      <c r="W33" s="1141"/>
      <c r="X33" s="1141"/>
      <c r="Y33" s="1141"/>
      <c r="Z33" s="496"/>
      <c r="AA33" s="497"/>
      <c r="AB33" s="501"/>
      <c r="AC33" s="501"/>
      <c r="AD33" s="501"/>
      <c r="AE33" s="501"/>
      <c r="AF33" s="501"/>
      <c r="AG33" s="501"/>
      <c r="AH33" s="501"/>
      <c r="AI33" s="501"/>
      <c r="AJ33" s="501"/>
      <c r="AK33" s="501"/>
      <c r="AL33" s="501"/>
      <c r="AM33" s="501"/>
      <c r="AN33" s="501"/>
      <c r="AO33" s="501"/>
      <c r="AP33" s="501"/>
      <c r="AQ33" s="505"/>
      <c r="AR33" s="505"/>
      <c r="AS33" s="505"/>
      <c r="AT33" s="505"/>
      <c r="AU33" s="505"/>
      <c r="AV33" s="505"/>
      <c r="AW33" s="505"/>
      <c r="AX33" s="505"/>
      <c r="AY33" s="505"/>
      <c r="AZ33" s="505"/>
      <c r="BA33" s="505"/>
      <c r="BD33" s="497"/>
      <c r="BE33" s="497"/>
      <c r="BF33" s="497"/>
      <c r="BG33" s="497"/>
      <c r="BH33" s="497"/>
      <c r="BI33" s="497"/>
      <c r="BJ33" s="497"/>
      <c r="BK33" s="497"/>
      <c r="BL33" s="497"/>
      <c r="BM33" s="497"/>
      <c r="BN33" s="497"/>
      <c r="BO33" s="497"/>
      <c r="BP33" s="497"/>
      <c r="BQ33" s="493"/>
      <c r="BR33" s="493"/>
      <c r="BS33" s="493"/>
      <c r="BT33" s="493"/>
    </row>
    <row r="34" spans="1:72" ht="15.65" customHeight="1" x14ac:dyDescent="0.25">
      <c r="A34" s="494"/>
      <c r="B34" s="1143" t="s">
        <v>8793</v>
      </c>
      <c r="C34" s="1143"/>
      <c r="D34" s="1143"/>
      <c r="E34" s="1143"/>
      <c r="F34" s="1143"/>
      <c r="G34" s="1143"/>
      <c r="H34" s="1143"/>
      <c r="I34" s="1143"/>
      <c r="J34" s="1143"/>
      <c r="K34" s="1143"/>
      <c r="L34" s="1143"/>
      <c r="M34" s="1143"/>
      <c r="N34" s="1143"/>
      <c r="O34" s="1143"/>
      <c r="P34" s="1143"/>
      <c r="Q34" s="1143"/>
      <c r="R34" s="1143"/>
      <c r="S34" s="1143"/>
      <c r="T34" s="1143"/>
      <c r="U34" s="1143"/>
      <c r="V34" s="1143"/>
      <c r="W34" s="1143"/>
      <c r="X34" s="1143"/>
      <c r="Y34" s="1143"/>
      <c r="BD34" s="497"/>
      <c r="BE34" s="497"/>
      <c r="BF34" s="497"/>
      <c r="BG34" s="497"/>
      <c r="BH34" s="497"/>
      <c r="BI34" s="497"/>
      <c r="BJ34" s="497"/>
      <c r="BK34" s="497"/>
      <c r="BL34" s="497"/>
      <c r="BM34" s="497"/>
      <c r="BN34" s="497"/>
      <c r="BO34" s="497"/>
      <c r="BP34" s="497"/>
      <c r="BQ34" s="493"/>
      <c r="BR34" s="493"/>
      <c r="BS34" s="493"/>
      <c r="BT34" s="493"/>
    </row>
    <row r="35" spans="1:72" ht="15.65" customHeight="1" x14ac:dyDescent="0.25">
      <c r="A35" s="494"/>
      <c r="B35" s="1143"/>
      <c r="C35" s="1143"/>
      <c r="D35" s="1143"/>
      <c r="E35" s="1143"/>
      <c r="F35" s="1143"/>
      <c r="G35" s="1143"/>
      <c r="H35" s="1143"/>
      <c r="I35" s="1143"/>
      <c r="J35" s="1143"/>
      <c r="K35" s="1143"/>
      <c r="L35" s="1143"/>
      <c r="M35" s="1143"/>
      <c r="N35" s="1143"/>
      <c r="O35" s="1143"/>
      <c r="P35" s="1143"/>
      <c r="Q35" s="1143"/>
      <c r="R35" s="1143"/>
      <c r="S35" s="1143"/>
      <c r="T35" s="1143"/>
      <c r="U35" s="1143"/>
      <c r="V35" s="1143"/>
      <c r="W35" s="1143"/>
      <c r="X35" s="1143"/>
      <c r="Y35" s="1143"/>
      <c r="BD35" s="497"/>
      <c r="BE35" s="497"/>
      <c r="BF35" s="497"/>
      <c r="BG35" s="497"/>
      <c r="BH35" s="497"/>
      <c r="BI35" s="497"/>
      <c r="BJ35" s="497"/>
      <c r="BK35" s="497"/>
      <c r="BL35" s="497"/>
      <c r="BM35" s="497"/>
      <c r="BN35" s="497"/>
      <c r="BO35" s="497"/>
      <c r="BP35" s="497"/>
      <c r="BQ35" s="493"/>
      <c r="BR35" s="493"/>
      <c r="BS35" s="493"/>
      <c r="BT35" s="493"/>
    </row>
    <row r="36" spans="1:72" ht="15" customHeight="1" x14ac:dyDescent="0.25">
      <c r="A36" s="510"/>
      <c r="B36" s="1141" t="s">
        <v>8794</v>
      </c>
      <c r="C36" s="1141"/>
      <c r="D36" s="1141"/>
      <c r="E36" s="1141"/>
      <c r="F36" s="1141"/>
      <c r="G36" s="1141"/>
      <c r="H36" s="1141"/>
      <c r="I36" s="1141"/>
      <c r="J36" s="1141"/>
      <c r="K36" s="1141"/>
      <c r="L36" s="1141"/>
      <c r="M36" s="1141"/>
      <c r="N36" s="1141"/>
      <c r="O36" s="1141"/>
      <c r="P36" s="1141"/>
      <c r="Q36" s="1141"/>
      <c r="R36" s="1141"/>
      <c r="S36" s="1141"/>
      <c r="T36" s="1141"/>
      <c r="U36" s="1141"/>
      <c r="V36" s="1141"/>
      <c r="W36" s="1141"/>
      <c r="X36" s="1141"/>
      <c r="Y36" s="1141"/>
    </row>
    <row r="37" spans="1:72" ht="15" customHeight="1" x14ac:dyDescent="0.25">
      <c r="A37" s="510"/>
      <c r="B37" s="1141" t="s">
        <v>8795</v>
      </c>
      <c r="C37" s="1141"/>
      <c r="D37" s="1141"/>
      <c r="E37" s="1141"/>
      <c r="F37" s="1141"/>
      <c r="G37" s="1141"/>
      <c r="H37" s="1141"/>
      <c r="I37" s="1141"/>
      <c r="J37" s="1141"/>
      <c r="K37" s="1141"/>
      <c r="L37" s="1141"/>
      <c r="M37" s="1141"/>
      <c r="N37" s="1141"/>
      <c r="O37" s="1141"/>
      <c r="P37" s="1141"/>
      <c r="Q37" s="1141"/>
      <c r="R37" s="1141"/>
      <c r="S37" s="1141"/>
      <c r="T37" s="1141"/>
      <c r="U37" s="1141"/>
      <c r="V37" s="1141"/>
      <c r="W37" s="1141"/>
      <c r="X37" s="1141"/>
      <c r="Y37" s="1141"/>
    </row>
    <row r="38" spans="1:72" ht="14.4" customHeight="1" x14ac:dyDescent="0.25">
      <c r="A38" s="510"/>
    </row>
    <row r="39" spans="1:72" ht="15" customHeight="1" x14ac:dyDescent="0.25">
      <c r="A39" s="510"/>
    </row>
    <row r="40" spans="1:72" ht="15" customHeight="1" x14ac:dyDescent="0.25">
      <c r="A40" s="510"/>
    </row>
    <row r="41" spans="1:72" ht="15" customHeight="1" x14ac:dyDescent="0.25">
      <c r="A41" s="510"/>
    </row>
    <row r="42" spans="1:72" ht="15" customHeight="1" x14ac:dyDescent="0.25">
      <c r="A42" s="510"/>
    </row>
    <row r="43" spans="1:72" ht="15" customHeight="1" x14ac:dyDescent="0.25">
      <c r="A43" s="510"/>
    </row>
    <row r="44" spans="1:72" x14ac:dyDescent="0.25">
      <c r="A44" s="510"/>
      <c r="Z44" s="512"/>
    </row>
    <row r="45" spans="1:72" x14ac:dyDescent="0.25">
      <c r="A45" s="510"/>
      <c r="Z45" s="512"/>
    </row>
    <row r="46" spans="1:72" x14ac:dyDescent="0.25">
      <c r="B46" s="505"/>
      <c r="C46" s="505"/>
      <c r="D46" s="505"/>
      <c r="E46" s="505"/>
      <c r="F46" s="505"/>
      <c r="G46" s="505"/>
      <c r="H46" s="505"/>
      <c r="I46" s="505"/>
      <c r="J46" s="505"/>
      <c r="K46" s="505"/>
      <c r="L46" s="505"/>
      <c r="M46" s="505"/>
      <c r="N46" s="505"/>
      <c r="O46" s="505"/>
      <c r="P46" s="505"/>
      <c r="Q46" s="505"/>
      <c r="R46" s="505"/>
      <c r="S46" s="505"/>
      <c r="T46" s="505"/>
      <c r="U46" s="505"/>
      <c r="V46" s="505"/>
      <c r="W46" s="505"/>
      <c r="X46" s="505"/>
      <c r="Y46" s="505"/>
    </row>
  </sheetData>
  <sheetProtection algorithmName="SHA-512" hashValue="8ANqlsIJmzjYIHygNjVuMVCeCuUVEZjIIqQzTS/jkXWqoL/CgHj84Bgq8jm5p+VOagpboCVrOmCwyEu5KbZ6dg==" saltValue="mVfjAVVaAmGxuDYAgMs6uw==" spinCount="100000" sheet="1" objects="1" scenarios="1"/>
  <mergeCells count="92">
    <mergeCell ref="BC3:BO3"/>
    <mergeCell ref="B15:Y15"/>
    <mergeCell ref="AO18:AP19"/>
    <mergeCell ref="AQ10:BA10"/>
    <mergeCell ref="BC7:BO7"/>
    <mergeCell ref="AQ7:BA7"/>
    <mergeCell ref="AO15:AP16"/>
    <mergeCell ref="AQ19:BA19"/>
    <mergeCell ref="AA18:AL18"/>
    <mergeCell ref="B16:Y16"/>
    <mergeCell ref="B12:Y12"/>
    <mergeCell ref="B6:Y6"/>
    <mergeCell ref="AO3:AP4"/>
    <mergeCell ref="AA11:AM11"/>
    <mergeCell ref="B14:Y14"/>
    <mergeCell ref="AA3:AM3"/>
    <mergeCell ref="AB28:BA28"/>
    <mergeCell ref="B26:Y26"/>
    <mergeCell ref="AB26:BA26"/>
    <mergeCell ref="AB25:BA25"/>
    <mergeCell ref="BC20:BH21"/>
    <mergeCell ref="B22:Y22"/>
    <mergeCell ref="AA6:AM6"/>
    <mergeCell ref="AA4:AM4"/>
    <mergeCell ref="BC12:BO13"/>
    <mergeCell ref="BC16:BO17"/>
    <mergeCell ref="BC15:BO15"/>
    <mergeCell ref="AO6:AP7"/>
    <mergeCell ref="B18:Y18"/>
    <mergeCell ref="BJ20:BO21"/>
    <mergeCell ref="B10:Y10"/>
    <mergeCell ref="AQ18:BA18"/>
    <mergeCell ref="AA2:AM2"/>
    <mergeCell ref="BC4:BO5"/>
    <mergeCell ref="B9:Y9"/>
    <mergeCell ref="AA12:AM12"/>
    <mergeCell ref="B17:Y17"/>
    <mergeCell ref="AA5:AM5"/>
    <mergeCell ref="AQ9:BA9"/>
    <mergeCell ref="AA17:AM17"/>
    <mergeCell ref="B11:Y11"/>
    <mergeCell ref="AQ4:BA4"/>
    <mergeCell ref="B7:Y7"/>
    <mergeCell ref="AA10:AM10"/>
    <mergeCell ref="B5:Y5"/>
    <mergeCell ref="BC19:BO19"/>
    <mergeCell ref="AA13:AM13"/>
    <mergeCell ref="BC2:BO2"/>
    <mergeCell ref="BC11:BO11"/>
    <mergeCell ref="AO2:BA2"/>
    <mergeCell ref="BC8:BO9"/>
    <mergeCell ref="B3:Y4"/>
    <mergeCell ref="AQ3:BA3"/>
    <mergeCell ref="AA9:AM9"/>
    <mergeCell ref="B2:Y2"/>
    <mergeCell ref="AA8:AM8"/>
    <mergeCell ref="B8:Y8"/>
    <mergeCell ref="AA7:AM7"/>
    <mergeCell ref="AO9:AP10"/>
    <mergeCell ref="AQ6:BA6"/>
    <mergeCell ref="B37:Y37"/>
    <mergeCell ref="AQ13:BA13"/>
    <mergeCell ref="B36:Y36"/>
    <mergeCell ref="AB24:BA24"/>
    <mergeCell ref="B23:Y23"/>
    <mergeCell ref="B19:Y19"/>
    <mergeCell ref="AQ15:BA15"/>
    <mergeCell ref="B28:Y28"/>
    <mergeCell ref="B24:Y24"/>
    <mergeCell ref="B33:Y33"/>
    <mergeCell ref="AB30:BA30"/>
    <mergeCell ref="B20:Y20"/>
    <mergeCell ref="B25:Y25"/>
    <mergeCell ref="B31:Y31"/>
    <mergeCell ref="AB32:BA32"/>
    <mergeCell ref="AB23:BA23"/>
    <mergeCell ref="B30:Y30"/>
    <mergeCell ref="AB29:BA29"/>
    <mergeCell ref="B34:Y35"/>
    <mergeCell ref="AQ16:BA16"/>
    <mergeCell ref="AO12:AP13"/>
    <mergeCell ref="B21:Y21"/>
    <mergeCell ref="AQ12:BA12"/>
    <mergeCell ref="B13:Y13"/>
    <mergeCell ref="AB31:BA31"/>
    <mergeCell ref="B32:Y32"/>
    <mergeCell ref="AA16:AM16"/>
    <mergeCell ref="B29:Y29"/>
    <mergeCell ref="AA21:AM21"/>
    <mergeCell ref="AA20:AM20"/>
    <mergeCell ref="B27:Y27"/>
    <mergeCell ref="AB27:BA27"/>
  </mergeCells>
  <phoneticPr fontId="83" type="noConversion"/>
  <hyperlinks>
    <hyperlink ref="BC20" r:id="rId1" xr:uid="{00000000-0004-0000-0E00-000000000000}"/>
    <hyperlink ref="BJ20" r:id="rId2" xr:uid="{00000000-0004-0000-0E00-000001000000}"/>
  </hyperlinks>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8D8D8"/>
  </sheetPr>
  <dimension ref="A1:AZ54"/>
  <sheetViews>
    <sheetView workbookViewId="0">
      <pane ySplit="2" topLeftCell="A3" activePane="bottomLeft" state="frozen"/>
      <selection pane="bottomLeft" activeCell="B3" sqref="B3:AT3"/>
    </sheetView>
  </sheetViews>
  <sheetFormatPr defaultColWidth="9" defaultRowHeight="14.5" x14ac:dyDescent="0.25"/>
  <cols>
    <col min="1" max="52" width="2.36328125" style="1" customWidth="1"/>
    <col min="53" max="16384" width="9" style="1"/>
  </cols>
  <sheetData>
    <row r="1" spans="1:52" ht="17" customHeight="1" x14ac:dyDescent="0.25">
      <c r="A1" s="627" t="s">
        <v>8796</v>
      </c>
      <c r="B1" s="627"/>
      <c r="C1" s="627"/>
      <c r="D1" s="627"/>
      <c r="E1" s="627"/>
      <c r="F1" s="627"/>
      <c r="G1" s="627"/>
      <c r="H1" s="627"/>
      <c r="I1" s="627"/>
      <c r="J1" s="627"/>
      <c r="K1" s="627"/>
      <c r="L1" s="627"/>
      <c r="M1" s="627"/>
      <c r="N1" s="627"/>
      <c r="O1" s="627"/>
      <c r="P1" s="627"/>
      <c r="Q1" s="627"/>
      <c r="R1" s="627"/>
      <c r="S1" s="627"/>
      <c r="T1" s="627"/>
      <c r="U1" s="627"/>
      <c r="V1" s="627"/>
      <c r="W1" s="627"/>
      <c r="X1" s="627"/>
      <c r="Y1" s="627"/>
      <c r="Z1" s="627"/>
      <c r="AA1" s="627"/>
      <c r="AB1" s="627"/>
      <c r="AC1" s="627"/>
      <c r="AD1" s="627"/>
      <c r="AE1" s="627"/>
      <c r="AF1" s="627"/>
      <c r="AG1" s="627"/>
      <c r="AH1" s="627"/>
      <c r="AI1" s="627"/>
      <c r="AJ1" s="627"/>
      <c r="AK1" s="627"/>
      <c r="AL1" s="627"/>
      <c r="AM1" s="627"/>
      <c r="AN1" s="627"/>
      <c r="AO1" s="627"/>
      <c r="AP1" s="627"/>
      <c r="AQ1" s="627"/>
      <c r="AR1" s="627"/>
      <c r="AS1" s="627"/>
      <c r="AT1" s="627"/>
      <c r="AU1" s="1167"/>
    </row>
    <row r="2" spans="1:52" ht="17" customHeight="1" x14ac:dyDescent="0.3">
      <c r="A2" s="513"/>
      <c r="B2" s="1171" t="s">
        <v>6270</v>
      </c>
      <c r="C2" s="1171"/>
      <c r="D2" s="1171" t="s">
        <v>109</v>
      </c>
      <c r="E2" s="1171"/>
      <c r="F2" s="1171"/>
      <c r="G2" s="1171"/>
      <c r="H2" s="1171"/>
      <c r="I2" s="1171" t="s">
        <v>220</v>
      </c>
      <c r="J2" s="1171"/>
      <c r="K2" s="1171"/>
      <c r="L2" s="1171" t="s">
        <v>123</v>
      </c>
      <c r="M2" s="1171"/>
      <c r="N2" s="1171"/>
      <c r="O2" s="1171"/>
      <c r="P2" s="1171" t="s">
        <v>222</v>
      </c>
      <c r="Q2" s="1171"/>
      <c r="R2" s="1171"/>
      <c r="S2" s="688" t="s">
        <v>8797</v>
      </c>
      <c r="T2" s="688"/>
      <c r="U2" s="688"/>
      <c r="V2" s="688" t="s">
        <v>6267</v>
      </c>
      <c r="W2" s="688"/>
      <c r="X2" s="688"/>
      <c r="Y2" s="688"/>
      <c r="Z2" s="688"/>
      <c r="AA2" s="688"/>
      <c r="AB2" s="1171" t="s">
        <v>223</v>
      </c>
      <c r="AC2" s="1171"/>
      <c r="AD2" s="1171"/>
      <c r="AE2" s="1170" t="s">
        <v>8798</v>
      </c>
      <c r="AF2" s="1170"/>
      <c r="AG2" s="1170"/>
      <c r="AH2" s="1170"/>
      <c r="AI2" s="1170"/>
      <c r="AJ2" s="1170"/>
      <c r="AK2" s="1170"/>
      <c r="AL2" s="1170"/>
      <c r="AM2" s="1170"/>
      <c r="AN2" s="1170"/>
      <c r="AO2" s="1170"/>
      <c r="AP2" s="1170"/>
      <c r="AQ2" s="1170"/>
      <c r="AR2" s="1170"/>
      <c r="AS2" s="1171" t="s">
        <v>213</v>
      </c>
      <c r="AT2" s="1171"/>
      <c r="AU2" s="513"/>
      <c r="AV2" s="24"/>
    </row>
    <row r="3" spans="1:52" ht="17" customHeight="1" x14ac:dyDescent="0.25">
      <c r="A3" s="3"/>
      <c r="B3" s="1165"/>
      <c r="C3" s="1165"/>
      <c r="D3" s="1165"/>
      <c r="E3" s="1165"/>
      <c r="F3" s="1165"/>
      <c r="G3" s="1165"/>
      <c r="H3" s="1165"/>
      <c r="I3" s="1165"/>
      <c r="J3" s="1165"/>
      <c r="K3" s="1165"/>
      <c r="L3" s="1165"/>
      <c r="M3" s="1165"/>
      <c r="N3" s="1165"/>
      <c r="O3" s="1165"/>
      <c r="P3" s="1165"/>
      <c r="Q3" s="1165"/>
      <c r="R3" s="1165"/>
      <c r="S3" s="514"/>
      <c r="T3" s="514"/>
      <c r="U3" s="514"/>
      <c r="V3" s="1168"/>
      <c r="W3" s="1168"/>
      <c r="X3" s="1168"/>
      <c r="Y3" s="1168"/>
      <c r="Z3" s="1168"/>
      <c r="AA3" s="1168"/>
      <c r="AB3" s="1165"/>
      <c r="AC3" s="1165"/>
      <c r="AD3" s="1165"/>
      <c r="AE3" s="1165"/>
      <c r="AF3" s="1165"/>
      <c r="AG3" s="1165"/>
      <c r="AH3" s="1165"/>
      <c r="AI3" s="1165"/>
      <c r="AJ3" s="1165"/>
      <c r="AK3" s="1165"/>
      <c r="AL3" s="1165"/>
      <c r="AM3" s="1165"/>
      <c r="AN3" s="1165"/>
      <c r="AO3" s="1165"/>
      <c r="AP3" s="1165"/>
      <c r="AQ3" s="1165"/>
      <c r="AR3" s="1165"/>
      <c r="AS3" s="1165"/>
      <c r="AT3" s="1165"/>
      <c r="AV3" s="515" t="s">
        <v>855</v>
      </c>
      <c r="AW3" s="515" t="s">
        <v>6312</v>
      </c>
      <c r="AX3" s="515" t="s">
        <v>6352</v>
      </c>
      <c r="AY3" s="515" t="s">
        <v>6406</v>
      </c>
      <c r="AZ3" s="515" t="s">
        <v>6371</v>
      </c>
    </row>
    <row r="4" spans="1:52" ht="17" customHeight="1" x14ac:dyDescent="0.25">
      <c r="B4" s="1166"/>
      <c r="C4" s="1166"/>
      <c r="D4" s="1166"/>
      <c r="E4" s="1166"/>
      <c r="F4" s="1166"/>
      <c r="G4" s="1166"/>
      <c r="H4" s="1166"/>
      <c r="I4" s="1166"/>
      <c r="J4" s="1166"/>
      <c r="K4" s="1166"/>
      <c r="L4" s="1166"/>
      <c r="M4" s="1166"/>
      <c r="N4" s="1166"/>
      <c r="O4" s="1166"/>
      <c r="P4" s="1166"/>
      <c r="Q4" s="1166"/>
      <c r="R4" s="1166"/>
      <c r="S4" s="516"/>
      <c r="T4" s="516"/>
      <c r="U4" s="516"/>
      <c r="V4" s="1169"/>
      <c r="W4" s="1169"/>
      <c r="X4" s="1169"/>
      <c r="Y4" s="1169"/>
      <c r="Z4" s="1169"/>
      <c r="AA4" s="1169"/>
      <c r="AB4" s="1166"/>
      <c r="AC4" s="1166"/>
      <c r="AD4" s="1166"/>
      <c r="AE4" s="1166"/>
      <c r="AF4" s="1166"/>
      <c r="AG4" s="1166"/>
      <c r="AH4" s="1166"/>
      <c r="AI4" s="1166"/>
      <c r="AJ4" s="1166"/>
      <c r="AK4" s="1166"/>
      <c r="AL4" s="1166"/>
      <c r="AM4" s="1166"/>
      <c r="AN4" s="1166"/>
      <c r="AO4" s="1166"/>
      <c r="AP4" s="1166"/>
      <c r="AQ4" s="1166"/>
      <c r="AR4" s="1166"/>
      <c r="AS4" s="1166"/>
      <c r="AT4" s="1166"/>
      <c r="AV4" s="515" t="s">
        <v>8704</v>
      </c>
      <c r="AW4" s="515" t="s">
        <v>6304</v>
      </c>
      <c r="AX4" s="515" t="s">
        <v>6282</v>
      </c>
      <c r="AY4" s="515" t="s">
        <v>6370</v>
      </c>
      <c r="AZ4" s="515" t="s">
        <v>6420</v>
      </c>
    </row>
    <row r="5" spans="1:52" ht="17" customHeight="1" x14ac:dyDescent="0.25">
      <c r="B5" s="1165"/>
      <c r="C5" s="1165"/>
      <c r="D5" s="1165"/>
      <c r="E5" s="1165"/>
      <c r="F5" s="1165"/>
      <c r="G5" s="1165"/>
      <c r="H5" s="1165"/>
      <c r="I5" s="1165"/>
      <c r="J5" s="1165"/>
      <c r="K5" s="1165"/>
      <c r="L5" s="1165"/>
      <c r="M5" s="1165"/>
      <c r="N5" s="1165"/>
      <c r="O5" s="1165"/>
      <c r="P5" s="1165"/>
      <c r="Q5" s="1165"/>
      <c r="R5" s="1165"/>
      <c r="S5" s="514"/>
      <c r="T5" s="514"/>
      <c r="U5" s="514"/>
      <c r="V5" s="1168"/>
      <c r="W5" s="1168"/>
      <c r="X5" s="1168"/>
      <c r="Y5" s="1168"/>
      <c r="Z5" s="1168"/>
      <c r="AA5" s="1168"/>
      <c r="AB5" s="1165"/>
      <c r="AC5" s="1165"/>
      <c r="AD5" s="1165"/>
      <c r="AE5" s="1165"/>
      <c r="AF5" s="1165"/>
      <c r="AG5" s="1165"/>
      <c r="AH5" s="1165"/>
      <c r="AI5" s="1165"/>
      <c r="AJ5" s="1165"/>
      <c r="AK5" s="1165"/>
      <c r="AL5" s="1165"/>
      <c r="AM5" s="1165"/>
      <c r="AN5" s="1165"/>
      <c r="AO5" s="1165"/>
      <c r="AP5" s="1165"/>
      <c r="AQ5" s="1165"/>
      <c r="AR5" s="1165"/>
      <c r="AS5" s="1165"/>
      <c r="AT5" s="1165"/>
      <c r="AV5" s="515" t="s">
        <v>8707</v>
      </c>
      <c r="AW5" s="515" t="s">
        <v>6290</v>
      </c>
      <c r="AX5" s="515" t="s">
        <v>6344</v>
      </c>
      <c r="AY5" s="515" t="s">
        <v>6298</v>
      </c>
      <c r="AZ5" s="515" t="s">
        <v>8799</v>
      </c>
    </row>
    <row r="6" spans="1:52" ht="17" customHeight="1" x14ac:dyDescent="0.25">
      <c r="B6" s="1166"/>
      <c r="C6" s="1166"/>
      <c r="D6" s="1166"/>
      <c r="E6" s="1166"/>
      <c r="F6" s="1166"/>
      <c r="G6" s="1166"/>
      <c r="H6" s="1166"/>
      <c r="I6" s="1166"/>
      <c r="J6" s="1166"/>
      <c r="K6" s="1166"/>
      <c r="L6" s="1166"/>
      <c r="M6" s="1166"/>
      <c r="N6" s="1166"/>
      <c r="O6" s="1166"/>
      <c r="P6" s="1166"/>
      <c r="Q6" s="1166"/>
      <c r="R6" s="1166"/>
      <c r="S6" s="516"/>
      <c r="T6" s="516"/>
      <c r="U6" s="516"/>
      <c r="V6" s="1169"/>
      <c r="W6" s="1169"/>
      <c r="X6" s="1169"/>
      <c r="Y6" s="1169"/>
      <c r="Z6" s="1169"/>
      <c r="AA6" s="1169"/>
      <c r="AB6" s="1166"/>
      <c r="AC6" s="1166"/>
      <c r="AD6" s="1166"/>
      <c r="AE6" s="1166"/>
      <c r="AF6" s="1166"/>
      <c r="AG6" s="1166"/>
      <c r="AH6" s="1166"/>
      <c r="AI6" s="1166"/>
      <c r="AJ6" s="1166"/>
      <c r="AK6" s="1166"/>
      <c r="AL6" s="1166"/>
      <c r="AM6" s="1166"/>
      <c r="AN6" s="1166"/>
      <c r="AO6" s="1166"/>
      <c r="AP6" s="1166"/>
      <c r="AQ6" s="1166"/>
      <c r="AR6" s="1166"/>
      <c r="AS6" s="1166"/>
      <c r="AT6" s="1166"/>
      <c r="AV6" s="515" t="s">
        <v>8708</v>
      </c>
      <c r="AW6" s="515" t="s">
        <v>6297</v>
      </c>
      <c r="AX6" s="515" t="s">
        <v>6349</v>
      </c>
      <c r="AY6" s="515" t="s">
        <v>6419</v>
      </c>
      <c r="AZ6" s="515" t="s">
        <v>6349</v>
      </c>
    </row>
    <row r="7" spans="1:52" ht="17" customHeight="1" x14ac:dyDescent="0.25">
      <c r="B7" s="1165"/>
      <c r="C7" s="1165"/>
      <c r="D7" s="1165"/>
      <c r="E7" s="1165"/>
      <c r="F7" s="1165"/>
      <c r="G7" s="1165"/>
      <c r="H7" s="1165"/>
      <c r="I7" s="1165"/>
      <c r="J7" s="1165"/>
      <c r="K7" s="1165"/>
      <c r="L7" s="1165"/>
      <c r="M7" s="1165"/>
      <c r="N7" s="1165"/>
      <c r="O7" s="1165"/>
      <c r="P7" s="1165"/>
      <c r="Q7" s="1165"/>
      <c r="R7" s="1165"/>
      <c r="S7" s="514"/>
      <c r="T7" s="514"/>
      <c r="U7" s="514"/>
      <c r="V7" s="1168"/>
      <c r="W7" s="1168"/>
      <c r="X7" s="1168"/>
      <c r="Y7" s="1168"/>
      <c r="Z7" s="1168"/>
      <c r="AA7" s="1168"/>
      <c r="AB7" s="1165"/>
      <c r="AC7" s="1165"/>
      <c r="AD7" s="1165"/>
      <c r="AE7" s="1165"/>
      <c r="AF7" s="1165"/>
      <c r="AG7" s="1165"/>
      <c r="AH7" s="1165"/>
      <c r="AI7" s="1165"/>
      <c r="AJ7" s="1165"/>
      <c r="AK7" s="1165"/>
      <c r="AL7" s="1165"/>
      <c r="AM7" s="1165"/>
      <c r="AN7" s="1165"/>
      <c r="AO7" s="1165"/>
      <c r="AP7" s="1165"/>
      <c r="AQ7" s="1165"/>
      <c r="AR7" s="1165"/>
      <c r="AS7" s="1165"/>
      <c r="AT7" s="1165"/>
      <c r="AV7" s="515" t="s">
        <v>8709</v>
      </c>
      <c r="AW7" s="515" t="s">
        <v>6335</v>
      </c>
      <c r="AX7" s="515" t="s">
        <v>6371</v>
      </c>
      <c r="AY7" s="515" t="s">
        <v>6376</v>
      </c>
      <c r="AZ7" s="515" t="s">
        <v>6292</v>
      </c>
    </row>
    <row r="8" spans="1:52" ht="17" customHeight="1" x14ac:dyDescent="0.25">
      <c r="B8" s="1166"/>
      <c r="C8" s="1166"/>
      <c r="D8" s="1166"/>
      <c r="E8" s="1166"/>
      <c r="F8" s="1166"/>
      <c r="G8" s="1166"/>
      <c r="H8" s="1166"/>
      <c r="I8" s="1166"/>
      <c r="J8" s="1166"/>
      <c r="K8" s="1166"/>
      <c r="L8" s="1166"/>
      <c r="M8" s="1166"/>
      <c r="N8" s="1166"/>
      <c r="O8" s="1166"/>
      <c r="P8" s="1166"/>
      <c r="Q8" s="1166"/>
      <c r="R8" s="1166"/>
      <c r="S8" s="516"/>
      <c r="T8" s="516"/>
      <c r="U8" s="516"/>
      <c r="V8" s="1169"/>
      <c r="W8" s="1169"/>
      <c r="X8" s="1169"/>
      <c r="Y8" s="1169"/>
      <c r="Z8" s="1169"/>
      <c r="AA8" s="1169"/>
      <c r="AB8" s="1166"/>
      <c r="AC8" s="1166"/>
      <c r="AD8" s="1166"/>
      <c r="AE8" s="1166"/>
      <c r="AF8" s="1166"/>
      <c r="AG8" s="1166"/>
      <c r="AH8" s="1166"/>
      <c r="AI8" s="1166"/>
      <c r="AJ8" s="1166"/>
      <c r="AK8" s="1166"/>
      <c r="AL8" s="1166"/>
      <c r="AM8" s="1166"/>
      <c r="AN8" s="1166"/>
      <c r="AO8" s="1166"/>
      <c r="AP8" s="1166"/>
      <c r="AQ8" s="1166"/>
      <c r="AR8" s="1166"/>
      <c r="AS8" s="1166"/>
      <c r="AT8" s="1166"/>
      <c r="AV8" s="515" t="s">
        <v>8711</v>
      </c>
      <c r="AW8" s="515" t="s">
        <v>6281</v>
      </c>
      <c r="AX8" s="515" t="s">
        <v>6388</v>
      </c>
      <c r="AY8" s="515" t="s">
        <v>6440</v>
      </c>
      <c r="AZ8" s="515" t="s">
        <v>6407</v>
      </c>
    </row>
    <row r="9" spans="1:52" ht="17" customHeight="1" x14ac:dyDescent="0.25">
      <c r="B9" s="1165"/>
      <c r="C9" s="1165"/>
      <c r="D9" s="1165"/>
      <c r="E9" s="1165"/>
      <c r="F9" s="1165"/>
      <c r="G9" s="1165"/>
      <c r="H9" s="1165"/>
      <c r="I9" s="1165"/>
      <c r="J9" s="1165"/>
      <c r="K9" s="1165"/>
      <c r="L9" s="1165"/>
      <c r="M9" s="1165"/>
      <c r="N9" s="1165"/>
      <c r="O9" s="1165"/>
      <c r="P9" s="1165"/>
      <c r="Q9" s="1165"/>
      <c r="R9" s="1165"/>
      <c r="S9" s="514"/>
      <c r="T9" s="514"/>
      <c r="U9" s="514"/>
      <c r="V9" s="1168"/>
      <c r="W9" s="1168"/>
      <c r="X9" s="1168"/>
      <c r="Y9" s="1168"/>
      <c r="Z9" s="1168"/>
      <c r="AA9" s="1168"/>
      <c r="AB9" s="1165"/>
      <c r="AC9" s="1165"/>
      <c r="AD9" s="1165"/>
      <c r="AE9" s="1165"/>
      <c r="AF9" s="1165"/>
      <c r="AG9" s="1165"/>
      <c r="AH9" s="1165"/>
      <c r="AI9" s="1165"/>
      <c r="AJ9" s="1165"/>
      <c r="AK9" s="1165"/>
      <c r="AL9" s="1165"/>
      <c r="AM9" s="1165"/>
      <c r="AN9" s="1165"/>
      <c r="AO9" s="1165"/>
      <c r="AP9" s="1165"/>
      <c r="AQ9" s="1165"/>
      <c r="AR9" s="1165"/>
      <c r="AS9" s="1165"/>
      <c r="AT9" s="1165"/>
      <c r="AV9" s="515" t="s">
        <v>8712</v>
      </c>
      <c r="AW9" s="515" t="s">
        <v>6328</v>
      </c>
      <c r="AX9" s="515" t="s">
        <v>6399</v>
      </c>
      <c r="AY9" s="515" t="s">
        <v>6426</v>
      </c>
      <c r="AZ9" s="515" t="s">
        <v>6344</v>
      </c>
    </row>
    <row r="10" spans="1:52" ht="17" customHeight="1" x14ac:dyDescent="0.25">
      <c r="B10" s="1166"/>
      <c r="C10" s="1166"/>
      <c r="D10" s="1166"/>
      <c r="E10" s="1166"/>
      <c r="F10" s="1166"/>
      <c r="G10" s="1166"/>
      <c r="H10" s="1166"/>
      <c r="I10" s="1166"/>
      <c r="J10" s="1166"/>
      <c r="K10" s="1166"/>
      <c r="L10" s="1166"/>
      <c r="M10" s="1166"/>
      <c r="N10" s="1166"/>
      <c r="O10" s="1166"/>
      <c r="P10" s="1166"/>
      <c r="Q10" s="1166"/>
      <c r="R10" s="1166"/>
      <c r="S10" s="516"/>
      <c r="T10" s="516"/>
      <c r="U10" s="516"/>
      <c r="V10" s="1169"/>
      <c r="W10" s="1169"/>
      <c r="X10" s="1169"/>
      <c r="Y10" s="1169"/>
      <c r="Z10" s="1169"/>
      <c r="AA10" s="1169"/>
      <c r="AB10" s="1166"/>
      <c r="AC10" s="1166"/>
      <c r="AD10" s="1166"/>
      <c r="AE10" s="1166"/>
      <c r="AF10" s="1166"/>
      <c r="AG10" s="1166"/>
      <c r="AH10" s="1166"/>
      <c r="AI10" s="1166"/>
      <c r="AJ10" s="1166"/>
      <c r="AK10" s="1166"/>
      <c r="AL10" s="1166"/>
      <c r="AM10" s="1166"/>
      <c r="AN10" s="1166"/>
      <c r="AO10" s="1166"/>
      <c r="AP10" s="1166"/>
      <c r="AQ10" s="1166"/>
      <c r="AR10" s="1166"/>
      <c r="AS10" s="1166"/>
      <c r="AT10" s="1166"/>
      <c r="AV10" s="515" t="s">
        <v>8713</v>
      </c>
      <c r="AW10" s="515" t="s">
        <v>6366</v>
      </c>
      <c r="AX10" s="515" t="s">
        <v>6394</v>
      </c>
      <c r="AY10" s="515" t="s">
        <v>6313</v>
      </c>
      <c r="AZ10" s="515" t="s">
        <v>8800</v>
      </c>
    </row>
    <row r="11" spans="1:52" ht="17" customHeight="1" x14ac:dyDescent="0.25">
      <c r="B11" s="1165"/>
      <c r="C11" s="1165"/>
      <c r="D11" s="1165"/>
      <c r="E11" s="1165"/>
      <c r="F11" s="1165"/>
      <c r="G11" s="1165"/>
      <c r="H11" s="1165"/>
      <c r="I11" s="1165"/>
      <c r="J11" s="1165"/>
      <c r="K11" s="1165"/>
      <c r="L11" s="1165"/>
      <c r="M11" s="1165"/>
      <c r="N11" s="1165"/>
      <c r="O11" s="1165"/>
      <c r="P11" s="1165"/>
      <c r="Q11" s="1165"/>
      <c r="R11" s="1165"/>
      <c r="S11" s="514"/>
      <c r="T11" s="514"/>
      <c r="U11" s="514"/>
      <c r="V11" s="1168"/>
      <c r="W11" s="1168"/>
      <c r="X11" s="1168"/>
      <c r="Y11" s="1168"/>
      <c r="Z11" s="1168"/>
      <c r="AA11" s="1168"/>
      <c r="AB11" s="1165"/>
      <c r="AC11" s="1165"/>
      <c r="AD11" s="1165"/>
      <c r="AE11" s="1165"/>
      <c r="AF11" s="1165"/>
      <c r="AG11" s="1165"/>
      <c r="AH11" s="1165"/>
      <c r="AI11" s="1165"/>
      <c r="AJ11" s="1165"/>
      <c r="AK11" s="1165"/>
      <c r="AL11" s="1165"/>
      <c r="AM11" s="1165"/>
      <c r="AN11" s="1165"/>
      <c r="AO11" s="1165"/>
      <c r="AP11" s="1165"/>
      <c r="AQ11" s="1165"/>
      <c r="AR11" s="1165"/>
      <c r="AS11" s="1165"/>
      <c r="AT11" s="1165"/>
      <c r="AV11" s="515" t="s">
        <v>8714</v>
      </c>
      <c r="AW11" s="515" t="s">
        <v>8801</v>
      </c>
      <c r="AX11" s="515"/>
      <c r="AY11" s="515" t="s">
        <v>6433</v>
      </c>
      <c r="AZ11" s="515" t="s">
        <v>6399</v>
      </c>
    </row>
    <row r="12" spans="1:52" ht="17" customHeight="1" x14ac:dyDescent="0.25">
      <c r="B12" s="1166"/>
      <c r="C12" s="1166"/>
      <c r="D12" s="1166"/>
      <c r="E12" s="1166"/>
      <c r="F12" s="1166"/>
      <c r="G12" s="1166"/>
      <c r="H12" s="1166"/>
      <c r="I12" s="1166"/>
      <c r="J12" s="1166"/>
      <c r="K12" s="1166"/>
      <c r="L12" s="1166"/>
      <c r="M12" s="1166"/>
      <c r="N12" s="1166"/>
      <c r="O12" s="1166"/>
      <c r="P12" s="1166"/>
      <c r="Q12" s="1166"/>
      <c r="R12" s="1166"/>
      <c r="S12" s="516"/>
      <c r="T12" s="516"/>
      <c r="U12" s="516"/>
      <c r="V12" s="1169"/>
      <c r="W12" s="1169"/>
      <c r="X12" s="1169"/>
      <c r="Y12" s="1169"/>
      <c r="Z12" s="1169"/>
      <c r="AA12" s="1169"/>
      <c r="AB12" s="1166"/>
      <c r="AC12" s="1166"/>
      <c r="AD12" s="1166"/>
      <c r="AE12" s="1166"/>
      <c r="AF12" s="1166"/>
      <c r="AG12" s="1166"/>
      <c r="AH12" s="1166"/>
      <c r="AI12" s="1166"/>
      <c r="AJ12" s="1166"/>
      <c r="AK12" s="1166"/>
      <c r="AL12" s="1166"/>
      <c r="AM12" s="1166"/>
      <c r="AN12" s="1166"/>
      <c r="AO12" s="1166"/>
      <c r="AP12" s="1166"/>
      <c r="AQ12" s="1166"/>
      <c r="AR12" s="1166"/>
      <c r="AS12" s="1166"/>
      <c r="AT12" s="1166"/>
      <c r="AV12" s="515" t="s">
        <v>8716</v>
      </c>
      <c r="AW12" s="515" t="s">
        <v>8802</v>
      </c>
      <c r="AX12" s="515"/>
      <c r="AY12" s="515" t="s">
        <v>8803</v>
      </c>
      <c r="AZ12" s="515" t="s">
        <v>6427</v>
      </c>
    </row>
    <row r="13" spans="1:52" ht="17" customHeight="1" x14ac:dyDescent="0.25">
      <c r="B13" s="1165"/>
      <c r="C13" s="1165"/>
      <c r="D13" s="1165"/>
      <c r="E13" s="1165"/>
      <c r="F13" s="1165"/>
      <c r="G13" s="1165"/>
      <c r="H13" s="1165"/>
      <c r="I13" s="1165"/>
      <c r="J13" s="1165"/>
      <c r="K13" s="1165"/>
      <c r="L13" s="1165"/>
      <c r="M13" s="1165"/>
      <c r="N13" s="1165"/>
      <c r="O13" s="1165"/>
      <c r="P13" s="1165"/>
      <c r="Q13" s="1165"/>
      <c r="R13" s="1165"/>
      <c r="S13" s="514"/>
      <c r="T13" s="514"/>
      <c r="U13" s="514"/>
      <c r="V13" s="1168"/>
      <c r="W13" s="1168"/>
      <c r="X13" s="1168"/>
      <c r="Y13" s="1168"/>
      <c r="Z13" s="1168"/>
      <c r="AA13" s="1168"/>
      <c r="AB13" s="1165"/>
      <c r="AC13" s="1165"/>
      <c r="AD13" s="1165"/>
      <c r="AE13" s="1165"/>
      <c r="AF13" s="1165"/>
      <c r="AG13" s="1165"/>
      <c r="AH13" s="1165"/>
      <c r="AI13" s="1165"/>
      <c r="AJ13" s="1165"/>
      <c r="AK13" s="1165"/>
      <c r="AL13" s="1165"/>
      <c r="AM13" s="1165"/>
      <c r="AN13" s="1165"/>
      <c r="AO13" s="1165"/>
      <c r="AP13" s="1165"/>
      <c r="AQ13" s="1165"/>
      <c r="AR13" s="1165"/>
      <c r="AS13" s="1165"/>
      <c r="AT13" s="1165"/>
      <c r="AV13" s="515"/>
      <c r="AW13" s="515" t="s">
        <v>8804</v>
      </c>
      <c r="AX13" s="515"/>
      <c r="AY13" s="515" t="s">
        <v>6363</v>
      </c>
      <c r="AZ13" s="515" t="s">
        <v>6413</v>
      </c>
    </row>
    <row r="14" spans="1:52" ht="17" customHeight="1" x14ac:dyDescent="0.25">
      <c r="B14" s="1166"/>
      <c r="C14" s="1166"/>
      <c r="D14" s="1166"/>
      <c r="E14" s="1166"/>
      <c r="F14" s="1166"/>
      <c r="G14" s="1166"/>
      <c r="H14" s="1166"/>
      <c r="I14" s="1166"/>
      <c r="J14" s="1166"/>
      <c r="K14" s="1166"/>
      <c r="L14" s="1166"/>
      <c r="M14" s="1166"/>
      <c r="N14" s="1166"/>
      <c r="O14" s="1166"/>
      <c r="P14" s="1166"/>
      <c r="Q14" s="1166"/>
      <c r="R14" s="1166"/>
      <c r="S14" s="516"/>
      <c r="T14" s="516"/>
      <c r="U14" s="516"/>
      <c r="V14" s="1169"/>
      <c r="W14" s="1169"/>
      <c r="X14" s="1169"/>
      <c r="Y14" s="1169"/>
      <c r="Z14" s="1169"/>
      <c r="AA14" s="1169"/>
      <c r="AB14" s="1166"/>
      <c r="AC14" s="1166"/>
      <c r="AD14" s="1166"/>
      <c r="AE14" s="1166"/>
      <c r="AF14" s="1166"/>
      <c r="AG14" s="1166"/>
      <c r="AH14" s="1166"/>
      <c r="AI14" s="1166"/>
      <c r="AJ14" s="1166"/>
      <c r="AK14" s="1166"/>
      <c r="AL14" s="1166"/>
      <c r="AM14" s="1166"/>
      <c r="AN14" s="1166"/>
      <c r="AO14" s="1166"/>
      <c r="AP14" s="1166"/>
      <c r="AQ14" s="1166"/>
      <c r="AR14" s="1166"/>
      <c r="AS14" s="1166"/>
      <c r="AT14" s="1166"/>
      <c r="AV14" s="515"/>
      <c r="AW14" s="515" t="s">
        <v>8805</v>
      </c>
      <c r="AX14" s="515"/>
      <c r="AY14" s="515" t="s">
        <v>6283</v>
      </c>
      <c r="AZ14" s="515" t="s">
        <v>6388</v>
      </c>
    </row>
    <row r="15" spans="1:52" ht="17" customHeight="1" x14ac:dyDescent="0.25">
      <c r="B15" s="1165"/>
      <c r="C15" s="1165"/>
      <c r="D15" s="1165"/>
      <c r="E15" s="1165"/>
      <c r="F15" s="1165"/>
      <c r="G15" s="1165"/>
      <c r="H15" s="1165"/>
      <c r="I15" s="1165"/>
      <c r="J15" s="1165"/>
      <c r="K15" s="1165"/>
      <c r="L15" s="1165"/>
      <c r="M15" s="1165"/>
      <c r="N15" s="1165"/>
      <c r="O15" s="1165"/>
      <c r="P15" s="1165"/>
      <c r="Q15" s="1165"/>
      <c r="R15" s="1165"/>
      <c r="S15" s="514"/>
      <c r="T15" s="514"/>
      <c r="U15" s="514"/>
      <c r="V15" s="1168"/>
      <c r="W15" s="1168"/>
      <c r="X15" s="1168"/>
      <c r="Y15" s="1168"/>
      <c r="Z15" s="1168"/>
      <c r="AA15" s="1168"/>
      <c r="AB15" s="1165"/>
      <c r="AC15" s="1165"/>
      <c r="AD15" s="1165"/>
      <c r="AE15" s="1165"/>
      <c r="AF15" s="1165"/>
      <c r="AG15" s="1165"/>
      <c r="AH15" s="1165"/>
      <c r="AI15" s="1165"/>
      <c r="AJ15" s="1165"/>
      <c r="AK15" s="1165"/>
      <c r="AL15" s="1165"/>
      <c r="AM15" s="1165"/>
      <c r="AN15" s="1165"/>
      <c r="AO15" s="1165"/>
      <c r="AP15" s="1165"/>
      <c r="AQ15" s="1165"/>
      <c r="AR15" s="1165"/>
      <c r="AS15" s="1165"/>
      <c r="AT15" s="1165"/>
      <c r="AV15" s="515"/>
      <c r="AW15" s="515" t="s">
        <v>8806</v>
      </c>
      <c r="AX15" s="515"/>
      <c r="AY15" s="515" t="s">
        <v>6400</v>
      </c>
      <c r="AZ15" s="515" t="s">
        <v>8807</v>
      </c>
    </row>
    <row r="16" spans="1:52" ht="17" customHeight="1" x14ac:dyDescent="0.25">
      <c r="B16" s="1166"/>
      <c r="C16" s="1166"/>
      <c r="D16" s="1166"/>
      <c r="E16" s="1166"/>
      <c r="F16" s="1166"/>
      <c r="G16" s="1166"/>
      <c r="H16" s="1166"/>
      <c r="I16" s="1166"/>
      <c r="J16" s="1166"/>
      <c r="K16" s="1166"/>
      <c r="L16" s="1166"/>
      <c r="M16" s="1166"/>
      <c r="N16" s="1166"/>
      <c r="O16" s="1166"/>
      <c r="P16" s="1166"/>
      <c r="Q16" s="1166"/>
      <c r="R16" s="1166"/>
      <c r="S16" s="516"/>
      <c r="T16" s="516"/>
      <c r="U16" s="516"/>
      <c r="V16" s="1169"/>
      <c r="W16" s="1169"/>
      <c r="X16" s="1169"/>
      <c r="Y16" s="1169"/>
      <c r="Z16" s="1169"/>
      <c r="AA16" s="1169"/>
      <c r="AB16" s="1166"/>
      <c r="AC16" s="1166"/>
      <c r="AD16" s="1166"/>
      <c r="AE16" s="1166"/>
      <c r="AF16" s="1166"/>
      <c r="AG16" s="1166"/>
      <c r="AH16" s="1166"/>
      <c r="AI16" s="1166"/>
      <c r="AJ16" s="1166"/>
      <c r="AK16" s="1166"/>
      <c r="AL16" s="1166"/>
      <c r="AM16" s="1166"/>
      <c r="AN16" s="1166"/>
      <c r="AO16" s="1166"/>
      <c r="AP16" s="1166"/>
      <c r="AQ16" s="1166"/>
      <c r="AR16" s="1166"/>
      <c r="AS16" s="1166"/>
      <c r="AT16" s="1166"/>
      <c r="AV16" s="515"/>
      <c r="AW16" s="515" t="s">
        <v>8808</v>
      </c>
      <c r="AX16" s="515"/>
      <c r="AY16" s="515" t="s">
        <v>8809</v>
      </c>
      <c r="AZ16" s="515" t="s">
        <v>6284</v>
      </c>
    </row>
    <row r="17" spans="2:52" ht="17" customHeight="1" x14ac:dyDescent="0.25">
      <c r="B17" s="1165"/>
      <c r="C17" s="1165"/>
      <c r="D17" s="1165"/>
      <c r="E17" s="1165"/>
      <c r="F17" s="1165"/>
      <c r="G17" s="1165"/>
      <c r="H17" s="1165"/>
      <c r="I17" s="1165"/>
      <c r="J17" s="1165"/>
      <c r="K17" s="1165"/>
      <c r="L17" s="1165"/>
      <c r="M17" s="1165"/>
      <c r="N17" s="1165"/>
      <c r="O17" s="1165"/>
      <c r="P17" s="1165"/>
      <c r="Q17" s="1165"/>
      <c r="R17" s="1165"/>
      <c r="S17" s="514"/>
      <c r="T17" s="514"/>
      <c r="U17" s="514"/>
      <c r="V17" s="1168"/>
      <c r="W17" s="1168"/>
      <c r="X17" s="1168"/>
      <c r="Y17" s="1168"/>
      <c r="Z17" s="1168"/>
      <c r="AA17" s="1168"/>
      <c r="AB17" s="1165"/>
      <c r="AC17" s="1165"/>
      <c r="AD17" s="1165"/>
      <c r="AE17" s="1165"/>
      <c r="AF17" s="1165"/>
      <c r="AG17" s="1165"/>
      <c r="AH17" s="1165"/>
      <c r="AI17" s="1165"/>
      <c r="AJ17" s="1165"/>
      <c r="AK17" s="1165"/>
      <c r="AL17" s="1165"/>
      <c r="AM17" s="1165"/>
      <c r="AN17" s="1165"/>
      <c r="AO17" s="1165"/>
      <c r="AP17" s="1165"/>
      <c r="AQ17" s="1165"/>
      <c r="AR17" s="1165"/>
      <c r="AS17" s="1165"/>
      <c r="AT17" s="1165"/>
      <c r="AV17" s="515"/>
      <c r="AW17" s="515" t="s">
        <v>8810</v>
      </c>
      <c r="AX17" s="515"/>
      <c r="AY17" s="515" t="s">
        <v>3682</v>
      </c>
      <c r="AZ17" s="515" t="s">
        <v>8811</v>
      </c>
    </row>
    <row r="18" spans="2:52" ht="17" customHeight="1" x14ac:dyDescent="0.25">
      <c r="B18" s="1166"/>
      <c r="C18" s="1166"/>
      <c r="D18" s="1166"/>
      <c r="E18" s="1166"/>
      <c r="F18" s="1166"/>
      <c r="G18" s="1166"/>
      <c r="H18" s="1166"/>
      <c r="I18" s="1166"/>
      <c r="J18" s="1166"/>
      <c r="K18" s="1166"/>
      <c r="L18" s="1166"/>
      <c r="M18" s="1166"/>
      <c r="N18" s="1166"/>
      <c r="O18" s="1166"/>
      <c r="P18" s="1166"/>
      <c r="Q18" s="1166"/>
      <c r="R18" s="1166"/>
      <c r="S18" s="516"/>
      <c r="T18" s="516"/>
      <c r="U18" s="516"/>
      <c r="V18" s="1169"/>
      <c r="W18" s="1169"/>
      <c r="X18" s="1169"/>
      <c r="Y18" s="1169"/>
      <c r="Z18" s="1169"/>
      <c r="AA18" s="1169"/>
      <c r="AB18" s="1166"/>
      <c r="AC18" s="1166"/>
      <c r="AD18" s="1166"/>
      <c r="AE18" s="1166"/>
      <c r="AF18" s="1166"/>
      <c r="AG18" s="1166"/>
      <c r="AH18" s="1166"/>
      <c r="AI18" s="1166"/>
      <c r="AJ18" s="1166"/>
      <c r="AK18" s="1166"/>
      <c r="AL18" s="1166"/>
      <c r="AM18" s="1166"/>
      <c r="AN18" s="1166"/>
      <c r="AO18" s="1166"/>
      <c r="AP18" s="1166"/>
      <c r="AQ18" s="1166"/>
      <c r="AR18" s="1166"/>
      <c r="AS18" s="1166"/>
      <c r="AT18" s="1166"/>
      <c r="AV18" s="515"/>
      <c r="AW18" s="515" t="s">
        <v>8812</v>
      </c>
      <c r="AX18" s="515"/>
      <c r="AY18" s="515" t="s">
        <v>8813</v>
      </c>
      <c r="AZ18" s="515" t="s">
        <v>6477</v>
      </c>
    </row>
    <row r="19" spans="2:52" ht="17" customHeight="1" x14ac:dyDescent="0.25">
      <c r="B19" s="1165"/>
      <c r="C19" s="1165"/>
      <c r="D19" s="1165"/>
      <c r="E19" s="1165"/>
      <c r="F19" s="1165"/>
      <c r="G19" s="1165"/>
      <c r="H19" s="1165"/>
      <c r="I19" s="1165"/>
      <c r="J19" s="1165"/>
      <c r="K19" s="1165"/>
      <c r="L19" s="1165"/>
      <c r="M19" s="1165"/>
      <c r="N19" s="1165"/>
      <c r="O19" s="1165"/>
      <c r="P19" s="1165"/>
      <c r="Q19" s="1165"/>
      <c r="R19" s="1165"/>
      <c r="S19" s="514"/>
      <c r="T19" s="514"/>
      <c r="U19" s="514"/>
      <c r="V19" s="1168"/>
      <c r="W19" s="1168"/>
      <c r="X19" s="1168"/>
      <c r="Y19" s="1168"/>
      <c r="Z19" s="1168"/>
      <c r="AA19" s="1168"/>
      <c r="AB19" s="1165"/>
      <c r="AC19" s="1165"/>
      <c r="AD19" s="1165"/>
      <c r="AE19" s="1165"/>
      <c r="AF19" s="1165"/>
      <c r="AG19" s="1165"/>
      <c r="AH19" s="1165"/>
      <c r="AI19" s="1165"/>
      <c r="AJ19" s="1165"/>
      <c r="AK19" s="1165"/>
      <c r="AL19" s="1165"/>
      <c r="AM19" s="1165"/>
      <c r="AN19" s="1165"/>
      <c r="AO19" s="1165"/>
      <c r="AP19" s="1165"/>
      <c r="AQ19" s="1165"/>
      <c r="AR19" s="1165"/>
      <c r="AS19" s="1165"/>
      <c r="AT19" s="1165"/>
      <c r="AV19" s="515"/>
      <c r="AW19" s="515"/>
      <c r="AX19" s="515"/>
      <c r="AY19" s="515" t="s">
        <v>6460</v>
      </c>
      <c r="AZ19" s="515" t="s">
        <v>6279</v>
      </c>
    </row>
    <row r="20" spans="2:52" ht="17" customHeight="1" x14ac:dyDescent="0.25">
      <c r="B20" s="1166"/>
      <c r="C20" s="1166"/>
      <c r="D20" s="1166"/>
      <c r="E20" s="1166"/>
      <c r="F20" s="1166"/>
      <c r="G20" s="1166"/>
      <c r="H20" s="1166"/>
      <c r="I20" s="1166"/>
      <c r="J20" s="1166"/>
      <c r="K20" s="1166"/>
      <c r="L20" s="1166"/>
      <c r="M20" s="1166"/>
      <c r="N20" s="1166"/>
      <c r="O20" s="1166"/>
      <c r="P20" s="1166"/>
      <c r="Q20" s="1166"/>
      <c r="R20" s="1166"/>
      <c r="S20" s="516"/>
      <c r="T20" s="516"/>
      <c r="U20" s="516"/>
      <c r="V20" s="1169"/>
      <c r="W20" s="1169"/>
      <c r="X20" s="1169"/>
      <c r="Y20" s="1169"/>
      <c r="Z20" s="1169"/>
      <c r="AA20" s="1169"/>
      <c r="AB20" s="1166"/>
      <c r="AC20" s="1166"/>
      <c r="AD20" s="1166"/>
      <c r="AE20" s="1166"/>
      <c r="AF20" s="1166"/>
      <c r="AG20" s="1166"/>
      <c r="AH20" s="1166"/>
      <c r="AI20" s="1166"/>
      <c r="AJ20" s="1166"/>
      <c r="AK20" s="1166"/>
      <c r="AL20" s="1166"/>
      <c r="AM20" s="1166"/>
      <c r="AN20" s="1166"/>
      <c r="AO20" s="1166"/>
      <c r="AP20" s="1166"/>
      <c r="AQ20" s="1166"/>
      <c r="AR20" s="1166"/>
      <c r="AS20" s="1166"/>
      <c r="AT20" s="1166"/>
      <c r="AV20" s="515"/>
      <c r="AW20" s="515"/>
      <c r="AX20" s="515"/>
      <c r="AY20" s="515" t="s">
        <v>6279</v>
      </c>
      <c r="AZ20" s="515" t="s">
        <v>8814</v>
      </c>
    </row>
    <row r="21" spans="2:52" ht="17" customHeight="1" x14ac:dyDescent="0.25">
      <c r="B21" s="1165"/>
      <c r="C21" s="1165"/>
      <c r="D21" s="1165"/>
      <c r="E21" s="1165"/>
      <c r="F21" s="1165"/>
      <c r="G21" s="1165"/>
      <c r="H21" s="1165"/>
      <c r="I21" s="1165"/>
      <c r="J21" s="1165"/>
      <c r="K21" s="1165"/>
      <c r="L21" s="1165"/>
      <c r="M21" s="1165"/>
      <c r="N21" s="1165"/>
      <c r="O21" s="1165"/>
      <c r="P21" s="1165"/>
      <c r="Q21" s="1165"/>
      <c r="R21" s="1165"/>
      <c r="S21" s="514"/>
      <c r="T21" s="514"/>
      <c r="U21" s="514"/>
      <c r="V21" s="1168"/>
      <c r="W21" s="1168"/>
      <c r="X21" s="1168"/>
      <c r="Y21" s="1168"/>
      <c r="Z21" s="1168"/>
      <c r="AA21" s="1168"/>
      <c r="AB21" s="1165"/>
      <c r="AC21" s="1165"/>
      <c r="AD21" s="1165"/>
      <c r="AE21" s="1165"/>
      <c r="AF21" s="1165"/>
      <c r="AG21" s="1165"/>
      <c r="AH21" s="1165"/>
      <c r="AI21" s="1165"/>
      <c r="AJ21" s="1165"/>
      <c r="AK21" s="1165"/>
      <c r="AL21" s="1165"/>
      <c r="AM21" s="1165"/>
      <c r="AN21" s="1165"/>
      <c r="AO21" s="1165"/>
      <c r="AP21" s="1165"/>
      <c r="AQ21" s="1165"/>
      <c r="AR21" s="1165"/>
      <c r="AS21" s="1165"/>
      <c r="AT21" s="1165"/>
      <c r="AV21" s="515"/>
      <c r="AW21" s="515"/>
      <c r="AX21" s="515"/>
      <c r="AY21" s="515" t="s">
        <v>6466</v>
      </c>
      <c r="AZ21" s="515" t="s">
        <v>8815</v>
      </c>
    </row>
    <row r="22" spans="2:52" ht="17" customHeight="1" x14ac:dyDescent="0.25">
      <c r="B22" s="1166"/>
      <c r="C22" s="1166"/>
      <c r="D22" s="1166"/>
      <c r="E22" s="1166"/>
      <c r="F22" s="1166"/>
      <c r="G22" s="1166"/>
      <c r="H22" s="1166"/>
      <c r="I22" s="1166"/>
      <c r="J22" s="1166"/>
      <c r="K22" s="1166"/>
      <c r="L22" s="1166"/>
      <c r="M22" s="1166"/>
      <c r="N22" s="1166"/>
      <c r="O22" s="1166"/>
      <c r="P22" s="1166"/>
      <c r="Q22" s="1166"/>
      <c r="R22" s="1166"/>
      <c r="S22" s="516"/>
      <c r="T22" s="516"/>
      <c r="U22" s="516"/>
      <c r="V22" s="1169"/>
      <c r="W22" s="1169"/>
      <c r="X22" s="1169"/>
      <c r="Y22" s="1169"/>
      <c r="Z22" s="1169"/>
      <c r="AA22" s="1169"/>
      <c r="AB22" s="1166"/>
      <c r="AC22" s="1166"/>
      <c r="AD22" s="1166"/>
      <c r="AE22" s="1166"/>
      <c r="AF22" s="1166"/>
      <c r="AG22" s="1166"/>
      <c r="AH22" s="1166"/>
      <c r="AI22" s="1166"/>
      <c r="AJ22" s="1166"/>
      <c r="AK22" s="1166"/>
      <c r="AL22" s="1166"/>
      <c r="AM22" s="1166"/>
      <c r="AN22" s="1166"/>
      <c r="AO22" s="1166"/>
      <c r="AP22" s="1166"/>
      <c r="AQ22" s="1166"/>
      <c r="AR22" s="1166"/>
      <c r="AS22" s="1166"/>
      <c r="AT22" s="1166"/>
      <c r="AV22" s="515"/>
      <c r="AW22" s="515"/>
      <c r="AX22" s="515"/>
      <c r="AY22" s="515" t="s">
        <v>6291</v>
      </c>
      <c r="AZ22" s="515" t="s">
        <v>8816</v>
      </c>
    </row>
    <row r="23" spans="2:52" ht="17" customHeight="1" x14ac:dyDescent="0.25">
      <c r="B23" s="1165"/>
      <c r="C23" s="1165"/>
      <c r="D23" s="1165"/>
      <c r="E23" s="1165"/>
      <c r="F23" s="1165"/>
      <c r="G23" s="1165"/>
      <c r="H23" s="1165"/>
      <c r="I23" s="1165"/>
      <c r="J23" s="1165"/>
      <c r="K23" s="1165"/>
      <c r="L23" s="1165"/>
      <c r="M23" s="1165"/>
      <c r="N23" s="1165"/>
      <c r="O23" s="1165"/>
      <c r="P23" s="1165"/>
      <c r="Q23" s="1165"/>
      <c r="R23" s="1165"/>
      <c r="S23" s="514"/>
      <c r="T23" s="514"/>
      <c r="U23" s="514"/>
      <c r="V23" s="1168"/>
      <c r="W23" s="1168"/>
      <c r="X23" s="1168"/>
      <c r="Y23" s="1168"/>
      <c r="Z23" s="1168"/>
      <c r="AA23" s="1168"/>
      <c r="AB23" s="1165"/>
      <c r="AC23" s="1165"/>
      <c r="AD23" s="1165"/>
      <c r="AE23" s="1165"/>
      <c r="AF23" s="1165"/>
      <c r="AG23" s="1165"/>
      <c r="AH23" s="1165"/>
      <c r="AI23" s="1165"/>
      <c r="AJ23" s="1165"/>
      <c r="AK23" s="1165"/>
      <c r="AL23" s="1165"/>
      <c r="AM23" s="1165"/>
      <c r="AN23" s="1165"/>
      <c r="AO23" s="1165"/>
      <c r="AP23" s="1165"/>
      <c r="AQ23" s="1165"/>
      <c r="AR23" s="1165"/>
      <c r="AS23" s="1165"/>
      <c r="AT23" s="1165"/>
      <c r="AV23" s="515"/>
      <c r="AW23" s="515"/>
      <c r="AX23" s="515"/>
      <c r="AY23" s="515" t="s">
        <v>8817</v>
      </c>
      <c r="AZ23" s="515" t="s">
        <v>6306</v>
      </c>
    </row>
    <row r="24" spans="2:52" ht="17" customHeight="1" x14ac:dyDescent="0.25">
      <c r="B24" s="1166"/>
      <c r="C24" s="1166"/>
      <c r="D24" s="1166"/>
      <c r="E24" s="1166"/>
      <c r="F24" s="1166"/>
      <c r="G24" s="1166"/>
      <c r="H24" s="1166"/>
      <c r="I24" s="1166"/>
      <c r="J24" s="1166"/>
      <c r="K24" s="1166"/>
      <c r="L24" s="1166"/>
      <c r="M24" s="1166"/>
      <c r="N24" s="1166"/>
      <c r="O24" s="1166"/>
      <c r="P24" s="1166"/>
      <c r="Q24" s="1166"/>
      <c r="R24" s="1166"/>
      <c r="S24" s="516"/>
      <c r="T24" s="516"/>
      <c r="U24" s="516"/>
      <c r="V24" s="1169"/>
      <c r="W24" s="1169"/>
      <c r="X24" s="1169"/>
      <c r="Y24" s="1169"/>
      <c r="Z24" s="1169"/>
      <c r="AA24" s="1169"/>
      <c r="AB24" s="1166"/>
      <c r="AC24" s="1166"/>
      <c r="AD24" s="1166"/>
      <c r="AE24" s="1166"/>
      <c r="AF24" s="1166"/>
      <c r="AG24" s="1166"/>
      <c r="AH24" s="1166"/>
      <c r="AI24" s="1166"/>
      <c r="AJ24" s="1166"/>
      <c r="AK24" s="1166"/>
      <c r="AL24" s="1166"/>
      <c r="AM24" s="1166"/>
      <c r="AN24" s="1166"/>
      <c r="AO24" s="1166"/>
      <c r="AP24" s="1166"/>
      <c r="AQ24" s="1166"/>
      <c r="AR24" s="1166"/>
      <c r="AS24" s="1166"/>
      <c r="AT24" s="1166"/>
      <c r="AV24" s="515"/>
      <c r="AW24" s="515"/>
      <c r="AX24" s="515"/>
      <c r="AY24" s="515" t="s">
        <v>8818</v>
      </c>
      <c r="AZ24" s="515" t="s">
        <v>6379</v>
      </c>
    </row>
    <row r="25" spans="2:52" ht="17" customHeight="1" x14ac:dyDescent="0.25">
      <c r="B25" s="1165"/>
      <c r="C25" s="1165"/>
      <c r="D25" s="1165"/>
      <c r="E25" s="1165"/>
      <c r="F25" s="1165"/>
      <c r="G25" s="1165"/>
      <c r="H25" s="1165"/>
      <c r="I25" s="1165"/>
      <c r="J25" s="1165"/>
      <c r="K25" s="1165"/>
      <c r="L25" s="1165"/>
      <c r="M25" s="1165"/>
      <c r="N25" s="1165"/>
      <c r="O25" s="1165"/>
      <c r="P25" s="1165"/>
      <c r="Q25" s="1165"/>
      <c r="R25" s="1165"/>
      <c r="S25" s="514"/>
      <c r="T25" s="514"/>
      <c r="U25" s="514"/>
      <c r="V25" s="1168"/>
      <c r="W25" s="1168"/>
      <c r="X25" s="1168"/>
      <c r="Y25" s="1168"/>
      <c r="Z25" s="1168"/>
      <c r="AA25" s="1168"/>
      <c r="AB25" s="1165"/>
      <c r="AC25" s="1165"/>
      <c r="AD25" s="1165"/>
      <c r="AE25" s="1165"/>
      <c r="AF25" s="1165"/>
      <c r="AG25" s="1165"/>
      <c r="AH25" s="1165"/>
      <c r="AI25" s="1165"/>
      <c r="AJ25" s="1165"/>
      <c r="AK25" s="1165"/>
      <c r="AL25" s="1165"/>
      <c r="AM25" s="1165"/>
      <c r="AN25" s="1165"/>
      <c r="AO25" s="1165"/>
      <c r="AP25" s="1165"/>
      <c r="AQ25" s="1165"/>
      <c r="AR25" s="1165"/>
      <c r="AS25" s="1165"/>
      <c r="AT25" s="1165"/>
      <c r="AV25" s="515"/>
      <c r="AW25" s="515"/>
      <c r="AX25" s="515"/>
      <c r="AY25" s="515" t="s">
        <v>8819</v>
      </c>
      <c r="AZ25" s="515" t="s">
        <v>8820</v>
      </c>
    </row>
    <row r="26" spans="2:52" ht="17" customHeight="1" x14ac:dyDescent="0.25">
      <c r="B26" s="1166"/>
      <c r="C26" s="1166"/>
      <c r="D26" s="1166"/>
      <c r="E26" s="1166"/>
      <c r="F26" s="1166"/>
      <c r="G26" s="1166"/>
      <c r="H26" s="1166"/>
      <c r="I26" s="1166"/>
      <c r="J26" s="1166"/>
      <c r="K26" s="1166"/>
      <c r="L26" s="1166"/>
      <c r="M26" s="1166"/>
      <c r="N26" s="1166"/>
      <c r="O26" s="1166"/>
      <c r="P26" s="1166"/>
      <c r="Q26" s="1166"/>
      <c r="R26" s="1166"/>
      <c r="S26" s="516"/>
      <c r="T26" s="516"/>
      <c r="U26" s="516"/>
      <c r="V26" s="1169"/>
      <c r="W26" s="1169"/>
      <c r="X26" s="1169"/>
      <c r="Y26" s="1169"/>
      <c r="Z26" s="1169"/>
      <c r="AA26" s="1169"/>
      <c r="AB26" s="1166"/>
      <c r="AC26" s="1166"/>
      <c r="AD26" s="1166"/>
      <c r="AE26" s="1166"/>
      <c r="AF26" s="1166"/>
      <c r="AG26" s="1166"/>
      <c r="AH26" s="1166"/>
      <c r="AI26" s="1166"/>
      <c r="AJ26" s="1166"/>
      <c r="AK26" s="1166"/>
      <c r="AL26" s="1166"/>
      <c r="AM26" s="1166"/>
      <c r="AN26" s="1166"/>
      <c r="AO26" s="1166"/>
      <c r="AP26" s="1166"/>
      <c r="AQ26" s="1166"/>
      <c r="AR26" s="1166"/>
      <c r="AS26" s="1166"/>
      <c r="AT26" s="1166"/>
      <c r="AV26" s="515"/>
      <c r="AW26" s="515"/>
      <c r="AX26" s="515"/>
      <c r="AY26" s="515" t="s">
        <v>8821</v>
      </c>
      <c r="AZ26" s="515" t="s">
        <v>8822</v>
      </c>
    </row>
    <row r="27" spans="2:52" ht="17" customHeight="1" x14ac:dyDescent="0.25">
      <c r="B27" s="1165"/>
      <c r="C27" s="1165"/>
      <c r="D27" s="1165"/>
      <c r="E27" s="1165"/>
      <c r="F27" s="1165"/>
      <c r="G27" s="1165"/>
      <c r="H27" s="1165"/>
      <c r="I27" s="1165"/>
      <c r="J27" s="1165"/>
      <c r="K27" s="1165"/>
      <c r="L27" s="1165"/>
      <c r="M27" s="1165"/>
      <c r="N27" s="1165"/>
      <c r="O27" s="1165"/>
      <c r="P27" s="1165"/>
      <c r="Q27" s="1165"/>
      <c r="R27" s="1165"/>
      <c r="S27" s="514"/>
      <c r="T27" s="514"/>
      <c r="U27" s="514"/>
      <c r="V27" s="1168"/>
      <c r="W27" s="1168"/>
      <c r="X27" s="1168"/>
      <c r="Y27" s="1168"/>
      <c r="Z27" s="1168"/>
      <c r="AA27" s="1168"/>
      <c r="AB27" s="1165"/>
      <c r="AC27" s="1165"/>
      <c r="AD27" s="1165"/>
      <c r="AE27" s="1165"/>
      <c r="AF27" s="1165"/>
      <c r="AG27" s="1165"/>
      <c r="AH27" s="1165"/>
      <c r="AI27" s="1165"/>
      <c r="AJ27" s="1165"/>
      <c r="AK27" s="1165"/>
      <c r="AL27" s="1165"/>
      <c r="AM27" s="1165"/>
      <c r="AN27" s="1165"/>
      <c r="AO27" s="1165"/>
      <c r="AP27" s="1165"/>
      <c r="AQ27" s="1165"/>
      <c r="AR27" s="1165"/>
      <c r="AS27" s="1165"/>
      <c r="AT27" s="1165"/>
      <c r="AV27" s="515"/>
      <c r="AW27" s="515"/>
      <c r="AX27" s="515"/>
      <c r="AY27" s="515" t="s">
        <v>8823</v>
      </c>
      <c r="AZ27" s="515" t="s">
        <v>8824</v>
      </c>
    </row>
    <row r="28" spans="2:52" ht="17" customHeight="1" x14ac:dyDescent="0.25">
      <c r="B28" s="1166"/>
      <c r="C28" s="1166"/>
      <c r="D28" s="1166"/>
      <c r="E28" s="1166"/>
      <c r="F28" s="1166"/>
      <c r="G28" s="1166"/>
      <c r="H28" s="1166"/>
      <c r="I28" s="1166"/>
      <c r="J28" s="1166"/>
      <c r="K28" s="1166"/>
      <c r="L28" s="1166"/>
      <c r="M28" s="1166"/>
      <c r="N28" s="1166"/>
      <c r="O28" s="1166"/>
      <c r="P28" s="1166"/>
      <c r="Q28" s="1166"/>
      <c r="R28" s="1166"/>
      <c r="S28" s="516"/>
      <c r="T28" s="516"/>
      <c r="U28" s="516"/>
      <c r="V28" s="1169"/>
      <c r="W28" s="1169"/>
      <c r="X28" s="1169"/>
      <c r="Y28" s="1169"/>
      <c r="Z28" s="1169"/>
      <c r="AA28" s="1169"/>
      <c r="AB28" s="1166"/>
      <c r="AC28" s="1166"/>
      <c r="AD28" s="1166"/>
      <c r="AE28" s="1166"/>
      <c r="AF28" s="1166"/>
      <c r="AG28" s="1166"/>
      <c r="AH28" s="1166"/>
      <c r="AI28" s="1166"/>
      <c r="AJ28" s="1166"/>
      <c r="AK28" s="1166"/>
      <c r="AL28" s="1166"/>
      <c r="AM28" s="1166"/>
      <c r="AN28" s="1166"/>
      <c r="AO28" s="1166"/>
      <c r="AP28" s="1166"/>
      <c r="AQ28" s="1166"/>
      <c r="AR28" s="1166"/>
      <c r="AS28" s="1166"/>
      <c r="AT28" s="1166"/>
      <c r="AV28" s="515"/>
      <c r="AW28" s="515"/>
      <c r="AX28" s="515"/>
      <c r="AY28" s="515" t="s">
        <v>8825</v>
      </c>
      <c r="AZ28" s="515" t="s">
        <v>8826</v>
      </c>
    </row>
    <row r="29" spans="2:52" ht="17" customHeight="1" x14ac:dyDescent="0.25">
      <c r="B29" s="1165"/>
      <c r="C29" s="1165"/>
      <c r="D29" s="1165"/>
      <c r="E29" s="1165"/>
      <c r="F29" s="1165"/>
      <c r="G29" s="1165"/>
      <c r="H29" s="1165"/>
      <c r="I29" s="1165"/>
      <c r="J29" s="1165"/>
      <c r="K29" s="1165"/>
      <c r="L29" s="1165"/>
      <c r="M29" s="1165"/>
      <c r="N29" s="1165"/>
      <c r="O29" s="1165"/>
      <c r="P29" s="1165"/>
      <c r="Q29" s="1165"/>
      <c r="R29" s="1165"/>
      <c r="S29" s="514"/>
      <c r="T29" s="514"/>
      <c r="U29" s="514"/>
      <c r="V29" s="1168"/>
      <c r="W29" s="1168"/>
      <c r="X29" s="1168"/>
      <c r="Y29" s="1168"/>
      <c r="Z29" s="1168"/>
      <c r="AA29" s="1168"/>
      <c r="AB29" s="1165"/>
      <c r="AC29" s="1165"/>
      <c r="AD29" s="1165"/>
      <c r="AE29" s="1165"/>
      <c r="AF29" s="1165"/>
      <c r="AG29" s="1165"/>
      <c r="AH29" s="1165"/>
      <c r="AI29" s="1165"/>
      <c r="AJ29" s="1165"/>
      <c r="AK29" s="1165"/>
      <c r="AL29" s="1165"/>
      <c r="AM29" s="1165"/>
      <c r="AN29" s="1165"/>
      <c r="AO29" s="1165"/>
      <c r="AP29" s="1165"/>
      <c r="AQ29" s="1165"/>
      <c r="AR29" s="1165"/>
      <c r="AS29" s="1165"/>
      <c r="AT29" s="1165"/>
      <c r="AV29" s="515"/>
      <c r="AW29" s="515"/>
      <c r="AX29" s="515"/>
      <c r="AY29" s="515" t="s">
        <v>8827</v>
      </c>
      <c r="AZ29" s="515" t="s">
        <v>8828</v>
      </c>
    </row>
    <row r="30" spans="2:52" ht="17" customHeight="1" x14ac:dyDescent="0.25">
      <c r="B30" s="1166"/>
      <c r="C30" s="1166"/>
      <c r="D30" s="1166"/>
      <c r="E30" s="1166"/>
      <c r="F30" s="1166"/>
      <c r="G30" s="1166"/>
      <c r="H30" s="1166"/>
      <c r="I30" s="1166"/>
      <c r="J30" s="1166"/>
      <c r="K30" s="1166"/>
      <c r="L30" s="1166"/>
      <c r="M30" s="1166"/>
      <c r="N30" s="1166"/>
      <c r="O30" s="1166"/>
      <c r="P30" s="1166"/>
      <c r="Q30" s="1166"/>
      <c r="R30" s="1166"/>
      <c r="S30" s="516"/>
      <c r="T30" s="516"/>
      <c r="U30" s="516"/>
      <c r="V30" s="1169"/>
      <c r="W30" s="1169"/>
      <c r="X30" s="1169"/>
      <c r="Y30" s="1169"/>
      <c r="Z30" s="1169"/>
      <c r="AA30" s="1169"/>
      <c r="AB30" s="1166"/>
      <c r="AC30" s="1166"/>
      <c r="AD30" s="1166"/>
      <c r="AE30" s="1166"/>
      <c r="AF30" s="1166"/>
      <c r="AG30" s="1166"/>
      <c r="AH30" s="1166"/>
      <c r="AI30" s="1166"/>
      <c r="AJ30" s="1166"/>
      <c r="AK30" s="1166"/>
      <c r="AL30" s="1166"/>
      <c r="AM30" s="1166"/>
      <c r="AN30" s="1166"/>
      <c r="AO30" s="1166"/>
      <c r="AP30" s="1166"/>
      <c r="AQ30" s="1166"/>
      <c r="AR30" s="1166"/>
      <c r="AS30" s="1166"/>
      <c r="AT30" s="1166"/>
      <c r="AV30" s="515"/>
      <c r="AW30" s="515"/>
      <c r="AX30" s="515"/>
      <c r="AY30" s="515" t="s">
        <v>8829</v>
      </c>
      <c r="AZ30" s="515" t="s">
        <v>8830</v>
      </c>
    </row>
    <row r="31" spans="2:52" ht="17" customHeight="1" x14ac:dyDescent="0.25">
      <c r="B31" s="1165"/>
      <c r="C31" s="1165"/>
      <c r="D31" s="1165"/>
      <c r="E31" s="1165"/>
      <c r="F31" s="1165"/>
      <c r="G31" s="1165"/>
      <c r="H31" s="1165"/>
      <c r="I31" s="1165"/>
      <c r="J31" s="1165"/>
      <c r="K31" s="1165"/>
      <c r="L31" s="1165"/>
      <c r="M31" s="1165"/>
      <c r="N31" s="1165"/>
      <c r="O31" s="1165"/>
      <c r="P31" s="1165"/>
      <c r="Q31" s="1165"/>
      <c r="R31" s="1165"/>
      <c r="S31" s="514"/>
      <c r="T31" s="514"/>
      <c r="U31" s="514"/>
      <c r="V31" s="1168"/>
      <c r="W31" s="1168"/>
      <c r="X31" s="1168"/>
      <c r="Y31" s="1168"/>
      <c r="Z31" s="1168"/>
      <c r="AA31" s="1168"/>
      <c r="AB31" s="1165"/>
      <c r="AC31" s="1165"/>
      <c r="AD31" s="1165"/>
      <c r="AE31" s="1165"/>
      <c r="AF31" s="1165"/>
      <c r="AG31" s="1165"/>
      <c r="AH31" s="1165"/>
      <c r="AI31" s="1165"/>
      <c r="AJ31" s="1165"/>
      <c r="AK31" s="1165"/>
      <c r="AL31" s="1165"/>
      <c r="AM31" s="1165"/>
      <c r="AN31" s="1165"/>
      <c r="AO31" s="1165"/>
      <c r="AP31" s="1165"/>
      <c r="AQ31" s="1165"/>
      <c r="AR31" s="1165"/>
      <c r="AS31" s="1165"/>
      <c r="AT31" s="1165"/>
      <c r="AV31" s="515"/>
      <c r="AW31" s="515"/>
      <c r="AX31" s="515"/>
      <c r="AY31" s="515" t="s">
        <v>8831</v>
      </c>
      <c r="AZ31" s="515" t="s">
        <v>8832</v>
      </c>
    </row>
    <row r="32" spans="2:52" ht="17" customHeight="1" x14ac:dyDescent="0.25">
      <c r="B32" s="1166"/>
      <c r="C32" s="1166"/>
      <c r="D32" s="1166"/>
      <c r="E32" s="1166"/>
      <c r="F32" s="1166"/>
      <c r="G32" s="1166"/>
      <c r="H32" s="1166"/>
      <c r="I32" s="1166"/>
      <c r="J32" s="1166"/>
      <c r="K32" s="1166"/>
      <c r="L32" s="1166"/>
      <c r="M32" s="1166"/>
      <c r="N32" s="1166"/>
      <c r="O32" s="1166"/>
      <c r="P32" s="1166"/>
      <c r="Q32" s="1166"/>
      <c r="R32" s="1166"/>
      <c r="S32" s="516"/>
      <c r="T32" s="516"/>
      <c r="U32" s="516"/>
      <c r="V32" s="1169"/>
      <c r="W32" s="1169"/>
      <c r="X32" s="1169"/>
      <c r="Y32" s="1169"/>
      <c r="Z32" s="1169"/>
      <c r="AA32" s="1169"/>
      <c r="AB32" s="1166"/>
      <c r="AC32" s="1166"/>
      <c r="AD32" s="1166"/>
      <c r="AE32" s="1166"/>
      <c r="AF32" s="1166"/>
      <c r="AG32" s="1166"/>
      <c r="AH32" s="1166"/>
      <c r="AI32" s="1166"/>
      <c r="AJ32" s="1166"/>
      <c r="AK32" s="1166"/>
      <c r="AL32" s="1166"/>
      <c r="AM32" s="1166"/>
      <c r="AN32" s="1166"/>
      <c r="AO32" s="1166"/>
      <c r="AP32" s="1166"/>
      <c r="AQ32" s="1166"/>
      <c r="AR32" s="1166"/>
      <c r="AS32" s="1166"/>
      <c r="AT32" s="1166"/>
      <c r="AV32" s="515"/>
      <c r="AW32" s="515"/>
      <c r="AX32" s="515"/>
      <c r="AY32" s="515" t="s">
        <v>8833</v>
      </c>
      <c r="AZ32" s="515" t="s">
        <v>8834</v>
      </c>
    </row>
    <row r="33" spans="2:52" ht="17" customHeight="1" x14ac:dyDescent="0.25">
      <c r="B33" s="1165"/>
      <c r="C33" s="1165"/>
      <c r="D33" s="1165"/>
      <c r="E33" s="1165"/>
      <c r="F33" s="1165"/>
      <c r="G33" s="1165"/>
      <c r="H33" s="1165"/>
      <c r="I33" s="1165"/>
      <c r="J33" s="1165"/>
      <c r="K33" s="1165"/>
      <c r="L33" s="1165"/>
      <c r="M33" s="1165"/>
      <c r="N33" s="1165"/>
      <c r="O33" s="1165"/>
      <c r="P33" s="1165"/>
      <c r="Q33" s="1165"/>
      <c r="R33" s="1165"/>
      <c r="S33" s="514"/>
      <c r="T33" s="514"/>
      <c r="U33" s="514"/>
      <c r="V33" s="1168"/>
      <c r="W33" s="1168"/>
      <c r="X33" s="1168"/>
      <c r="Y33" s="1168"/>
      <c r="Z33" s="1168"/>
      <c r="AA33" s="1168"/>
      <c r="AB33" s="1165"/>
      <c r="AC33" s="1165"/>
      <c r="AD33" s="1165"/>
      <c r="AE33" s="1165"/>
      <c r="AF33" s="1165"/>
      <c r="AG33" s="1165"/>
      <c r="AH33" s="1165"/>
      <c r="AI33" s="1165"/>
      <c r="AJ33" s="1165"/>
      <c r="AK33" s="1165"/>
      <c r="AL33" s="1165"/>
      <c r="AM33" s="1165"/>
      <c r="AN33" s="1165"/>
      <c r="AO33" s="1165"/>
      <c r="AP33" s="1165"/>
      <c r="AQ33" s="1165"/>
      <c r="AR33" s="1165"/>
      <c r="AS33" s="1165"/>
      <c r="AT33" s="1165"/>
      <c r="AV33" s="515"/>
      <c r="AW33" s="515"/>
      <c r="AX33" s="515"/>
      <c r="AY33" s="515" t="s">
        <v>8835</v>
      </c>
      <c r="AZ33" s="515" t="s">
        <v>8836</v>
      </c>
    </row>
    <row r="34" spans="2:52" ht="17" customHeight="1" x14ac:dyDescent="0.25">
      <c r="B34" s="1166"/>
      <c r="C34" s="1166"/>
      <c r="D34" s="1166"/>
      <c r="E34" s="1166"/>
      <c r="F34" s="1166"/>
      <c r="G34" s="1166"/>
      <c r="H34" s="1166"/>
      <c r="I34" s="1166"/>
      <c r="J34" s="1166"/>
      <c r="K34" s="1166"/>
      <c r="L34" s="1166"/>
      <c r="M34" s="1166"/>
      <c r="N34" s="1166"/>
      <c r="O34" s="1166"/>
      <c r="P34" s="1166"/>
      <c r="Q34" s="1166"/>
      <c r="R34" s="1166"/>
      <c r="S34" s="516"/>
      <c r="T34" s="516"/>
      <c r="U34" s="516"/>
      <c r="V34" s="1169"/>
      <c r="W34" s="1169"/>
      <c r="X34" s="1169"/>
      <c r="Y34" s="1169"/>
      <c r="Z34" s="1169"/>
      <c r="AA34" s="1169"/>
      <c r="AB34" s="1166"/>
      <c r="AC34" s="1166"/>
      <c r="AD34" s="1166"/>
      <c r="AE34" s="1166"/>
      <c r="AF34" s="1166"/>
      <c r="AG34" s="1166"/>
      <c r="AH34" s="1166"/>
      <c r="AI34" s="1166"/>
      <c r="AJ34" s="1166"/>
      <c r="AK34" s="1166"/>
      <c r="AL34" s="1166"/>
      <c r="AM34" s="1166"/>
      <c r="AN34" s="1166"/>
      <c r="AO34" s="1166"/>
      <c r="AP34" s="1166"/>
      <c r="AQ34" s="1166"/>
      <c r="AR34" s="1166"/>
      <c r="AS34" s="1166"/>
      <c r="AT34" s="1166"/>
      <c r="AV34" s="515"/>
      <c r="AW34" s="515"/>
      <c r="AX34" s="515"/>
      <c r="AY34" s="515" t="s">
        <v>8837</v>
      </c>
      <c r="AZ34" s="515" t="s">
        <v>8838</v>
      </c>
    </row>
    <row r="35" spans="2:52" ht="17" customHeight="1" x14ac:dyDescent="0.25">
      <c r="B35" s="1165"/>
      <c r="C35" s="1165"/>
      <c r="D35" s="1165"/>
      <c r="E35" s="1165"/>
      <c r="F35" s="1165"/>
      <c r="G35" s="1165"/>
      <c r="H35" s="1165"/>
      <c r="I35" s="1165"/>
      <c r="J35" s="1165"/>
      <c r="K35" s="1165"/>
      <c r="L35" s="1165"/>
      <c r="M35" s="1165"/>
      <c r="N35" s="1165"/>
      <c r="O35" s="1165"/>
      <c r="P35" s="1165"/>
      <c r="Q35" s="1165"/>
      <c r="R35" s="1165"/>
      <c r="S35" s="514"/>
      <c r="T35" s="514"/>
      <c r="U35" s="514"/>
      <c r="V35" s="1168"/>
      <c r="W35" s="1168"/>
      <c r="X35" s="1168"/>
      <c r="Y35" s="1168"/>
      <c r="Z35" s="1168"/>
      <c r="AA35" s="1168"/>
      <c r="AB35" s="1165"/>
      <c r="AC35" s="1165"/>
      <c r="AD35" s="1165"/>
      <c r="AE35" s="1165"/>
      <c r="AF35" s="1165"/>
      <c r="AG35" s="1165"/>
      <c r="AH35" s="1165"/>
      <c r="AI35" s="1165"/>
      <c r="AJ35" s="1165"/>
      <c r="AK35" s="1165"/>
      <c r="AL35" s="1165"/>
      <c r="AM35" s="1165"/>
      <c r="AN35" s="1165"/>
      <c r="AO35" s="1165"/>
      <c r="AP35" s="1165"/>
      <c r="AQ35" s="1165"/>
      <c r="AR35" s="1165"/>
      <c r="AS35" s="1165"/>
      <c r="AT35" s="1165"/>
      <c r="AV35" s="515"/>
      <c r="AW35" s="515"/>
      <c r="AX35" s="515"/>
      <c r="AY35" s="515" t="s">
        <v>8839</v>
      </c>
      <c r="AZ35" s="515" t="s">
        <v>8840</v>
      </c>
    </row>
    <row r="36" spans="2:52" ht="17" customHeight="1" x14ac:dyDescent="0.25">
      <c r="B36" s="1166"/>
      <c r="C36" s="1166"/>
      <c r="D36" s="1166"/>
      <c r="E36" s="1166"/>
      <c r="F36" s="1166"/>
      <c r="G36" s="1166"/>
      <c r="H36" s="1166"/>
      <c r="I36" s="1166"/>
      <c r="J36" s="1166"/>
      <c r="K36" s="1166"/>
      <c r="L36" s="1166"/>
      <c r="M36" s="1166"/>
      <c r="N36" s="1166"/>
      <c r="O36" s="1166"/>
      <c r="P36" s="1166"/>
      <c r="Q36" s="1166"/>
      <c r="R36" s="1166"/>
      <c r="S36" s="516"/>
      <c r="T36" s="516"/>
      <c r="U36" s="516"/>
      <c r="V36" s="1169"/>
      <c r="W36" s="1169"/>
      <c r="X36" s="1169"/>
      <c r="Y36" s="1169"/>
      <c r="Z36" s="1169"/>
      <c r="AA36" s="1169"/>
      <c r="AB36" s="1166"/>
      <c r="AC36" s="1166"/>
      <c r="AD36" s="1166"/>
      <c r="AE36" s="1166"/>
      <c r="AF36" s="1166"/>
      <c r="AG36" s="1166"/>
      <c r="AH36" s="1166"/>
      <c r="AI36" s="1166"/>
      <c r="AJ36" s="1166"/>
      <c r="AK36" s="1166"/>
      <c r="AL36" s="1166"/>
      <c r="AM36" s="1166"/>
      <c r="AN36" s="1166"/>
      <c r="AO36" s="1166"/>
      <c r="AP36" s="1166"/>
      <c r="AQ36" s="1166"/>
      <c r="AR36" s="1166"/>
      <c r="AS36" s="1166"/>
      <c r="AT36" s="1166"/>
      <c r="AV36" s="515"/>
      <c r="AW36" s="515"/>
      <c r="AX36" s="515"/>
      <c r="AY36" s="515" t="s">
        <v>8841</v>
      </c>
      <c r="AZ36" s="515" t="s">
        <v>8842</v>
      </c>
    </row>
    <row r="37" spans="2:52" ht="17" customHeight="1" x14ac:dyDescent="0.25">
      <c r="B37" s="1165"/>
      <c r="C37" s="1165"/>
      <c r="D37" s="1165"/>
      <c r="E37" s="1165"/>
      <c r="F37" s="1165"/>
      <c r="G37" s="1165"/>
      <c r="H37" s="1165"/>
      <c r="I37" s="1165"/>
      <c r="J37" s="1165"/>
      <c r="K37" s="1165"/>
      <c r="L37" s="1165"/>
      <c r="M37" s="1165"/>
      <c r="N37" s="1165"/>
      <c r="O37" s="1165"/>
      <c r="P37" s="1165"/>
      <c r="Q37" s="1165"/>
      <c r="R37" s="1165"/>
      <c r="S37" s="514"/>
      <c r="T37" s="514"/>
      <c r="U37" s="514"/>
      <c r="V37" s="1168"/>
      <c r="W37" s="1168"/>
      <c r="X37" s="1168"/>
      <c r="Y37" s="1168"/>
      <c r="Z37" s="1168"/>
      <c r="AA37" s="1168"/>
      <c r="AB37" s="1165"/>
      <c r="AC37" s="1165"/>
      <c r="AD37" s="1165"/>
      <c r="AE37" s="1165"/>
      <c r="AF37" s="1165"/>
      <c r="AG37" s="1165"/>
      <c r="AH37" s="1165"/>
      <c r="AI37" s="1165"/>
      <c r="AJ37" s="1165"/>
      <c r="AK37" s="1165"/>
      <c r="AL37" s="1165"/>
      <c r="AM37" s="1165"/>
      <c r="AN37" s="1165"/>
      <c r="AO37" s="1165"/>
      <c r="AP37" s="1165"/>
      <c r="AQ37" s="1165"/>
      <c r="AR37" s="1165"/>
      <c r="AS37" s="1165"/>
      <c r="AT37" s="1165"/>
      <c r="AV37" s="515"/>
      <c r="AW37" s="515"/>
      <c r="AX37" s="515"/>
      <c r="AY37" s="515" t="s">
        <v>8843</v>
      </c>
      <c r="AZ37" s="515" t="s">
        <v>8844</v>
      </c>
    </row>
    <row r="38" spans="2:52" ht="17" customHeight="1" x14ac:dyDescent="0.25">
      <c r="B38" s="1166"/>
      <c r="C38" s="1166"/>
      <c r="D38" s="1166"/>
      <c r="E38" s="1166"/>
      <c r="F38" s="1166"/>
      <c r="G38" s="1166"/>
      <c r="H38" s="1166"/>
      <c r="I38" s="1166"/>
      <c r="J38" s="1166"/>
      <c r="K38" s="1166"/>
      <c r="L38" s="1166"/>
      <c r="M38" s="1166"/>
      <c r="N38" s="1166"/>
      <c r="O38" s="1166"/>
      <c r="P38" s="1166"/>
      <c r="Q38" s="1166"/>
      <c r="R38" s="1166"/>
      <c r="S38" s="516"/>
      <c r="T38" s="516"/>
      <c r="U38" s="516"/>
      <c r="V38" s="1169"/>
      <c r="W38" s="1169"/>
      <c r="X38" s="1169"/>
      <c r="Y38" s="1169"/>
      <c r="Z38" s="1169"/>
      <c r="AA38" s="1169"/>
      <c r="AB38" s="1166"/>
      <c r="AC38" s="1166"/>
      <c r="AD38" s="1166"/>
      <c r="AE38" s="1166"/>
      <c r="AF38" s="1166"/>
      <c r="AG38" s="1166"/>
      <c r="AH38" s="1166"/>
      <c r="AI38" s="1166"/>
      <c r="AJ38" s="1166"/>
      <c r="AK38" s="1166"/>
      <c r="AL38" s="1166"/>
      <c r="AM38" s="1166"/>
      <c r="AN38" s="1166"/>
      <c r="AO38" s="1166"/>
      <c r="AP38" s="1166"/>
      <c r="AQ38" s="1166"/>
      <c r="AR38" s="1166"/>
      <c r="AS38" s="1166"/>
      <c r="AT38" s="1166"/>
      <c r="AV38" s="515"/>
      <c r="AW38" s="515"/>
      <c r="AX38" s="515"/>
      <c r="AY38" s="515"/>
      <c r="AZ38" s="515" t="s">
        <v>8845</v>
      </c>
    </row>
    <row r="39" spans="2:52" ht="17" customHeight="1" x14ac:dyDescent="0.25">
      <c r="B39" s="1165"/>
      <c r="C39" s="1165"/>
      <c r="D39" s="1165"/>
      <c r="E39" s="1165"/>
      <c r="F39" s="1165"/>
      <c r="G39" s="1165"/>
      <c r="H39" s="1165"/>
      <c r="I39" s="1165"/>
      <c r="J39" s="1165"/>
      <c r="K39" s="1165"/>
      <c r="L39" s="1165"/>
      <c r="M39" s="1165"/>
      <c r="N39" s="1165"/>
      <c r="O39" s="1165"/>
      <c r="P39" s="1165"/>
      <c r="Q39" s="1165"/>
      <c r="R39" s="1165"/>
      <c r="S39" s="514"/>
      <c r="T39" s="514"/>
      <c r="U39" s="514"/>
      <c r="V39" s="1168"/>
      <c r="W39" s="1168"/>
      <c r="X39" s="1168"/>
      <c r="Y39" s="1168"/>
      <c r="Z39" s="1168"/>
      <c r="AA39" s="1168"/>
      <c r="AB39" s="1165"/>
      <c r="AC39" s="1165"/>
      <c r="AD39" s="1165"/>
      <c r="AE39" s="1165"/>
      <c r="AF39" s="1165"/>
      <c r="AG39" s="1165"/>
      <c r="AH39" s="1165"/>
      <c r="AI39" s="1165"/>
      <c r="AJ39" s="1165"/>
      <c r="AK39" s="1165"/>
      <c r="AL39" s="1165"/>
      <c r="AM39" s="1165"/>
      <c r="AN39" s="1165"/>
      <c r="AO39" s="1165"/>
      <c r="AP39" s="1165"/>
      <c r="AQ39" s="1165"/>
      <c r="AR39" s="1165"/>
      <c r="AS39" s="1165"/>
      <c r="AT39" s="1165"/>
      <c r="AV39" s="515"/>
      <c r="AW39" s="515"/>
      <c r="AX39" s="515"/>
      <c r="AY39" s="515"/>
      <c r="AZ39" s="515" t="s">
        <v>8846</v>
      </c>
    </row>
    <row r="40" spans="2:52" ht="17" customHeight="1" x14ac:dyDescent="0.25">
      <c r="B40" s="1166"/>
      <c r="C40" s="1166"/>
      <c r="D40" s="1166"/>
      <c r="E40" s="1166"/>
      <c r="F40" s="1166"/>
      <c r="G40" s="1166"/>
      <c r="H40" s="1166"/>
      <c r="I40" s="1166"/>
      <c r="J40" s="1166"/>
      <c r="K40" s="1166"/>
      <c r="L40" s="1166"/>
      <c r="M40" s="1166"/>
      <c r="N40" s="1166"/>
      <c r="O40" s="1166"/>
      <c r="P40" s="1166"/>
      <c r="Q40" s="1166"/>
      <c r="R40" s="1166"/>
      <c r="S40" s="516"/>
      <c r="T40" s="516"/>
      <c r="U40" s="516"/>
      <c r="V40" s="1169"/>
      <c r="W40" s="1169"/>
      <c r="X40" s="1169"/>
      <c r="Y40" s="1169"/>
      <c r="Z40" s="1169"/>
      <c r="AA40" s="1169"/>
      <c r="AB40" s="1166"/>
      <c r="AC40" s="1166"/>
      <c r="AD40" s="1166"/>
      <c r="AE40" s="1166"/>
      <c r="AF40" s="1166"/>
      <c r="AG40" s="1166"/>
      <c r="AH40" s="1166"/>
      <c r="AI40" s="1166"/>
      <c r="AJ40" s="1166"/>
      <c r="AK40" s="1166"/>
      <c r="AL40" s="1166"/>
      <c r="AM40" s="1166"/>
      <c r="AN40" s="1166"/>
      <c r="AO40" s="1166"/>
      <c r="AP40" s="1166"/>
      <c r="AQ40" s="1166"/>
      <c r="AR40" s="1166"/>
      <c r="AS40" s="1166"/>
      <c r="AT40" s="1166"/>
    </row>
    <row r="41" spans="2:52" ht="17" customHeight="1" x14ac:dyDescent="0.25">
      <c r="B41" s="1165"/>
      <c r="C41" s="1165"/>
      <c r="D41" s="1165"/>
      <c r="E41" s="1165"/>
      <c r="F41" s="1165"/>
      <c r="G41" s="1165"/>
      <c r="H41" s="1165"/>
      <c r="I41" s="1165"/>
      <c r="J41" s="1165"/>
      <c r="K41" s="1165"/>
      <c r="L41" s="1165"/>
      <c r="M41" s="1165"/>
      <c r="N41" s="1165"/>
      <c r="O41" s="1165"/>
      <c r="P41" s="1165"/>
      <c r="Q41" s="1165"/>
      <c r="R41" s="1165"/>
      <c r="S41" s="514"/>
      <c r="T41" s="514"/>
      <c r="U41" s="514"/>
      <c r="V41" s="1168"/>
      <c r="W41" s="1168"/>
      <c r="X41" s="1168"/>
      <c r="Y41" s="1168"/>
      <c r="Z41" s="1168"/>
      <c r="AA41" s="1168"/>
      <c r="AB41" s="1165"/>
      <c r="AC41" s="1165"/>
      <c r="AD41" s="1165"/>
      <c r="AE41" s="1165"/>
      <c r="AF41" s="1165"/>
      <c r="AG41" s="1165"/>
      <c r="AH41" s="1165"/>
      <c r="AI41" s="1165"/>
      <c r="AJ41" s="1165"/>
      <c r="AK41" s="1165"/>
      <c r="AL41" s="1165"/>
      <c r="AM41" s="1165"/>
      <c r="AN41" s="1165"/>
      <c r="AO41" s="1165"/>
      <c r="AP41" s="1165"/>
      <c r="AQ41" s="1165"/>
      <c r="AR41" s="1165"/>
      <c r="AS41" s="1165"/>
      <c r="AT41" s="1165"/>
    </row>
    <row r="42" spans="2:52" ht="17" customHeight="1" x14ac:dyDescent="0.25">
      <c r="B42" s="1166"/>
      <c r="C42" s="1166"/>
      <c r="D42" s="1166"/>
      <c r="E42" s="1166"/>
      <c r="F42" s="1166"/>
      <c r="G42" s="1166"/>
      <c r="H42" s="1166"/>
      <c r="I42" s="1166"/>
      <c r="J42" s="1166"/>
      <c r="K42" s="1166"/>
      <c r="L42" s="1166"/>
      <c r="M42" s="1166"/>
      <c r="N42" s="1166"/>
      <c r="O42" s="1166"/>
      <c r="P42" s="1166"/>
      <c r="Q42" s="1166"/>
      <c r="R42" s="1166"/>
      <c r="S42" s="516"/>
      <c r="T42" s="516"/>
      <c r="U42" s="516"/>
      <c r="V42" s="1169"/>
      <c r="W42" s="1169"/>
      <c r="X42" s="1169"/>
      <c r="Y42" s="1169"/>
      <c r="Z42" s="1169"/>
      <c r="AA42" s="1169"/>
      <c r="AB42" s="1166"/>
      <c r="AC42" s="1166"/>
      <c r="AD42" s="1166"/>
      <c r="AE42" s="1166"/>
      <c r="AF42" s="1166"/>
      <c r="AG42" s="1166"/>
      <c r="AH42" s="1166"/>
      <c r="AI42" s="1166"/>
      <c r="AJ42" s="1166"/>
      <c r="AK42" s="1166"/>
      <c r="AL42" s="1166"/>
      <c r="AM42" s="1166"/>
      <c r="AN42" s="1166"/>
      <c r="AO42" s="1166"/>
      <c r="AP42" s="1166"/>
      <c r="AQ42" s="1166"/>
      <c r="AR42" s="1166"/>
      <c r="AS42" s="1166"/>
      <c r="AT42" s="1166"/>
    </row>
    <row r="43" spans="2:52" ht="17" customHeight="1" x14ac:dyDescent="0.25">
      <c r="B43" s="1165"/>
      <c r="C43" s="1165"/>
      <c r="D43" s="1165"/>
      <c r="E43" s="1165"/>
      <c r="F43" s="1165"/>
      <c r="G43" s="1165"/>
      <c r="H43" s="1165"/>
      <c r="I43" s="1165"/>
      <c r="J43" s="1165"/>
      <c r="K43" s="1165"/>
      <c r="L43" s="1165"/>
      <c r="M43" s="1165"/>
      <c r="N43" s="1165"/>
      <c r="O43" s="1165"/>
      <c r="P43" s="1165"/>
      <c r="Q43" s="1165"/>
      <c r="R43" s="1165"/>
      <c r="S43" s="514"/>
      <c r="T43" s="514"/>
      <c r="U43" s="514"/>
      <c r="V43" s="1168"/>
      <c r="W43" s="1168"/>
      <c r="X43" s="1168"/>
      <c r="Y43" s="1168"/>
      <c r="Z43" s="1168"/>
      <c r="AA43" s="1168"/>
      <c r="AB43" s="1165"/>
      <c r="AC43" s="1165"/>
      <c r="AD43" s="1165"/>
      <c r="AE43" s="1165"/>
      <c r="AF43" s="1165"/>
      <c r="AG43" s="1165"/>
      <c r="AH43" s="1165"/>
      <c r="AI43" s="1165"/>
      <c r="AJ43" s="1165"/>
      <c r="AK43" s="1165"/>
      <c r="AL43" s="1165"/>
      <c r="AM43" s="1165"/>
      <c r="AN43" s="1165"/>
      <c r="AO43" s="1165"/>
      <c r="AP43" s="1165"/>
      <c r="AQ43" s="1165"/>
      <c r="AR43" s="1165"/>
      <c r="AS43" s="1165"/>
      <c r="AT43" s="1165"/>
    </row>
    <row r="44" spans="2:52" ht="17" customHeight="1" x14ac:dyDescent="0.25">
      <c r="B44" s="1166"/>
      <c r="C44" s="1166"/>
      <c r="D44" s="1166"/>
      <c r="E44" s="1166"/>
      <c r="F44" s="1166"/>
      <c r="G44" s="1166"/>
      <c r="H44" s="1166"/>
      <c r="I44" s="1166"/>
      <c r="J44" s="1166"/>
      <c r="K44" s="1166"/>
      <c r="L44" s="1166"/>
      <c r="M44" s="1166"/>
      <c r="N44" s="1166"/>
      <c r="O44" s="1166"/>
      <c r="P44" s="1166"/>
      <c r="Q44" s="1166"/>
      <c r="R44" s="1166"/>
      <c r="S44" s="516"/>
      <c r="T44" s="516"/>
      <c r="U44" s="516"/>
      <c r="V44" s="1169"/>
      <c r="W44" s="1169"/>
      <c r="X44" s="1169"/>
      <c r="Y44" s="1169"/>
      <c r="Z44" s="1169"/>
      <c r="AA44" s="1169"/>
      <c r="AB44" s="1166"/>
      <c r="AC44" s="1166"/>
      <c r="AD44" s="1166"/>
      <c r="AE44" s="1166"/>
      <c r="AF44" s="1166"/>
      <c r="AG44" s="1166"/>
      <c r="AH44" s="1166"/>
      <c r="AI44" s="1166"/>
      <c r="AJ44" s="1166"/>
      <c r="AK44" s="1166"/>
      <c r="AL44" s="1166"/>
      <c r="AM44" s="1166"/>
      <c r="AN44" s="1166"/>
      <c r="AO44" s="1166"/>
      <c r="AP44" s="1166"/>
      <c r="AQ44" s="1166"/>
      <c r="AR44" s="1166"/>
      <c r="AS44" s="1166"/>
      <c r="AT44" s="1166"/>
    </row>
    <row r="45" spans="2:52" ht="17" customHeight="1" x14ac:dyDescent="0.25">
      <c r="B45" s="1165"/>
      <c r="C45" s="1165"/>
      <c r="D45" s="1165"/>
      <c r="E45" s="1165"/>
      <c r="F45" s="1165"/>
      <c r="G45" s="1165"/>
      <c r="H45" s="1165"/>
      <c r="I45" s="1165"/>
      <c r="J45" s="1165"/>
      <c r="K45" s="1165"/>
      <c r="L45" s="1165"/>
      <c r="M45" s="1165"/>
      <c r="N45" s="1165"/>
      <c r="O45" s="1165"/>
      <c r="P45" s="1165"/>
      <c r="Q45" s="1165"/>
      <c r="R45" s="1165"/>
      <c r="S45" s="514"/>
      <c r="T45" s="514"/>
      <c r="U45" s="514"/>
      <c r="V45" s="1168"/>
      <c r="W45" s="1168"/>
      <c r="X45" s="1168"/>
      <c r="Y45" s="1168"/>
      <c r="Z45" s="1168"/>
      <c r="AA45" s="1168"/>
      <c r="AB45" s="1165"/>
      <c r="AC45" s="1165"/>
      <c r="AD45" s="1165"/>
      <c r="AE45" s="1165"/>
      <c r="AF45" s="1165"/>
      <c r="AG45" s="1165"/>
      <c r="AH45" s="1165"/>
      <c r="AI45" s="1165"/>
      <c r="AJ45" s="1165"/>
      <c r="AK45" s="1165"/>
      <c r="AL45" s="1165"/>
      <c r="AM45" s="1165"/>
      <c r="AN45" s="1165"/>
      <c r="AO45" s="1165"/>
      <c r="AP45" s="1165"/>
      <c r="AQ45" s="1165"/>
      <c r="AR45" s="1165"/>
      <c r="AS45" s="1165"/>
      <c r="AT45" s="1165"/>
    </row>
    <row r="46" spans="2:52" ht="17" customHeight="1" x14ac:dyDescent="0.25">
      <c r="B46" s="1166"/>
      <c r="C46" s="1166"/>
      <c r="D46" s="1166"/>
      <c r="E46" s="1166"/>
      <c r="F46" s="1166"/>
      <c r="G46" s="1166"/>
      <c r="H46" s="1166"/>
      <c r="I46" s="1166"/>
      <c r="J46" s="1166"/>
      <c r="K46" s="1166"/>
      <c r="L46" s="1166"/>
      <c r="M46" s="1166"/>
      <c r="N46" s="1166"/>
      <c r="O46" s="1166"/>
      <c r="P46" s="1166"/>
      <c r="Q46" s="1166"/>
      <c r="R46" s="1166"/>
      <c r="S46" s="516"/>
      <c r="T46" s="516"/>
      <c r="U46" s="516"/>
      <c r="V46" s="1169"/>
      <c r="W46" s="1169"/>
      <c r="X46" s="1169"/>
      <c r="Y46" s="1169"/>
      <c r="Z46" s="1169"/>
      <c r="AA46" s="1169"/>
      <c r="AB46" s="1166"/>
      <c r="AC46" s="1166"/>
      <c r="AD46" s="1166"/>
      <c r="AE46" s="1166"/>
      <c r="AF46" s="1166"/>
      <c r="AG46" s="1166"/>
      <c r="AH46" s="1166"/>
      <c r="AI46" s="1166"/>
      <c r="AJ46" s="1166"/>
      <c r="AK46" s="1166"/>
      <c r="AL46" s="1166"/>
      <c r="AM46" s="1166"/>
      <c r="AN46" s="1166"/>
      <c r="AO46" s="1166"/>
      <c r="AP46" s="1166"/>
      <c r="AQ46" s="1166"/>
      <c r="AR46" s="1166"/>
      <c r="AS46" s="1166"/>
      <c r="AT46" s="1166"/>
    </row>
    <row r="47" spans="2:52" x14ac:dyDescent="0.25">
      <c r="B47" s="1165"/>
      <c r="C47" s="1165"/>
      <c r="D47" s="1165"/>
      <c r="E47" s="1165"/>
      <c r="F47" s="1165"/>
      <c r="G47" s="1165"/>
      <c r="H47" s="1165"/>
      <c r="I47" s="1165"/>
      <c r="J47" s="1165"/>
      <c r="K47" s="1165"/>
      <c r="L47" s="1165"/>
      <c r="M47" s="1165"/>
      <c r="N47" s="1165"/>
      <c r="O47" s="1165"/>
      <c r="P47" s="1165"/>
      <c r="Q47" s="1165"/>
      <c r="R47" s="1165"/>
      <c r="S47" s="514"/>
      <c r="T47" s="514"/>
      <c r="U47" s="514"/>
      <c r="V47" s="1168"/>
      <c r="W47" s="1168"/>
      <c r="X47" s="1168"/>
      <c r="Y47" s="1168"/>
      <c r="Z47" s="1168"/>
      <c r="AA47" s="1168"/>
      <c r="AB47" s="1165"/>
      <c r="AC47" s="1165"/>
      <c r="AD47" s="1165"/>
      <c r="AE47" s="1165"/>
      <c r="AF47" s="1165"/>
      <c r="AG47" s="1165"/>
      <c r="AH47" s="1165"/>
      <c r="AI47" s="1165"/>
      <c r="AJ47" s="1165"/>
      <c r="AK47" s="1165"/>
      <c r="AL47" s="1165"/>
      <c r="AM47" s="1165"/>
      <c r="AN47" s="1165"/>
      <c r="AO47" s="1165"/>
      <c r="AP47" s="1165"/>
      <c r="AQ47" s="1165"/>
      <c r="AR47" s="1165"/>
      <c r="AS47" s="1165"/>
      <c r="AT47" s="1165"/>
    </row>
    <row r="48" spans="2:52" x14ac:dyDescent="0.25">
      <c r="B48" s="1166"/>
      <c r="C48" s="1166"/>
      <c r="D48" s="1166"/>
      <c r="E48" s="1166"/>
      <c r="F48" s="1166"/>
      <c r="G48" s="1166"/>
      <c r="H48" s="1166"/>
      <c r="I48" s="1166"/>
      <c r="J48" s="1166"/>
      <c r="K48" s="1166"/>
      <c r="L48" s="1166"/>
      <c r="M48" s="1166"/>
      <c r="N48" s="1166"/>
      <c r="O48" s="1166"/>
      <c r="P48" s="1166"/>
      <c r="Q48" s="1166"/>
      <c r="R48" s="1166"/>
      <c r="S48" s="516"/>
      <c r="T48" s="516"/>
      <c r="U48" s="516"/>
      <c r="V48" s="1169"/>
      <c r="W48" s="1169"/>
      <c r="X48" s="1169"/>
      <c r="Y48" s="1169"/>
      <c r="Z48" s="1169"/>
      <c r="AA48" s="1169"/>
      <c r="AB48" s="1166"/>
      <c r="AC48" s="1166"/>
      <c r="AD48" s="1166"/>
      <c r="AE48" s="1166"/>
      <c r="AF48" s="1166"/>
      <c r="AG48" s="1166"/>
      <c r="AH48" s="1166"/>
      <c r="AI48" s="1166"/>
      <c r="AJ48" s="1166"/>
      <c r="AK48" s="1166"/>
      <c r="AL48" s="1166"/>
      <c r="AM48" s="1166"/>
      <c r="AN48" s="1166"/>
      <c r="AO48" s="1166"/>
      <c r="AP48" s="1166"/>
      <c r="AQ48" s="1166"/>
      <c r="AR48" s="1166"/>
      <c r="AS48" s="1166"/>
      <c r="AT48" s="1166"/>
    </row>
    <row r="49" spans="2:46" x14ac:dyDescent="0.25">
      <c r="B49" s="1165"/>
      <c r="C49" s="1165"/>
      <c r="D49" s="1165"/>
      <c r="E49" s="1165"/>
      <c r="F49" s="1165"/>
      <c r="G49" s="1165"/>
      <c r="H49" s="1165"/>
      <c r="I49" s="1165"/>
      <c r="J49" s="1165"/>
      <c r="K49" s="1165"/>
      <c r="L49" s="1165"/>
      <c r="M49" s="1165"/>
      <c r="N49" s="1165"/>
      <c r="O49" s="1165"/>
      <c r="P49" s="1165"/>
      <c r="Q49" s="1165"/>
      <c r="R49" s="1165"/>
      <c r="S49" s="514"/>
      <c r="T49" s="514"/>
      <c r="U49" s="514"/>
      <c r="V49" s="1168"/>
      <c r="W49" s="1168"/>
      <c r="X49" s="1168"/>
      <c r="Y49" s="1168"/>
      <c r="Z49" s="1168"/>
      <c r="AA49" s="1168"/>
      <c r="AB49" s="1165"/>
      <c r="AC49" s="1165"/>
      <c r="AD49" s="1165"/>
      <c r="AE49" s="1165"/>
      <c r="AF49" s="1165"/>
      <c r="AG49" s="1165"/>
      <c r="AH49" s="1165"/>
      <c r="AI49" s="1165"/>
      <c r="AJ49" s="1165"/>
      <c r="AK49" s="1165"/>
      <c r="AL49" s="1165"/>
      <c r="AM49" s="1165"/>
      <c r="AN49" s="1165"/>
      <c r="AO49" s="1165"/>
      <c r="AP49" s="1165"/>
      <c r="AQ49" s="1165"/>
      <c r="AR49" s="1165"/>
      <c r="AS49" s="1165"/>
      <c r="AT49" s="1165"/>
    </row>
    <row r="50" spans="2:46" x14ac:dyDescent="0.25">
      <c r="B50" s="1166"/>
      <c r="C50" s="1166"/>
      <c r="D50" s="1166"/>
      <c r="E50" s="1166"/>
      <c r="F50" s="1166"/>
      <c r="G50" s="1166"/>
      <c r="H50" s="1166"/>
      <c r="I50" s="1166"/>
      <c r="J50" s="1166"/>
      <c r="K50" s="1166"/>
      <c r="L50" s="1166"/>
      <c r="M50" s="1166"/>
      <c r="N50" s="1166"/>
      <c r="O50" s="1166"/>
      <c r="P50" s="1166"/>
      <c r="Q50" s="1166"/>
      <c r="R50" s="1166"/>
      <c r="S50" s="516"/>
      <c r="T50" s="516"/>
      <c r="U50" s="516"/>
      <c r="V50" s="1169"/>
      <c r="W50" s="1169"/>
      <c r="X50" s="1169"/>
      <c r="Y50" s="1169"/>
      <c r="Z50" s="1169"/>
      <c r="AA50" s="1169"/>
      <c r="AB50" s="1166"/>
      <c r="AC50" s="1166"/>
      <c r="AD50" s="1166"/>
      <c r="AE50" s="1166"/>
      <c r="AF50" s="1166"/>
      <c r="AG50" s="1166"/>
      <c r="AH50" s="1166"/>
      <c r="AI50" s="1166"/>
      <c r="AJ50" s="1166"/>
      <c r="AK50" s="1166"/>
      <c r="AL50" s="1166"/>
      <c r="AM50" s="1166"/>
      <c r="AN50" s="1166"/>
      <c r="AO50" s="1166"/>
      <c r="AP50" s="1166"/>
      <c r="AQ50" s="1166"/>
      <c r="AR50" s="1166"/>
      <c r="AS50" s="1166"/>
      <c r="AT50" s="1166"/>
    </row>
    <row r="51" spans="2:46" x14ac:dyDescent="0.25">
      <c r="B51" s="1165"/>
      <c r="C51" s="1165"/>
      <c r="D51" s="1165"/>
      <c r="E51" s="1165"/>
      <c r="F51" s="1165"/>
      <c r="G51" s="1165"/>
      <c r="H51" s="1165"/>
      <c r="I51" s="1165"/>
      <c r="J51" s="1165"/>
      <c r="K51" s="1165"/>
      <c r="L51" s="1165"/>
      <c r="M51" s="1165"/>
      <c r="N51" s="1165"/>
      <c r="O51" s="1165"/>
      <c r="P51" s="1165"/>
      <c r="Q51" s="1165"/>
      <c r="R51" s="1165"/>
      <c r="S51" s="514"/>
      <c r="T51" s="514"/>
      <c r="U51" s="514"/>
      <c r="V51" s="1168"/>
      <c r="W51" s="1168"/>
      <c r="X51" s="1168"/>
      <c r="Y51" s="1168"/>
      <c r="Z51" s="1168"/>
      <c r="AA51" s="1168"/>
      <c r="AB51" s="1165"/>
      <c r="AC51" s="1165"/>
      <c r="AD51" s="1165"/>
      <c r="AE51" s="1165"/>
      <c r="AF51" s="1165"/>
      <c r="AG51" s="1165"/>
      <c r="AH51" s="1165"/>
      <c r="AI51" s="1165"/>
      <c r="AJ51" s="1165"/>
      <c r="AK51" s="1165"/>
      <c r="AL51" s="1165"/>
      <c r="AM51" s="1165"/>
      <c r="AN51" s="1165"/>
      <c r="AO51" s="1165"/>
      <c r="AP51" s="1165"/>
      <c r="AQ51" s="1165"/>
      <c r="AR51" s="1165"/>
      <c r="AS51" s="1165"/>
      <c r="AT51" s="1165"/>
    </row>
    <row r="52" spans="2:46" x14ac:dyDescent="0.25">
      <c r="B52" s="1166"/>
      <c r="C52" s="1166"/>
      <c r="D52" s="1166"/>
      <c r="E52" s="1166"/>
      <c r="F52" s="1166"/>
      <c r="G52" s="1166"/>
      <c r="H52" s="1166"/>
      <c r="I52" s="1166"/>
      <c r="J52" s="1166"/>
      <c r="K52" s="1166"/>
      <c r="L52" s="1166"/>
      <c r="M52" s="1166"/>
      <c r="N52" s="1166"/>
      <c r="O52" s="1166"/>
      <c r="P52" s="1166"/>
      <c r="Q52" s="1166"/>
      <c r="R52" s="1166"/>
      <c r="S52" s="516"/>
      <c r="T52" s="516"/>
      <c r="U52" s="516"/>
      <c r="V52" s="1169"/>
      <c r="W52" s="1169"/>
      <c r="X52" s="1169"/>
      <c r="Y52" s="1169"/>
      <c r="Z52" s="1169"/>
      <c r="AA52" s="1169"/>
      <c r="AB52" s="1166"/>
      <c r="AC52" s="1166"/>
      <c r="AD52" s="1166"/>
      <c r="AE52" s="1166"/>
      <c r="AF52" s="1166"/>
      <c r="AG52" s="1166"/>
      <c r="AH52" s="1166"/>
      <c r="AI52" s="1166"/>
      <c r="AJ52" s="1166"/>
      <c r="AK52" s="1166"/>
      <c r="AL52" s="1166"/>
      <c r="AM52" s="1166"/>
      <c r="AN52" s="1166"/>
      <c r="AO52" s="1166"/>
      <c r="AP52" s="1166"/>
      <c r="AQ52" s="1166"/>
      <c r="AR52" s="1166"/>
      <c r="AS52" s="1166"/>
      <c r="AT52" s="1166"/>
    </row>
    <row r="53" spans="2:46" x14ac:dyDescent="0.25">
      <c r="B53" s="1165"/>
      <c r="C53" s="1165"/>
      <c r="D53" s="1165"/>
      <c r="E53" s="1165"/>
      <c r="F53" s="1165"/>
      <c r="G53" s="1165"/>
      <c r="H53" s="1165"/>
      <c r="I53" s="1165"/>
      <c r="J53" s="1165"/>
      <c r="K53" s="1165"/>
      <c r="L53" s="1165"/>
      <c r="M53" s="1165"/>
      <c r="N53" s="1165"/>
      <c r="O53" s="1165"/>
      <c r="P53" s="1165"/>
      <c r="Q53" s="1165"/>
      <c r="R53" s="1165"/>
      <c r="S53" s="514"/>
      <c r="T53" s="514"/>
      <c r="U53" s="514"/>
      <c r="V53" s="1168"/>
      <c r="W53" s="1168"/>
      <c r="X53" s="1168"/>
      <c r="Y53" s="1168"/>
      <c r="Z53" s="1168"/>
      <c r="AA53" s="1168"/>
      <c r="AB53" s="1165"/>
      <c r="AC53" s="1165"/>
      <c r="AD53" s="1165"/>
      <c r="AE53" s="1165"/>
      <c r="AF53" s="1165"/>
      <c r="AG53" s="1165"/>
      <c r="AH53" s="1165"/>
      <c r="AI53" s="1165"/>
      <c r="AJ53" s="1165"/>
      <c r="AK53" s="1165"/>
      <c r="AL53" s="1165"/>
      <c r="AM53" s="1165"/>
      <c r="AN53" s="1165"/>
      <c r="AO53" s="1165"/>
      <c r="AP53" s="1165"/>
      <c r="AQ53" s="1165"/>
      <c r="AR53" s="1165"/>
      <c r="AS53" s="1165"/>
      <c r="AT53" s="1165"/>
    </row>
    <row r="54" spans="2:46" x14ac:dyDescent="0.25">
      <c r="B54" s="1166"/>
      <c r="C54" s="1166"/>
      <c r="D54" s="1166"/>
      <c r="E54" s="1166"/>
      <c r="F54" s="1166"/>
      <c r="G54" s="1166"/>
      <c r="H54" s="1166"/>
      <c r="I54" s="1166"/>
      <c r="J54" s="1166"/>
      <c r="K54" s="1166"/>
      <c r="L54" s="1166"/>
      <c r="M54" s="1166"/>
      <c r="N54" s="1166"/>
      <c r="O54" s="1166"/>
      <c r="P54" s="1166"/>
      <c r="Q54" s="1166"/>
      <c r="R54" s="1166"/>
      <c r="S54" s="516"/>
      <c r="T54" s="516"/>
      <c r="U54" s="516"/>
      <c r="V54" s="1169"/>
      <c r="W54" s="1169"/>
      <c r="X54" s="1169"/>
      <c r="Y54" s="1169"/>
      <c r="Z54" s="1169"/>
      <c r="AA54" s="1169"/>
      <c r="AB54" s="1166"/>
      <c r="AC54" s="1166"/>
      <c r="AD54" s="1166"/>
      <c r="AE54" s="1166"/>
      <c r="AF54" s="1166"/>
      <c r="AG54" s="1166"/>
      <c r="AH54" s="1166"/>
      <c r="AI54" s="1166"/>
      <c r="AJ54" s="1166"/>
      <c r="AK54" s="1166"/>
      <c r="AL54" s="1166"/>
      <c r="AM54" s="1166"/>
      <c r="AN54" s="1166"/>
      <c r="AO54" s="1166"/>
      <c r="AP54" s="1166"/>
      <c r="AQ54" s="1166"/>
      <c r="AR54" s="1166"/>
      <c r="AS54" s="1166"/>
      <c r="AT54" s="1166"/>
    </row>
  </sheetData>
  <sheetProtection selectLockedCells="1"/>
  <mergeCells count="479">
    <mergeCell ref="AE54:AR54"/>
    <mergeCell ref="V51:AA51"/>
    <mergeCell ref="L52:O52"/>
    <mergeCell ref="AS52:AT52"/>
    <mergeCell ref="S2:U2"/>
    <mergeCell ref="B31:C31"/>
    <mergeCell ref="L48:O48"/>
    <mergeCell ref="I3:K3"/>
    <mergeCell ref="P7:R7"/>
    <mergeCell ref="D3:H3"/>
    <mergeCell ref="P40:R40"/>
    <mergeCell ref="D2:H2"/>
    <mergeCell ref="AE12:AR12"/>
    <mergeCell ref="L14:O14"/>
    <mergeCell ref="V5:AA5"/>
    <mergeCell ref="P2:R2"/>
    <mergeCell ref="V12:AA12"/>
    <mergeCell ref="AE37:AR37"/>
    <mergeCell ref="AE35:AR35"/>
    <mergeCell ref="I2:K2"/>
    <mergeCell ref="AS6:AT6"/>
    <mergeCell ref="AE42:AR42"/>
    <mergeCell ref="AE46:AR46"/>
    <mergeCell ref="AB48:AD48"/>
    <mergeCell ref="I51:K51"/>
    <mergeCell ref="B21:C21"/>
    <mergeCell ref="V13:AA13"/>
    <mergeCell ref="AE21:AR21"/>
    <mergeCell ref="I9:K9"/>
    <mergeCell ref="AB18:AD18"/>
    <mergeCell ref="B22:C22"/>
    <mergeCell ref="B9:C9"/>
    <mergeCell ref="L9:O9"/>
    <mergeCell ref="L42:O42"/>
    <mergeCell ref="AB17:AD17"/>
    <mergeCell ref="D32:H32"/>
    <mergeCell ref="AE26:AR26"/>
    <mergeCell ref="D43:H43"/>
    <mergeCell ref="L45:O45"/>
    <mergeCell ref="L37:O37"/>
    <mergeCell ref="AB50:AD50"/>
    <mergeCell ref="B51:C51"/>
    <mergeCell ref="AE47:AR47"/>
    <mergeCell ref="L51:O51"/>
    <mergeCell ref="AB42:AD42"/>
    <mergeCell ref="I50:K50"/>
    <mergeCell ref="P48:R48"/>
    <mergeCell ref="AE51:AR51"/>
    <mergeCell ref="D6:H6"/>
    <mergeCell ref="B12:C12"/>
    <mergeCell ref="AB37:AD37"/>
    <mergeCell ref="AE20:AR20"/>
    <mergeCell ref="I6:K6"/>
    <mergeCell ref="D23:H23"/>
    <mergeCell ref="AE9:AR9"/>
    <mergeCell ref="AE14:AR14"/>
    <mergeCell ref="D13:H13"/>
    <mergeCell ref="D22:H22"/>
    <mergeCell ref="AB25:AD25"/>
    <mergeCell ref="V36:AA36"/>
    <mergeCell ref="L8:O8"/>
    <mergeCell ref="B36:C36"/>
    <mergeCell ref="B11:C11"/>
    <mergeCell ref="AE19:AR19"/>
    <mergeCell ref="V22:AA22"/>
    <mergeCell ref="AE10:AR10"/>
    <mergeCell ref="D11:H11"/>
    <mergeCell ref="L31:O31"/>
    <mergeCell ref="B17:C17"/>
    <mergeCell ref="AB6:AD6"/>
    <mergeCell ref="L12:O12"/>
    <mergeCell ref="B20:C20"/>
    <mergeCell ref="B2:C2"/>
    <mergeCell ref="AB53:AD53"/>
    <mergeCell ref="V53:AA53"/>
    <mergeCell ref="P13:R13"/>
    <mergeCell ref="I53:K53"/>
    <mergeCell ref="I41:K41"/>
    <mergeCell ref="AS32:AT32"/>
    <mergeCell ref="L30:O30"/>
    <mergeCell ref="D31:H31"/>
    <mergeCell ref="D48:H48"/>
    <mergeCell ref="B48:C48"/>
    <mergeCell ref="AB32:AD32"/>
    <mergeCell ref="L3:O3"/>
    <mergeCell ref="AS4:AT4"/>
    <mergeCell ref="I13:K13"/>
    <mergeCell ref="L6:O6"/>
    <mergeCell ref="P36:R36"/>
    <mergeCell ref="B39:C39"/>
    <mergeCell ref="I36:K36"/>
    <mergeCell ref="L36:O36"/>
    <mergeCell ref="I11:K11"/>
    <mergeCell ref="B18:C18"/>
    <mergeCell ref="I10:K10"/>
    <mergeCell ref="AE24:AR24"/>
    <mergeCell ref="B3:C3"/>
    <mergeCell ref="I7:K7"/>
    <mergeCell ref="P53:R53"/>
    <mergeCell ref="L53:O53"/>
    <mergeCell ref="P32:R32"/>
    <mergeCell ref="I44:K44"/>
    <mergeCell ref="P33:R33"/>
    <mergeCell ref="D53:H53"/>
    <mergeCell ref="AS28:AT28"/>
    <mergeCell ref="V4:AA4"/>
    <mergeCell ref="AE13:AR13"/>
    <mergeCell ref="AE16:AR16"/>
    <mergeCell ref="AB4:AD4"/>
    <mergeCell ref="P23:R23"/>
    <mergeCell ref="AB16:AD16"/>
    <mergeCell ref="AE53:AR53"/>
    <mergeCell ref="D38:H38"/>
    <mergeCell ref="AB3:AD3"/>
    <mergeCell ref="I15:K15"/>
    <mergeCell ref="V11:AA11"/>
    <mergeCell ref="AS12:AT12"/>
    <mergeCell ref="AB9:AD9"/>
    <mergeCell ref="D34:H34"/>
    <mergeCell ref="B6:C6"/>
    <mergeCell ref="P54:R54"/>
    <mergeCell ref="AS53:AT53"/>
    <mergeCell ref="D18:H18"/>
    <mergeCell ref="L47:O47"/>
    <mergeCell ref="P24:R24"/>
    <mergeCell ref="I38:K38"/>
    <mergeCell ref="I35:K35"/>
    <mergeCell ref="L38:O38"/>
    <mergeCell ref="V23:AA23"/>
    <mergeCell ref="AE28:AR28"/>
    <mergeCell ref="L35:O35"/>
    <mergeCell ref="AB41:AD41"/>
    <mergeCell ref="AS36:AT36"/>
    <mergeCell ref="AS27:AT27"/>
    <mergeCell ref="V27:AA27"/>
    <mergeCell ref="L54:O54"/>
    <mergeCell ref="D28:H28"/>
    <mergeCell ref="I25:K25"/>
    <mergeCell ref="AB51:AD51"/>
    <mergeCell ref="AB35:AD35"/>
    <mergeCell ref="AB49:AD49"/>
    <mergeCell ref="L43:O43"/>
    <mergeCell ref="AS19:AT19"/>
    <mergeCell ref="I19:K19"/>
    <mergeCell ref="P52:R52"/>
    <mergeCell ref="AS10:AT10"/>
    <mergeCell ref="B4:C4"/>
    <mergeCell ref="V16:AA16"/>
    <mergeCell ref="AE18:AR18"/>
    <mergeCell ref="D16:H16"/>
    <mergeCell ref="B23:C23"/>
    <mergeCell ref="B42:C42"/>
    <mergeCell ref="V15:AA15"/>
    <mergeCell ref="AB30:AD30"/>
    <mergeCell ref="AE31:AR31"/>
    <mergeCell ref="L41:O41"/>
    <mergeCell ref="D30:H30"/>
    <mergeCell ref="I32:K32"/>
    <mergeCell ref="V40:AA40"/>
    <mergeCell ref="L44:O44"/>
    <mergeCell ref="I16:K16"/>
    <mergeCell ref="D12:H12"/>
    <mergeCell ref="AB28:AD28"/>
    <mergeCell ref="V30:AA30"/>
    <mergeCell ref="P31:R31"/>
    <mergeCell ref="D40:H40"/>
    <mergeCell ref="AS29:AT29"/>
    <mergeCell ref="AE43:AR43"/>
    <mergeCell ref="AS50:AT50"/>
    <mergeCell ref="AE45:AR45"/>
    <mergeCell ref="AB45:AD45"/>
    <mergeCell ref="V44:AA44"/>
    <mergeCell ref="AS45:AT45"/>
    <mergeCell ref="AB2:AD2"/>
    <mergeCell ref="I31:K31"/>
    <mergeCell ref="D20:H20"/>
    <mergeCell ref="P5:R5"/>
    <mergeCell ref="L2:O2"/>
    <mergeCell ref="P17:R17"/>
    <mergeCell ref="AB46:AD46"/>
    <mergeCell ref="AB43:AD43"/>
    <mergeCell ref="V20:AA20"/>
    <mergeCell ref="D46:H46"/>
    <mergeCell ref="L11:O11"/>
    <mergeCell ref="AS39:AT39"/>
    <mergeCell ref="I43:K43"/>
    <mergeCell ref="AS17:AT17"/>
    <mergeCell ref="AE41:AR41"/>
    <mergeCell ref="AE36:AR36"/>
    <mergeCell ref="AB7:AD7"/>
    <mergeCell ref="P34:R34"/>
    <mergeCell ref="AE50:AR50"/>
    <mergeCell ref="D4:H4"/>
    <mergeCell ref="AS23:AT23"/>
    <mergeCell ref="AE25:AR25"/>
    <mergeCell ref="AS2:AT2"/>
    <mergeCell ref="P22:R22"/>
    <mergeCell ref="B46:C46"/>
    <mergeCell ref="D19:H19"/>
    <mergeCell ref="D47:H47"/>
    <mergeCell ref="I21:K21"/>
    <mergeCell ref="P28:R28"/>
    <mergeCell ref="L7:O7"/>
    <mergeCell ref="AE33:AR33"/>
    <mergeCell ref="P47:R47"/>
    <mergeCell ref="B15:C15"/>
    <mergeCell ref="B38:C38"/>
    <mergeCell ref="AB15:AD15"/>
    <mergeCell ref="D14:H14"/>
    <mergeCell ref="P10:R10"/>
    <mergeCell ref="B45:C45"/>
    <mergeCell ref="V6:AA6"/>
    <mergeCell ref="I5:K5"/>
    <mergeCell ref="D7:H7"/>
    <mergeCell ref="L4:O4"/>
    <mergeCell ref="P38:R38"/>
    <mergeCell ref="B54:C54"/>
    <mergeCell ref="I14:K14"/>
    <mergeCell ref="P37:R37"/>
    <mergeCell ref="AS11:AT11"/>
    <mergeCell ref="I28:K28"/>
    <mergeCell ref="D24:H24"/>
    <mergeCell ref="AB38:AD38"/>
    <mergeCell ref="I48:K48"/>
    <mergeCell ref="AS44:AT44"/>
    <mergeCell ref="B29:C29"/>
    <mergeCell ref="AB26:AD26"/>
    <mergeCell ref="AE38:AR38"/>
    <mergeCell ref="AS37:AT37"/>
    <mergeCell ref="B53:C53"/>
    <mergeCell ref="AB40:AD40"/>
    <mergeCell ref="I30:K30"/>
    <mergeCell ref="AE49:AR49"/>
    <mergeCell ref="AS33:AT33"/>
    <mergeCell ref="I52:K52"/>
    <mergeCell ref="D33:H33"/>
    <mergeCell ref="AS49:AT49"/>
    <mergeCell ref="V50:AA50"/>
    <mergeCell ref="D50:H50"/>
    <mergeCell ref="L26:O26"/>
    <mergeCell ref="AB54:AD54"/>
    <mergeCell ref="AE23:AR23"/>
    <mergeCell ref="AB8:AD8"/>
    <mergeCell ref="B27:C27"/>
    <mergeCell ref="I33:K33"/>
    <mergeCell ref="D25:H25"/>
    <mergeCell ref="AE2:AR2"/>
    <mergeCell ref="L16:O16"/>
    <mergeCell ref="B50:C50"/>
    <mergeCell ref="P45:R45"/>
    <mergeCell ref="L33:O33"/>
    <mergeCell ref="B30:C30"/>
    <mergeCell ref="B43:C43"/>
    <mergeCell ref="D54:H54"/>
    <mergeCell ref="P46:R46"/>
    <mergeCell ref="AB20:AD20"/>
    <mergeCell ref="I24:K24"/>
    <mergeCell ref="I42:K42"/>
    <mergeCell ref="B7:C7"/>
    <mergeCell ref="AE22:AR22"/>
    <mergeCell ref="V33:AA33"/>
    <mergeCell ref="AE4:AR4"/>
    <mergeCell ref="AE7:AR7"/>
    <mergeCell ref="AE6:AR6"/>
    <mergeCell ref="AS51:AT51"/>
    <mergeCell ref="V41:AA41"/>
    <mergeCell ref="AE17:AR17"/>
    <mergeCell ref="D17:H17"/>
    <mergeCell ref="B25:C25"/>
    <mergeCell ref="B28:C28"/>
    <mergeCell ref="P41:R41"/>
    <mergeCell ref="AB27:AD27"/>
    <mergeCell ref="P43:R43"/>
    <mergeCell ref="I26:K26"/>
    <mergeCell ref="AS24:AT24"/>
    <mergeCell ref="D51:H51"/>
    <mergeCell ref="AS38:AT38"/>
    <mergeCell ref="I47:K47"/>
    <mergeCell ref="D39:H39"/>
    <mergeCell ref="AS26:AT26"/>
    <mergeCell ref="L18:O18"/>
    <mergeCell ref="AB29:AD29"/>
    <mergeCell ref="V21:AA21"/>
    <mergeCell ref="L20:O20"/>
    <mergeCell ref="L22:O22"/>
    <mergeCell ref="V28:AA28"/>
    <mergeCell ref="L28:O28"/>
    <mergeCell ref="B44:C44"/>
    <mergeCell ref="D44:H44"/>
    <mergeCell ref="V31:AA31"/>
    <mergeCell ref="D29:H29"/>
    <mergeCell ref="AS18:AT18"/>
    <mergeCell ref="P19:R19"/>
    <mergeCell ref="V18:AA18"/>
    <mergeCell ref="AB19:AD19"/>
    <mergeCell ref="V26:AA26"/>
    <mergeCell ref="AB21:AD21"/>
    <mergeCell ref="AE29:AR29"/>
    <mergeCell ref="AS41:AT41"/>
    <mergeCell ref="AE34:AR34"/>
    <mergeCell ref="AS34:AT34"/>
    <mergeCell ref="L40:O40"/>
    <mergeCell ref="V43:AA43"/>
    <mergeCell ref="AB31:AD31"/>
    <mergeCell ref="AB36:AD36"/>
    <mergeCell ref="AB34:AD34"/>
    <mergeCell ref="AB22:AD22"/>
    <mergeCell ref="L39:O39"/>
    <mergeCell ref="I40:K40"/>
    <mergeCell ref="L32:O32"/>
    <mergeCell ref="V42:AA42"/>
    <mergeCell ref="AE5:AR5"/>
    <mergeCell ref="P6:R6"/>
    <mergeCell ref="AB13:AD13"/>
    <mergeCell ref="P27:R27"/>
    <mergeCell ref="AS5:AT5"/>
    <mergeCell ref="V10:AA10"/>
    <mergeCell ref="AB47:AD47"/>
    <mergeCell ref="P26:R26"/>
    <mergeCell ref="V45:AA45"/>
    <mergeCell ref="V47:AA47"/>
    <mergeCell ref="AS16:AT16"/>
    <mergeCell ref="AS7:AT7"/>
    <mergeCell ref="AE8:AR8"/>
    <mergeCell ref="AS43:AT43"/>
    <mergeCell ref="P20:R20"/>
    <mergeCell ref="AS46:AT46"/>
    <mergeCell ref="V29:AA29"/>
    <mergeCell ref="AB44:AD44"/>
    <mergeCell ref="AE39:AR39"/>
    <mergeCell ref="AS20:AT20"/>
    <mergeCell ref="AS42:AT42"/>
    <mergeCell ref="AS25:AT25"/>
    <mergeCell ref="AS35:AT35"/>
    <mergeCell ref="P12:R12"/>
    <mergeCell ref="P51:R51"/>
    <mergeCell ref="D49:H49"/>
    <mergeCell ref="AB39:AD39"/>
    <mergeCell ref="D21:H21"/>
    <mergeCell ref="L13:O13"/>
    <mergeCell ref="B24:C24"/>
    <mergeCell ref="V8:AA8"/>
    <mergeCell ref="B19:C19"/>
    <mergeCell ref="L25:O25"/>
    <mergeCell ref="I37:K37"/>
    <mergeCell ref="D35:H35"/>
    <mergeCell ref="B34:C34"/>
    <mergeCell ref="D36:H36"/>
    <mergeCell ref="D45:H45"/>
    <mergeCell ref="P39:R39"/>
    <mergeCell ref="D27:H27"/>
    <mergeCell ref="D42:H42"/>
    <mergeCell ref="P44:R44"/>
    <mergeCell ref="V38:AA38"/>
    <mergeCell ref="V17:AA17"/>
    <mergeCell ref="L19:O19"/>
    <mergeCell ref="D10:H10"/>
    <mergeCell ref="B35:C35"/>
    <mergeCell ref="V46:AA46"/>
    <mergeCell ref="D52:H52"/>
    <mergeCell ref="V52:AA52"/>
    <mergeCell ref="I54:K54"/>
    <mergeCell ref="AE52:AR52"/>
    <mergeCell ref="L49:O49"/>
    <mergeCell ref="V48:AA48"/>
    <mergeCell ref="V54:AA54"/>
    <mergeCell ref="I12:K12"/>
    <mergeCell ref="AS13:AT13"/>
    <mergeCell ref="P15:R15"/>
    <mergeCell ref="L15:O15"/>
    <mergeCell ref="I18:K18"/>
    <mergeCell ref="D15:H15"/>
    <mergeCell ref="V24:AA24"/>
    <mergeCell ref="D26:H26"/>
    <mergeCell ref="V35:AA35"/>
    <mergeCell ref="D37:H37"/>
    <mergeCell ref="V32:AA32"/>
    <mergeCell ref="I20:K20"/>
    <mergeCell ref="I34:K34"/>
    <mergeCell ref="AS22:AT22"/>
    <mergeCell ref="P16:R16"/>
    <mergeCell ref="AS31:AT31"/>
    <mergeCell ref="AS40:AT40"/>
    <mergeCell ref="AS54:AT54"/>
    <mergeCell ref="I22:K22"/>
    <mergeCell ref="P49:R49"/>
    <mergeCell ref="B47:C47"/>
    <mergeCell ref="L50:O50"/>
    <mergeCell ref="B10:C10"/>
    <mergeCell ref="L46:O46"/>
    <mergeCell ref="AB52:AD52"/>
    <mergeCell ref="P50:R50"/>
    <mergeCell ref="V49:AA49"/>
    <mergeCell ref="I49:K49"/>
    <mergeCell ref="B52:C52"/>
    <mergeCell ref="L23:O23"/>
    <mergeCell ref="AE32:AR32"/>
    <mergeCell ref="B49:C49"/>
    <mergeCell ref="AS48:AT48"/>
    <mergeCell ref="L24:O24"/>
    <mergeCell ref="AB24:AD24"/>
    <mergeCell ref="L27:O27"/>
    <mergeCell ref="L29:O29"/>
    <mergeCell ref="P42:R42"/>
    <mergeCell ref="AS21:AT21"/>
    <mergeCell ref="AE15:AR15"/>
    <mergeCell ref="P29:R29"/>
    <mergeCell ref="AS47:AT47"/>
    <mergeCell ref="I27:K27"/>
    <mergeCell ref="V7:AA7"/>
    <mergeCell ref="AB12:AD12"/>
    <mergeCell ref="P21:R21"/>
    <mergeCell ref="V14:AA14"/>
    <mergeCell ref="V25:AA25"/>
    <mergeCell ref="AS8:AT8"/>
    <mergeCell ref="AE48:AR48"/>
    <mergeCell ref="AS30:AT30"/>
    <mergeCell ref="I39:K39"/>
    <mergeCell ref="AB33:AD33"/>
    <mergeCell ref="AE40:AR40"/>
    <mergeCell ref="P30:R30"/>
    <mergeCell ref="V34:AA34"/>
    <mergeCell ref="V39:AA39"/>
    <mergeCell ref="I45:K45"/>
    <mergeCell ref="AB11:AD11"/>
    <mergeCell ref="AB10:AD10"/>
    <mergeCell ref="P8:R8"/>
    <mergeCell ref="I8:K8"/>
    <mergeCell ref="L10:O10"/>
    <mergeCell ref="P11:R11"/>
    <mergeCell ref="AS15:AT15"/>
    <mergeCell ref="I46:K46"/>
    <mergeCell ref="AE30:AR30"/>
    <mergeCell ref="B26:C26"/>
    <mergeCell ref="AE27:AR27"/>
    <mergeCell ref="V37:AA37"/>
    <mergeCell ref="D8:H8"/>
    <mergeCell ref="D41:H41"/>
    <mergeCell ref="B16:C16"/>
    <mergeCell ref="AB23:AD23"/>
    <mergeCell ref="AE44:AR44"/>
    <mergeCell ref="B37:C37"/>
    <mergeCell ref="B33:C33"/>
    <mergeCell ref="B40:C40"/>
    <mergeCell ref="B8:C8"/>
    <mergeCell ref="I23:K23"/>
    <mergeCell ref="AE11:AR11"/>
    <mergeCell ref="I17:K17"/>
    <mergeCell ref="P18:R18"/>
    <mergeCell ref="AB14:AD14"/>
    <mergeCell ref="L17:O17"/>
    <mergeCell ref="P14:R14"/>
    <mergeCell ref="B41:C41"/>
    <mergeCell ref="P25:R25"/>
    <mergeCell ref="V19:AA19"/>
    <mergeCell ref="V2:AA2"/>
    <mergeCell ref="L21:O21"/>
    <mergeCell ref="D9:H9"/>
    <mergeCell ref="P35:R35"/>
    <mergeCell ref="L34:O34"/>
    <mergeCell ref="L5:O5"/>
    <mergeCell ref="P4:R4"/>
    <mergeCell ref="A1:AU1"/>
    <mergeCell ref="B32:C32"/>
    <mergeCell ref="I4:K4"/>
    <mergeCell ref="AB5:AD5"/>
    <mergeCell ref="D5:H5"/>
    <mergeCell ref="P3:R3"/>
    <mergeCell ref="B13:C13"/>
    <mergeCell ref="AS9:AT9"/>
    <mergeCell ref="I29:K29"/>
    <mergeCell ref="V3:AA3"/>
    <mergeCell ref="B5:C5"/>
    <mergeCell ref="AS14:AT14"/>
    <mergeCell ref="AS3:AT3"/>
    <mergeCell ref="AE3:AR3"/>
    <mergeCell ref="P9:R9"/>
    <mergeCell ref="B14:C14"/>
    <mergeCell ref="V9:AA9"/>
  </mergeCells>
  <phoneticPr fontId="83" type="noConversion"/>
  <dataValidations count="7">
    <dataValidation type="list" allowBlank="1" showInputMessage="1" sqref="AS3:AT54" xr:uid="{00000000-0002-0000-0F00-000000000000}">
      <formula1>"√"</formula1>
    </dataValidation>
    <dataValidation type="list" allowBlank="1" showInputMessage="1" sqref="AB3:AD54" xr:uid="{00000000-0002-0000-0F00-000001000000}">
      <formula1>$AZ$3:$AZ$39</formula1>
    </dataValidation>
    <dataValidation type="list" allowBlank="1" showInputMessage="1" sqref="I3:K54" xr:uid="{00000000-0002-0000-0F00-000002000000}">
      <formula1>$AY$3:$AY$37</formula1>
    </dataValidation>
    <dataValidation type="list" allowBlank="1" showInputMessage="1" sqref="B3:C54" xr:uid="{00000000-0002-0000-0F00-000003000000}">
      <formula1>$AV$3:$AV$12</formula1>
    </dataValidation>
    <dataValidation type="list" allowBlank="1" showInputMessage="1" sqref="L3:O54" xr:uid="{00000000-0002-0000-0F00-000004000000}">
      <formula1>$AW$3:$AW$18</formula1>
    </dataValidation>
    <dataValidation type="list" allowBlank="1" showInputMessage="1" sqref="P3:R54" xr:uid="{00000000-0002-0000-0F00-000005000000}">
      <formula1>$AX$3:$AX$10</formula1>
    </dataValidation>
    <dataValidation type="list" allowBlank="1" showInputMessage="1" showErrorMessage="1" sqref="S3:U54" xr:uid="{00000000-0002-0000-0F00-000006000000}">
      <formula1>#REF!</formula1>
    </dataValidation>
  </dataValidations>
  <pageMargins left="0.75" right="0.75" top="1" bottom="1" header="0.51180555555555596" footer="0.5118055555555559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T100"/>
  <sheetViews>
    <sheetView workbookViewId="0">
      <selection activeCell="AL4" sqref="AL4"/>
    </sheetView>
  </sheetViews>
  <sheetFormatPr defaultColWidth="9" defaultRowHeight="14" x14ac:dyDescent="0.25"/>
  <cols>
    <col min="1" max="52" width="2.36328125" style="4" customWidth="1"/>
    <col min="53" max="16384" width="9" style="4"/>
  </cols>
  <sheetData>
    <row r="1" spans="1:46" ht="17" customHeight="1" x14ac:dyDescent="0.25">
      <c r="A1" s="581" t="s">
        <v>8847</v>
      </c>
      <c r="B1" s="581"/>
      <c r="C1" s="581"/>
      <c r="D1" s="581"/>
      <c r="E1" s="581"/>
      <c r="F1" s="581"/>
      <c r="G1" s="581"/>
      <c r="H1" s="581"/>
      <c r="I1" s="581"/>
      <c r="J1" s="581"/>
      <c r="K1" s="581"/>
      <c r="L1" s="581"/>
      <c r="M1" s="581"/>
      <c r="N1" s="581"/>
      <c r="O1" s="581"/>
      <c r="P1" s="581"/>
      <c r="Q1" s="581"/>
      <c r="R1" s="581"/>
      <c r="S1" s="581"/>
      <c r="T1" s="581"/>
      <c r="U1" s="581"/>
      <c r="V1" s="581"/>
      <c r="W1" s="581"/>
      <c r="X1" s="581"/>
      <c r="Y1" s="581"/>
      <c r="Z1" s="581"/>
      <c r="AA1" s="581"/>
      <c r="AB1" s="581"/>
      <c r="AC1" s="581"/>
      <c r="AD1" s="581"/>
      <c r="AE1" s="581"/>
      <c r="AF1" s="581"/>
      <c r="AG1" s="581"/>
      <c r="AH1" s="581"/>
      <c r="AI1" s="581"/>
      <c r="AJ1" s="581"/>
      <c r="AK1" s="581"/>
      <c r="AL1" s="581"/>
      <c r="AM1" s="581"/>
      <c r="AN1" s="581"/>
      <c r="AO1" s="581"/>
      <c r="AP1" s="581"/>
      <c r="AQ1" s="581"/>
      <c r="AR1" s="581"/>
      <c r="AS1" s="581"/>
      <c r="AT1" s="2"/>
    </row>
    <row r="2" spans="1:46" ht="17" customHeight="1" x14ac:dyDescent="0.25"/>
    <row r="3" spans="1:46" ht="17" customHeight="1" x14ac:dyDescent="0.25"/>
    <row r="4" spans="1:46" ht="17" customHeight="1" x14ac:dyDescent="0.25"/>
    <row r="5" spans="1:46" ht="17" customHeight="1" x14ac:dyDescent="0.25"/>
    <row r="6" spans="1:46" ht="17" customHeight="1" x14ac:dyDescent="0.25"/>
    <row r="7" spans="1:46" ht="17" customHeight="1" x14ac:dyDescent="0.25"/>
    <row r="8" spans="1:46" ht="17" customHeight="1" x14ac:dyDescent="0.25"/>
    <row r="9" spans="1:46" ht="17" customHeight="1" x14ac:dyDescent="0.25"/>
    <row r="10" spans="1:46" ht="17" customHeight="1" x14ac:dyDescent="0.25"/>
    <row r="11" spans="1:46" ht="17" customHeight="1" x14ac:dyDescent="0.25"/>
    <row r="12" spans="1:46" ht="17" customHeight="1" x14ac:dyDescent="0.25"/>
    <row r="13" spans="1:46" ht="17" customHeight="1" x14ac:dyDescent="0.25"/>
    <row r="14" spans="1:46" ht="17" customHeight="1" x14ac:dyDescent="0.25"/>
    <row r="15" spans="1:46" ht="17" customHeight="1" x14ac:dyDescent="0.25"/>
    <row r="16" spans="1:46" ht="17" customHeight="1" x14ac:dyDescent="0.25"/>
    <row r="17" ht="17" customHeight="1" x14ac:dyDescent="0.25"/>
    <row r="18" ht="17" customHeight="1" x14ac:dyDescent="0.25"/>
    <row r="19" ht="17" customHeight="1" x14ac:dyDescent="0.25"/>
    <row r="20" ht="17" customHeight="1" x14ac:dyDescent="0.25"/>
    <row r="21" ht="17" customHeight="1" x14ac:dyDescent="0.25"/>
    <row r="22" ht="17" customHeight="1" x14ac:dyDescent="0.25"/>
    <row r="23" ht="17" customHeight="1" x14ac:dyDescent="0.25"/>
    <row r="24" ht="17" customHeight="1" x14ac:dyDescent="0.25"/>
    <row r="25" ht="17" customHeight="1" x14ac:dyDescent="0.25"/>
    <row r="26" ht="17" customHeight="1" x14ac:dyDescent="0.25"/>
    <row r="27" ht="17" customHeight="1" x14ac:dyDescent="0.25"/>
    <row r="28" ht="17" customHeight="1" x14ac:dyDescent="0.25"/>
    <row r="29" ht="17" customHeight="1" x14ac:dyDescent="0.25"/>
    <row r="30" ht="17" customHeight="1" x14ac:dyDescent="0.25"/>
    <row r="31" ht="17" customHeight="1" x14ac:dyDescent="0.25"/>
    <row r="32" ht="17" customHeight="1" x14ac:dyDescent="0.25"/>
    <row r="33" ht="17" customHeight="1" x14ac:dyDescent="0.25"/>
    <row r="34" ht="17" customHeight="1" x14ac:dyDescent="0.25"/>
    <row r="35" ht="17" customHeight="1" x14ac:dyDescent="0.25"/>
    <row r="36" ht="17" customHeight="1" x14ac:dyDescent="0.25"/>
    <row r="37" ht="17" customHeight="1" x14ac:dyDescent="0.25"/>
    <row r="38" ht="17" customHeight="1" x14ac:dyDescent="0.25"/>
    <row r="39" ht="17" customHeight="1" x14ac:dyDescent="0.25"/>
    <row r="40" ht="17" customHeight="1" x14ac:dyDescent="0.25"/>
    <row r="41" ht="17" customHeight="1" x14ac:dyDescent="0.25"/>
    <row r="42" ht="17" customHeight="1" x14ac:dyDescent="0.25"/>
    <row r="43" ht="17" customHeight="1" x14ac:dyDescent="0.25"/>
    <row r="44" ht="17" customHeight="1" x14ac:dyDescent="0.25"/>
    <row r="45" ht="17" customHeight="1" x14ac:dyDescent="0.25"/>
    <row r="46" ht="17" customHeight="1" x14ac:dyDescent="0.25"/>
    <row r="47" ht="17" customHeight="1" x14ac:dyDescent="0.25"/>
    <row r="48" ht="17" customHeight="1" x14ac:dyDescent="0.25"/>
    <row r="49" ht="17" customHeight="1" x14ac:dyDescent="0.25"/>
    <row r="50" ht="17" customHeight="1" x14ac:dyDescent="0.25"/>
    <row r="51" ht="17" customHeight="1" x14ac:dyDescent="0.25"/>
    <row r="52" ht="17" customHeight="1" x14ac:dyDescent="0.25"/>
    <row r="53" ht="17" customHeight="1" x14ac:dyDescent="0.25"/>
    <row r="54" ht="17" customHeight="1" x14ac:dyDescent="0.25"/>
    <row r="55" ht="17" customHeight="1" x14ac:dyDescent="0.25"/>
    <row r="56" ht="17" customHeight="1" x14ac:dyDescent="0.25"/>
    <row r="57" ht="17" customHeight="1" x14ac:dyDescent="0.25"/>
    <row r="58" ht="17" customHeight="1" x14ac:dyDescent="0.25"/>
    <row r="59" ht="17" customHeight="1" x14ac:dyDescent="0.25"/>
    <row r="60" ht="17" customHeight="1" x14ac:dyDescent="0.25"/>
    <row r="61" ht="17" customHeight="1" x14ac:dyDescent="0.25"/>
    <row r="62" ht="17" customHeight="1" x14ac:dyDescent="0.25"/>
    <row r="63" ht="17" customHeight="1" x14ac:dyDescent="0.25"/>
    <row r="64" ht="17" customHeight="1" x14ac:dyDescent="0.25"/>
    <row r="65" ht="17" customHeight="1" x14ac:dyDescent="0.25"/>
    <row r="66" ht="17" customHeight="1" x14ac:dyDescent="0.25"/>
    <row r="67" ht="17" customHeight="1" x14ac:dyDescent="0.25"/>
    <row r="68" ht="17" customHeight="1" x14ac:dyDescent="0.25"/>
    <row r="69" ht="17" customHeight="1" x14ac:dyDescent="0.25"/>
    <row r="70" ht="17" customHeight="1" x14ac:dyDescent="0.25"/>
    <row r="71" ht="17" customHeight="1" x14ac:dyDescent="0.25"/>
    <row r="72" ht="17" customHeight="1" x14ac:dyDescent="0.25"/>
    <row r="73" ht="17" customHeight="1" x14ac:dyDescent="0.25"/>
    <row r="74" ht="17" customHeight="1" x14ac:dyDescent="0.25"/>
    <row r="75" ht="17" customHeight="1" x14ac:dyDescent="0.25"/>
    <row r="76" ht="17" customHeight="1" x14ac:dyDescent="0.25"/>
    <row r="77" ht="17" customHeight="1" x14ac:dyDescent="0.25"/>
    <row r="78" ht="17" customHeight="1" x14ac:dyDescent="0.25"/>
    <row r="79" ht="17" customHeight="1" x14ac:dyDescent="0.25"/>
    <row r="80" ht="17" customHeight="1" x14ac:dyDescent="0.25"/>
    <row r="81" ht="17" customHeight="1" x14ac:dyDescent="0.25"/>
    <row r="82" ht="17" customHeight="1" x14ac:dyDescent="0.25"/>
    <row r="83" ht="17" customHeight="1" x14ac:dyDescent="0.25"/>
    <row r="84" ht="17" customHeight="1" x14ac:dyDescent="0.25"/>
    <row r="85" ht="17" customHeight="1" x14ac:dyDescent="0.25"/>
    <row r="86" ht="17" customHeight="1" x14ac:dyDescent="0.25"/>
    <row r="87" ht="17" customHeight="1" x14ac:dyDescent="0.25"/>
    <row r="88" ht="17" customHeight="1" x14ac:dyDescent="0.25"/>
    <row r="89" ht="17" customHeight="1" x14ac:dyDescent="0.25"/>
    <row r="90" ht="17" customHeight="1" x14ac:dyDescent="0.25"/>
    <row r="91" ht="17" customHeight="1" x14ac:dyDescent="0.25"/>
    <row r="92" ht="17" customHeight="1" x14ac:dyDescent="0.25"/>
    <row r="93" ht="17" customHeight="1" x14ac:dyDescent="0.25"/>
    <row r="94" ht="17" customHeight="1" x14ac:dyDescent="0.25"/>
    <row r="95" ht="17" customHeight="1" x14ac:dyDescent="0.25"/>
    <row r="96" ht="17" customHeight="1" x14ac:dyDescent="0.25"/>
    <row r="97" ht="17" customHeight="1" x14ac:dyDescent="0.25"/>
    <row r="98" ht="17" customHeight="1" x14ac:dyDescent="0.25"/>
    <row r="99" ht="17" customHeight="1" x14ac:dyDescent="0.25"/>
    <row r="100" ht="17" customHeight="1" x14ac:dyDescent="0.25"/>
  </sheetData>
  <mergeCells count="1">
    <mergeCell ref="A1:AS1"/>
  </mergeCells>
  <phoneticPr fontId="83" type="noConversion"/>
  <pageMargins left="0.75" right="0.75" top="1" bottom="1" header="0.51180555555555596" footer="0.5118055555555559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F8F00"/>
  </sheetPr>
  <dimension ref="A1:HZ110"/>
  <sheetViews>
    <sheetView workbookViewId="0">
      <pane xSplit="1" ySplit="1" topLeftCell="B2" activePane="bottomRight" state="frozen"/>
      <selection pane="topRight"/>
      <selection pane="bottomLeft"/>
      <selection pane="bottomRight" activeCell="AJ11" sqref="AJ11:AT11"/>
    </sheetView>
  </sheetViews>
  <sheetFormatPr defaultColWidth="2.36328125" defaultRowHeight="17.149999999999999" customHeight="1" x14ac:dyDescent="0.25"/>
  <cols>
    <col min="1" max="16384" width="2.36328125" style="78"/>
  </cols>
  <sheetData>
    <row r="1" spans="1:234" ht="17.149999999999999" customHeight="1" x14ac:dyDescent="0.25">
      <c r="A1" s="627" t="s">
        <v>8848</v>
      </c>
      <c r="B1" s="627"/>
      <c r="C1" s="627"/>
      <c r="D1" s="627"/>
      <c r="E1" s="627"/>
      <c r="F1" s="627"/>
      <c r="G1" s="627"/>
      <c r="H1" s="627"/>
      <c r="I1" s="627"/>
      <c r="J1" s="627"/>
      <c r="K1" s="627"/>
      <c r="L1" s="627"/>
      <c r="M1" s="627"/>
      <c r="N1" s="627"/>
      <c r="O1" s="627"/>
      <c r="P1" s="627"/>
      <c r="Q1" s="627"/>
      <c r="R1" s="627"/>
      <c r="S1" s="627"/>
      <c r="T1" s="627"/>
      <c r="U1" s="627"/>
      <c r="V1" s="627"/>
      <c r="W1" s="627"/>
      <c r="X1" s="627"/>
      <c r="Y1" s="627"/>
      <c r="Z1" s="627"/>
      <c r="AA1" s="627"/>
      <c r="AB1" s="627"/>
      <c r="AC1" s="627"/>
      <c r="AD1" s="627"/>
      <c r="AE1" s="627"/>
      <c r="AF1" s="627"/>
      <c r="AG1" s="627"/>
      <c r="AH1" s="627"/>
      <c r="AI1" s="627"/>
      <c r="AJ1" s="627"/>
      <c r="AK1" s="627"/>
      <c r="AL1" s="627"/>
      <c r="AM1" s="627"/>
      <c r="AN1" s="627"/>
      <c r="AO1" s="627"/>
      <c r="AP1" s="627"/>
      <c r="AQ1" s="627"/>
      <c r="AR1" s="627"/>
      <c r="AS1" s="627"/>
      <c r="AT1" s="627"/>
      <c r="AU1" s="627"/>
    </row>
    <row r="2" spans="1:234" ht="17.149999999999999" customHeight="1" x14ac:dyDescent="0.3">
      <c r="B2" s="517"/>
      <c r="C2" s="710" t="s">
        <v>8849</v>
      </c>
      <c r="D2" s="710"/>
      <c r="E2" s="710"/>
      <c r="F2" s="710"/>
      <c r="G2" s="710"/>
      <c r="H2" s="710"/>
      <c r="I2" s="710" t="s">
        <v>8850</v>
      </c>
      <c r="J2" s="710"/>
      <c r="K2" s="710"/>
      <c r="L2" s="710"/>
      <c r="M2" s="710"/>
      <c r="N2" s="710"/>
      <c r="O2" s="710" t="s">
        <v>8851</v>
      </c>
      <c r="P2" s="710"/>
      <c r="Q2" s="710"/>
      <c r="R2" s="710"/>
      <c r="S2" s="710"/>
      <c r="T2" s="710"/>
      <c r="U2" s="710"/>
      <c r="V2" s="710"/>
      <c r="W2" s="710"/>
      <c r="X2" s="710"/>
      <c r="Y2" s="710"/>
      <c r="Z2" s="710"/>
      <c r="AA2" s="710"/>
      <c r="AB2" s="710"/>
      <c r="AC2" s="710"/>
      <c r="AD2" s="710"/>
      <c r="AE2" s="710"/>
      <c r="AF2" s="710"/>
      <c r="AG2" s="710"/>
      <c r="AH2" s="710"/>
      <c r="AI2" s="710"/>
      <c r="AJ2" s="710"/>
      <c r="AK2" s="710"/>
      <c r="AL2" s="710"/>
      <c r="AM2" s="710"/>
      <c r="AN2" s="710"/>
      <c r="AO2" s="710"/>
      <c r="AP2" s="710"/>
      <c r="AQ2" s="710"/>
      <c r="AR2" s="710"/>
      <c r="AS2" s="710"/>
      <c r="AT2" s="710"/>
    </row>
    <row r="3" spans="1:234" ht="17.149999999999999" customHeight="1" x14ac:dyDescent="0.25">
      <c r="B3" s="518">
        <v>1</v>
      </c>
      <c r="C3" s="1178"/>
      <c r="D3" s="1178"/>
      <c r="E3" s="1178"/>
      <c r="F3" s="1178"/>
      <c r="G3" s="1178"/>
      <c r="H3" s="1178"/>
      <c r="I3" s="1178"/>
      <c r="J3" s="1178"/>
      <c r="K3" s="1178"/>
      <c r="L3" s="1178"/>
      <c r="M3" s="1178"/>
      <c r="N3" s="1178"/>
      <c r="O3" s="1187"/>
      <c r="P3" s="1187"/>
      <c r="Q3" s="1187"/>
      <c r="R3" s="1187"/>
      <c r="S3" s="1187"/>
      <c r="T3" s="1187"/>
      <c r="U3" s="1187"/>
      <c r="V3" s="1187"/>
      <c r="W3" s="1187"/>
      <c r="X3" s="1187"/>
      <c r="Y3" s="1187"/>
      <c r="Z3" s="1187"/>
      <c r="AA3" s="1187"/>
      <c r="AB3" s="1187"/>
      <c r="AC3" s="1187"/>
      <c r="AD3" s="1187"/>
      <c r="AE3" s="1187"/>
      <c r="AF3" s="1187"/>
      <c r="AG3" s="1187"/>
      <c r="AH3" s="1187"/>
      <c r="AI3" s="1187"/>
      <c r="AJ3" s="1187"/>
      <c r="AK3" s="1187"/>
      <c r="AL3" s="1187"/>
      <c r="AM3" s="1187"/>
      <c r="AN3" s="1187"/>
      <c r="AO3" s="1187"/>
      <c r="AP3" s="1187"/>
      <c r="AQ3" s="1187"/>
      <c r="AR3" s="1187"/>
      <c r="AS3" s="1187"/>
      <c r="AT3" s="1187"/>
    </row>
    <row r="4" spans="1:234" ht="17.149999999999999" customHeight="1" x14ac:dyDescent="0.25">
      <c r="B4" s="519">
        <v>2</v>
      </c>
      <c r="C4" s="1183"/>
      <c r="D4" s="1183"/>
      <c r="E4" s="1183"/>
      <c r="F4" s="1183"/>
      <c r="G4" s="1183"/>
      <c r="H4" s="1183"/>
      <c r="I4" s="1183"/>
      <c r="J4" s="1183"/>
      <c r="K4" s="1183"/>
      <c r="L4" s="1183"/>
      <c r="M4" s="1183"/>
      <c r="N4" s="1183"/>
      <c r="O4" s="1188"/>
      <c r="P4" s="1188"/>
      <c r="Q4" s="1188"/>
      <c r="R4" s="1188"/>
      <c r="S4" s="1188"/>
      <c r="T4" s="1188"/>
      <c r="U4" s="1188"/>
      <c r="V4" s="1188"/>
      <c r="W4" s="1188"/>
      <c r="X4" s="1188"/>
      <c r="Y4" s="1188"/>
      <c r="Z4" s="1188"/>
      <c r="AA4" s="1188"/>
      <c r="AB4" s="1188"/>
      <c r="AC4" s="1188"/>
      <c r="AD4" s="1188"/>
      <c r="AE4" s="1188"/>
      <c r="AF4" s="1188"/>
      <c r="AG4" s="1188"/>
      <c r="AH4" s="1188"/>
      <c r="AI4" s="1188"/>
      <c r="AJ4" s="1188"/>
      <c r="AK4" s="1188"/>
      <c r="AL4" s="1188"/>
      <c r="AM4" s="1188"/>
      <c r="AN4" s="1188"/>
      <c r="AO4" s="1188"/>
      <c r="AP4" s="1188"/>
      <c r="AQ4" s="1188"/>
      <c r="AR4" s="1188"/>
      <c r="AS4" s="1188"/>
      <c r="AT4" s="1188"/>
    </row>
    <row r="5" spans="1:234" ht="17.149999999999999" customHeight="1" x14ac:dyDescent="0.25">
      <c r="B5" s="518">
        <v>3</v>
      </c>
      <c r="C5" s="1178"/>
      <c r="D5" s="1178"/>
      <c r="E5" s="1178"/>
      <c r="F5" s="1178"/>
      <c r="G5" s="1178"/>
      <c r="H5" s="1178"/>
      <c r="I5" s="1178"/>
      <c r="J5" s="1178"/>
      <c r="K5" s="1178"/>
      <c r="L5" s="1178"/>
      <c r="M5" s="1178"/>
      <c r="N5" s="1178"/>
      <c r="O5" s="1187"/>
      <c r="P5" s="1187"/>
      <c r="Q5" s="1187"/>
      <c r="R5" s="1187"/>
      <c r="S5" s="1187"/>
      <c r="T5" s="1187"/>
      <c r="U5" s="1187"/>
      <c r="V5" s="1187"/>
      <c r="W5" s="1187"/>
      <c r="X5" s="1187"/>
      <c r="Y5" s="1187"/>
      <c r="Z5" s="1187"/>
      <c r="AA5" s="1187"/>
      <c r="AB5" s="1187"/>
      <c r="AC5" s="1187"/>
      <c r="AD5" s="1187"/>
      <c r="AE5" s="1187"/>
      <c r="AF5" s="1187"/>
      <c r="AG5" s="1187"/>
      <c r="AH5" s="1187"/>
      <c r="AI5" s="1187"/>
      <c r="AJ5" s="1187"/>
      <c r="AK5" s="1187"/>
      <c r="AL5" s="1187"/>
      <c r="AM5" s="1187"/>
      <c r="AN5" s="1187"/>
      <c r="AO5" s="1187"/>
      <c r="AP5" s="1187"/>
      <c r="AQ5" s="1187"/>
      <c r="AR5" s="1187"/>
      <c r="AS5" s="1187"/>
      <c r="AT5" s="1187"/>
    </row>
    <row r="6" spans="1:234" ht="17.149999999999999" customHeight="1" x14ac:dyDescent="0.25">
      <c r="B6" s="519">
        <v>4</v>
      </c>
      <c r="C6" s="1183"/>
      <c r="D6" s="1183"/>
      <c r="E6" s="1183"/>
      <c r="F6" s="1183"/>
      <c r="G6" s="1183"/>
      <c r="H6" s="1183"/>
      <c r="I6" s="1183"/>
      <c r="J6" s="1183"/>
      <c r="K6" s="1183"/>
      <c r="L6" s="1183"/>
      <c r="M6" s="1183"/>
      <c r="N6" s="1183"/>
      <c r="O6" s="1188"/>
      <c r="P6" s="1188"/>
      <c r="Q6" s="1188"/>
      <c r="R6" s="1188"/>
      <c r="S6" s="1188"/>
      <c r="T6" s="1188"/>
      <c r="U6" s="1188"/>
      <c r="V6" s="1188"/>
      <c r="W6" s="1188"/>
      <c r="X6" s="1188"/>
      <c r="Y6" s="1188"/>
      <c r="Z6" s="1188"/>
      <c r="AA6" s="1188"/>
      <c r="AB6" s="1188"/>
      <c r="AC6" s="1188"/>
      <c r="AD6" s="1188"/>
      <c r="AE6" s="1188"/>
      <c r="AF6" s="1188"/>
      <c r="AG6" s="1188"/>
      <c r="AH6" s="1188"/>
      <c r="AI6" s="1188"/>
      <c r="AJ6" s="1188"/>
      <c r="AK6" s="1188"/>
      <c r="AL6" s="1188"/>
      <c r="AM6" s="1188"/>
      <c r="AN6" s="1188"/>
      <c r="AO6" s="1188"/>
      <c r="AP6" s="1188"/>
      <c r="AQ6" s="1188"/>
      <c r="AR6" s="1188"/>
      <c r="AS6" s="1188"/>
      <c r="AT6" s="1188"/>
    </row>
    <row r="7" spans="1:234" ht="17.149999999999999" customHeight="1" x14ac:dyDescent="0.25">
      <c r="B7" s="518">
        <v>5</v>
      </c>
      <c r="C7" s="1178"/>
      <c r="D7" s="1178"/>
      <c r="E7" s="1178"/>
      <c r="F7" s="1178"/>
      <c r="G7" s="1178"/>
      <c r="H7" s="1178"/>
      <c r="I7" s="1178"/>
      <c r="J7" s="1178"/>
      <c r="K7" s="1178"/>
      <c r="L7" s="1178"/>
      <c r="M7" s="1178"/>
      <c r="N7" s="1178"/>
      <c r="O7" s="1187"/>
      <c r="P7" s="1187"/>
      <c r="Q7" s="1187"/>
      <c r="R7" s="1187"/>
      <c r="S7" s="1187"/>
      <c r="T7" s="1187"/>
      <c r="U7" s="1187"/>
      <c r="V7" s="1187"/>
      <c r="W7" s="1187"/>
      <c r="X7" s="1187"/>
      <c r="Y7" s="1187"/>
      <c r="Z7" s="1187"/>
      <c r="AA7" s="1187"/>
      <c r="AB7" s="1187"/>
      <c r="AC7" s="1187"/>
      <c r="AD7" s="1187"/>
      <c r="AE7" s="1187"/>
      <c r="AF7" s="1187"/>
      <c r="AG7" s="1187"/>
      <c r="AH7" s="1187"/>
      <c r="AI7" s="1187"/>
      <c r="AJ7" s="1187"/>
      <c r="AK7" s="1187"/>
      <c r="AL7" s="1187"/>
      <c r="AM7" s="1187"/>
      <c r="AN7" s="1187"/>
      <c r="AO7" s="1187"/>
      <c r="AP7" s="1187"/>
      <c r="AQ7" s="1187"/>
      <c r="AR7" s="1187"/>
      <c r="AS7" s="1187"/>
      <c r="AT7" s="1187"/>
    </row>
    <row r="9" spans="1:234" ht="17.149999999999999" customHeight="1" x14ac:dyDescent="0.25">
      <c r="B9" s="1184" t="str">
        <f>IF(C3="","",C3&amp;"的储物箱")</f>
        <v/>
      </c>
      <c r="C9" s="1184"/>
      <c r="D9" s="1184"/>
      <c r="E9" s="1184"/>
      <c r="F9" s="1184"/>
      <c r="G9" s="1184"/>
      <c r="H9" s="1184"/>
      <c r="I9" s="1184"/>
      <c r="J9" s="1184"/>
      <c r="K9" s="1184"/>
      <c r="L9" s="1184"/>
      <c r="M9" s="1184"/>
      <c r="N9" s="1184"/>
      <c r="O9" s="1184"/>
      <c r="P9" s="1184"/>
      <c r="Q9" s="1184"/>
      <c r="R9" s="1184"/>
      <c r="S9" s="1184"/>
      <c r="T9" s="1184"/>
      <c r="U9" s="1184"/>
      <c r="V9" s="1184"/>
      <c r="W9" s="1184"/>
      <c r="Y9" s="1184" t="str">
        <f>IF(C3="","",C3&amp;"的财产状况")</f>
        <v/>
      </c>
      <c r="Z9" s="1184"/>
      <c r="AA9" s="1184"/>
      <c r="AB9" s="1184"/>
      <c r="AC9" s="1184"/>
      <c r="AD9" s="1184"/>
      <c r="AE9" s="1184"/>
      <c r="AF9" s="1184"/>
      <c r="AG9" s="517"/>
      <c r="AH9" s="1184" t="str">
        <f>IF(C3="","",C3&amp;"的财产收入")</f>
        <v/>
      </c>
      <c r="AI9" s="1184"/>
      <c r="AJ9" s="1184"/>
      <c r="AK9" s="1184"/>
      <c r="AL9" s="1184"/>
      <c r="AM9" s="1184"/>
      <c r="AN9" s="1184"/>
      <c r="AO9" s="1184"/>
      <c r="AP9" s="1184"/>
      <c r="AQ9" s="1184"/>
      <c r="AR9" s="1184"/>
      <c r="AS9" s="1184"/>
      <c r="AT9" s="1184"/>
      <c r="AW9" s="1184" t="str">
        <f>IF(C4="","",C4&amp;"的储物箱")</f>
        <v/>
      </c>
      <c r="AX9" s="1184"/>
      <c r="AY9" s="1184"/>
      <c r="AZ9" s="1184"/>
      <c r="BA9" s="1184"/>
      <c r="BB9" s="1184"/>
      <c r="BC9" s="1184"/>
      <c r="BD9" s="1184"/>
      <c r="BE9" s="1184"/>
      <c r="BF9" s="1184"/>
      <c r="BG9" s="1184"/>
      <c r="BH9" s="1184"/>
      <c r="BI9" s="1184"/>
      <c r="BJ9" s="1184"/>
      <c r="BK9" s="1184"/>
      <c r="BL9" s="1184"/>
      <c r="BM9" s="1184"/>
      <c r="BN9" s="1184"/>
      <c r="BO9" s="1184"/>
      <c r="BP9" s="1184"/>
      <c r="BQ9" s="1184"/>
      <c r="BR9" s="1184"/>
      <c r="BT9" s="1184" t="str">
        <f>IF(C4="","",C4&amp;"的财产状况")</f>
        <v/>
      </c>
      <c r="BU9" s="1184"/>
      <c r="BV9" s="1184"/>
      <c r="BW9" s="1184"/>
      <c r="BX9" s="1184"/>
      <c r="BY9" s="1184"/>
      <c r="BZ9" s="1184"/>
      <c r="CA9" s="1184"/>
      <c r="CB9" s="517"/>
      <c r="CC9" s="1184" t="str">
        <f>IF(C4="","",C4&amp;"的财产收入")</f>
        <v/>
      </c>
      <c r="CD9" s="1184"/>
      <c r="CE9" s="1184"/>
      <c r="CF9" s="1184"/>
      <c r="CG9" s="1184"/>
      <c r="CH9" s="1184"/>
      <c r="CI9" s="1184"/>
      <c r="CJ9" s="1184"/>
      <c r="CK9" s="1184"/>
      <c r="CL9" s="1184"/>
      <c r="CM9" s="1184"/>
      <c r="CN9" s="1184"/>
      <c r="CO9" s="1184"/>
      <c r="CR9" s="1184" t="str">
        <f>IF(C5="","",C5&amp;"的储物箱")</f>
        <v/>
      </c>
      <c r="CS9" s="1184"/>
      <c r="CT9" s="1184"/>
      <c r="CU9" s="1184"/>
      <c r="CV9" s="1184"/>
      <c r="CW9" s="1184"/>
      <c r="CX9" s="1184"/>
      <c r="CY9" s="1184"/>
      <c r="CZ9" s="1184"/>
      <c r="DA9" s="1184"/>
      <c r="DB9" s="1184"/>
      <c r="DC9" s="1184"/>
      <c r="DD9" s="1184"/>
      <c r="DE9" s="1184"/>
      <c r="DF9" s="1184"/>
      <c r="DG9" s="1184"/>
      <c r="DH9" s="1184"/>
      <c r="DI9" s="1184"/>
      <c r="DJ9" s="1184"/>
      <c r="DK9" s="1184"/>
      <c r="DL9" s="1184"/>
      <c r="DM9" s="1184"/>
      <c r="DO9" s="1184" t="str">
        <f>IF(C5="","",C5&amp;"的财产状况")</f>
        <v/>
      </c>
      <c r="DP9" s="1184"/>
      <c r="DQ9" s="1184"/>
      <c r="DR9" s="1184"/>
      <c r="DS9" s="1184"/>
      <c r="DT9" s="1184"/>
      <c r="DU9" s="1184"/>
      <c r="DV9" s="1184"/>
      <c r="DW9" s="517"/>
      <c r="DX9" s="1184" t="str">
        <f>IF(C5="","",C5&amp;"的财产收入")</f>
        <v/>
      </c>
      <c r="DY9" s="1184"/>
      <c r="DZ9" s="1184"/>
      <c r="EA9" s="1184"/>
      <c r="EB9" s="1184"/>
      <c r="EC9" s="1184"/>
      <c r="ED9" s="1184"/>
      <c r="EE9" s="1184"/>
      <c r="EF9" s="1184"/>
      <c r="EG9" s="1184"/>
      <c r="EH9" s="1184"/>
      <c r="EI9" s="1184"/>
      <c r="EJ9" s="1184"/>
      <c r="EM9" s="1184" t="str">
        <f>IF(C6="","",C6&amp;"的储物箱")</f>
        <v/>
      </c>
      <c r="EN9" s="1184"/>
      <c r="EO9" s="1184"/>
      <c r="EP9" s="1184"/>
      <c r="EQ9" s="1184"/>
      <c r="ER9" s="1184"/>
      <c r="ES9" s="1184"/>
      <c r="ET9" s="1184"/>
      <c r="EU9" s="1184"/>
      <c r="EV9" s="1184"/>
      <c r="EW9" s="1184"/>
      <c r="EX9" s="1184"/>
      <c r="EY9" s="1184"/>
      <c r="EZ9" s="1184"/>
      <c r="FA9" s="1184"/>
      <c r="FB9" s="1184"/>
      <c r="FC9" s="1184"/>
      <c r="FD9" s="1184"/>
      <c r="FE9" s="1184"/>
      <c r="FF9" s="1184"/>
      <c r="FG9" s="1184"/>
      <c r="FH9" s="1184"/>
      <c r="FJ9" s="1184" t="str">
        <f>IF(C6="","",C6&amp;"的财产状况")</f>
        <v/>
      </c>
      <c r="FK9" s="1184"/>
      <c r="FL9" s="1184"/>
      <c r="FM9" s="1184"/>
      <c r="FN9" s="1184"/>
      <c r="FO9" s="1184"/>
      <c r="FP9" s="1184"/>
      <c r="FQ9" s="1184"/>
      <c r="FR9" s="517"/>
      <c r="FS9" s="1184" t="str">
        <f>IF(C6="","",C6&amp;"的财产收入")</f>
        <v/>
      </c>
      <c r="FT9" s="1184"/>
      <c r="FU9" s="1184"/>
      <c r="FV9" s="1184"/>
      <c r="FW9" s="1184"/>
      <c r="FX9" s="1184"/>
      <c r="FY9" s="1184"/>
      <c r="FZ9" s="1184"/>
      <c r="GA9" s="1184"/>
      <c r="GB9" s="1184"/>
      <c r="GC9" s="1184"/>
      <c r="GD9" s="1184"/>
      <c r="GE9" s="1184"/>
      <c r="GH9" s="1184" t="str">
        <f>IF(C7="","",C7&amp;"的储物箱")</f>
        <v/>
      </c>
      <c r="GI9" s="1184"/>
      <c r="GJ9" s="1184"/>
      <c r="GK9" s="1184"/>
      <c r="GL9" s="1184"/>
      <c r="GM9" s="1184"/>
      <c r="GN9" s="1184"/>
      <c r="GO9" s="1184"/>
      <c r="GP9" s="1184"/>
      <c r="GQ9" s="1184"/>
      <c r="GR9" s="1184"/>
      <c r="GS9" s="1184"/>
      <c r="GT9" s="1184"/>
      <c r="GU9" s="1184"/>
      <c r="GV9" s="1184"/>
      <c r="GW9" s="1184"/>
      <c r="GX9" s="1184"/>
      <c r="GY9" s="1184"/>
      <c r="GZ9" s="1184"/>
      <c r="HA9" s="1184"/>
      <c r="HB9" s="1184"/>
      <c r="HC9" s="1184"/>
      <c r="HE9" s="1184" t="str">
        <f>IF(C7="","",C7&amp;"的财产状况")</f>
        <v/>
      </c>
      <c r="HF9" s="1184"/>
      <c r="HG9" s="1184"/>
      <c r="HH9" s="1184"/>
      <c r="HI9" s="1184"/>
      <c r="HJ9" s="1184"/>
      <c r="HK9" s="1184"/>
      <c r="HL9" s="1184"/>
      <c r="HM9" s="517"/>
      <c r="HN9" s="1184" t="str">
        <f>IF(C7="","",C7&amp;"的财产收入")</f>
        <v/>
      </c>
      <c r="HO9" s="1184"/>
      <c r="HP9" s="1184"/>
      <c r="HQ9" s="1184"/>
      <c r="HR9" s="1184"/>
      <c r="HS9" s="1184"/>
      <c r="HT9" s="1184"/>
      <c r="HU9" s="1184"/>
      <c r="HV9" s="1184"/>
      <c r="HW9" s="1184"/>
      <c r="HX9" s="1184"/>
      <c r="HY9" s="1184"/>
      <c r="HZ9" s="1184"/>
    </row>
    <row r="10" spans="1:234" ht="17.149999999999999" customHeight="1" x14ac:dyDescent="0.3">
      <c r="B10" s="517"/>
      <c r="C10" s="710" t="s">
        <v>8852</v>
      </c>
      <c r="D10" s="710"/>
      <c r="E10" s="710"/>
      <c r="F10" s="710"/>
      <c r="G10" s="710"/>
      <c r="H10" s="710"/>
      <c r="I10" s="710" t="s">
        <v>8853</v>
      </c>
      <c r="J10" s="710"/>
      <c r="K10" s="710"/>
      <c r="L10" s="710"/>
      <c r="M10" s="710"/>
      <c r="N10" s="710"/>
      <c r="O10" s="710"/>
      <c r="P10" s="710"/>
      <c r="Q10" s="710"/>
      <c r="R10" s="710"/>
      <c r="S10" s="710"/>
      <c r="T10" s="710"/>
      <c r="U10" s="710"/>
      <c r="V10" s="710" t="s">
        <v>166</v>
      </c>
      <c r="W10" s="710"/>
      <c r="Y10" s="710" t="s">
        <v>8854</v>
      </c>
      <c r="Z10" s="710"/>
      <c r="AA10" s="710" t="s">
        <v>166</v>
      </c>
      <c r="AB10" s="710"/>
      <c r="AC10" s="710"/>
      <c r="AD10" s="710"/>
      <c r="AE10" s="710"/>
      <c r="AF10" s="710"/>
      <c r="AG10" s="517"/>
      <c r="AH10" s="710" t="s">
        <v>8854</v>
      </c>
      <c r="AI10" s="710"/>
      <c r="AJ10" s="710" t="s">
        <v>8855</v>
      </c>
      <c r="AK10" s="710"/>
      <c r="AL10" s="710"/>
      <c r="AM10" s="710"/>
      <c r="AN10" s="710"/>
      <c r="AO10" s="710"/>
      <c r="AP10" s="710"/>
      <c r="AQ10" s="710"/>
      <c r="AR10" s="710"/>
      <c r="AS10" s="710"/>
      <c r="AT10" s="710"/>
      <c r="AW10" s="517"/>
      <c r="AX10" s="710" t="s">
        <v>8852</v>
      </c>
      <c r="AY10" s="710"/>
      <c r="AZ10" s="710"/>
      <c r="BA10" s="710"/>
      <c r="BB10" s="710"/>
      <c r="BC10" s="710"/>
      <c r="BD10" s="710" t="s">
        <v>8853</v>
      </c>
      <c r="BE10" s="710"/>
      <c r="BF10" s="710"/>
      <c r="BG10" s="710"/>
      <c r="BH10" s="710"/>
      <c r="BI10" s="710"/>
      <c r="BJ10" s="710"/>
      <c r="BK10" s="710"/>
      <c r="BL10" s="710"/>
      <c r="BM10" s="710"/>
      <c r="BN10" s="710"/>
      <c r="BO10" s="710"/>
      <c r="BP10" s="710"/>
      <c r="BQ10" s="710" t="s">
        <v>166</v>
      </c>
      <c r="BR10" s="710"/>
      <c r="BT10" s="710" t="s">
        <v>8854</v>
      </c>
      <c r="BU10" s="710"/>
      <c r="BV10" s="710" t="s">
        <v>166</v>
      </c>
      <c r="BW10" s="710"/>
      <c r="BX10" s="710"/>
      <c r="BY10" s="710"/>
      <c r="BZ10" s="710"/>
      <c r="CA10" s="710"/>
      <c r="CB10" s="517"/>
      <c r="CC10" s="710" t="s">
        <v>8854</v>
      </c>
      <c r="CD10" s="710"/>
      <c r="CE10" s="710" t="s">
        <v>8855</v>
      </c>
      <c r="CF10" s="710"/>
      <c r="CG10" s="710"/>
      <c r="CH10" s="710"/>
      <c r="CI10" s="710"/>
      <c r="CJ10" s="710"/>
      <c r="CK10" s="710"/>
      <c r="CL10" s="710"/>
      <c r="CM10" s="710"/>
      <c r="CN10" s="710"/>
      <c r="CO10" s="710"/>
      <c r="CR10" s="517"/>
      <c r="CS10" s="710" t="s">
        <v>8852</v>
      </c>
      <c r="CT10" s="710"/>
      <c r="CU10" s="710"/>
      <c r="CV10" s="710"/>
      <c r="CW10" s="710"/>
      <c r="CX10" s="710"/>
      <c r="CY10" s="710" t="s">
        <v>8853</v>
      </c>
      <c r="CZ10" s="710"/>
      <c r="DA10" s="710"/>
      <c r="DB10" s="710"/>
      <c r="DC10" s="710"/>
      <c r="DD10" s="710"/>
      <c r="DE10" s="710"/>
      <c r="DF10" s="710"/>
      <c r="DG10" s="710"/>
      <c r="DH10" s="710"/>
      <c r="DI10" s="710"/>
      <c r="DJ10" s="710"/>
      <c r="DK10" s="710"/>
      <c r="DL10" s="710" t="s">
        <v>166</v>
      </c>
      <c r="DM10" s="710"/>
      <c r="DO10" s="710" t="s">
        <v>8854</v>
      </c>
      <c r="DP10" s="710"/>
      <c r="DQ10" s="710" t="s">
        <v>166</v>
      </c>
      <c r="DR10" s="710"/>
      <c r="DS10" s="710"/>
      <c r="DT10" s="710"/>
      <c r="DU10" s="710"/>
      <c r="DV10" s="710"/>
      <c r="DW10" s="517"/>
      <c r="DX10" s="710" t="s">
        <v>8854</v>
      </c>
      <c r="DY10" s="710"/>
      <c r="DZ10" s="710" t="s">
        <v>8855</v>
      </c>
      <c r="EA10" s="710"/>
      <c r="EB10" s="710"/>
      <c r="EC10" s="710"/>
      <c r="ED10" s="710"/>
      <c r="EE10" s="710"/>
      <c r="EF10" s="710"/>
      <c r="EG10" s="710"/>
      <c r="EH10" s="710"/>
      <c r="EI10" s="710"/>
      <c r="EJ10" s="710"/>
      <c r="EM10" s="517"/>
      <c r="EN10" s="710" t="s">
        <v>8852</v>
      </c>
      <c r="EO10" s="710"/>
      <c r="EP10" s="710"/>
      <c r="EQ10" s="710"/>
      <c r="ER10" s="710"/>
      <c r="ES10" s="710"/>
      <c r="ET10" s="710" t="s">
        <v>8853</v>
      </c>
      <c r="EU10" s="710"/>
      <c r="EV10" s="710"/>
      <c r="EW10" s="710"/>
      <c r="EX10" s="710"/>
      <c r="EY10" s="710"/>
      <c r="EZ10" s="710"/>
      <c r="FA10" s="710"/>
      <c r="FB10" s="710"/>
      <c r="FC10" s="710"/>
      <c r="FD10" s="710"/>
      <c r="FE10" s="710"/>
      <c r="FF10" s="710"/>
      <c r="FG10" s="710" t="s">
        <v>166</v>
      </c>
      <c r="FH10" s="710"/>
      <c r="FJ10" s="710" t="s">
        <v>8854</v>
      </c>
      <c r="FK10" s="710"/>
      <c r="FL10" s="710" t="s">
        <v>166</v>
      </c>
      <c r="FM10" s="710"/>
      <c r="FN10" s="710"/>
      <c r="FO10" s="710"/>
      <c r="FP10" s="710"/>
      <c r="FQ10" s="710"/>
      <c r="FR10" s="517"/>
      <c r="FS10" s="710" t="s">
        <v>8854</v>
      </c>
      <c r="FT10" s="710"/>
      <c r="FU10" s="710" t="s">
        <v>8855</v>
      </c>
      <c r="FV10" s="710"/>
      <c r="FW10" s="710"/>
      <c r="FX10" s="710"/>
      <c r="FY10" s="710"/>
      <c r="FZ10" s="710"/>
      <c r="GA10" s="710"/>
      <c r="GB10" s="710"/>
      <c r="GC10" s="710"/>
      <c r="GD10" s="710"/>
      <c r="GE10" s="710"/>
      <c r="GH10" s="517"/>
      <c r="GI10" s="710" t="s">
        <v>8852</v>
      </c>
      <c r="GJ10" s="710"/>
      <c r="GK10" s="710"/>
      <c r="GL10" s="710"/>
      <c r="GM10" s="710"/>
      <c r="GN10" s="710"/>
      <c r="GO10" s="710" t="s">
        <v>8853</v>
      </c>
      <c r="GP10" s="710"/>
      <c r="GQ10" s="710"/>
      <c r="GR10" s="710"/>
      <c r="GS10" s="710"/>
      <c r="GT10" s="710"/>
      <c r="GU10" s="710"/>
      <c r="GV10" s="710"/>
      <c r="GW10" s="710"/>
      <c r="GX10" s="710"/>
      <c r="GY10" s="710"/>
      <c r="GZ10" s="710"/>
      <c r="HA10" s="710"/>
      <c r="HB10" s="710" t="s">
        <v>166</v>
      </c>
      <c r="HC10" s="710"/>
      <c r="HE10" s="710" t="s">
        <v>8854</v>
      </c>
      <c r="HF10" s="710"/>
      <c r="HG10" s="710" t="s">
        <v>166</v>
      </c>
      <c r="HH10" s="710"/>
      <c r="HI10" s="710"/>
      <c r="HJ10" s="710"/>
      <c r="HK10" s="710"/>
      <c r="HL10" s="710"/>
      <c r="HM10" s="517"/>
      <c r="HN10" s="710" t="s">
        <v>8854</v>
      </c>
      <c r="HO10" s="710"/>
      <c r="HP10" s="710" t="s">
        <v>8855</v>
      </c>
      <c r="HQ10" s="710"/>
      <c r="HR10" s="710"/>
      <c r="HS10" s="710"/>
      <c r="HT10" s="710"/>
      <c r="HU10" s="710"/>
      <c r="HV10" s="710"/>
      <c r="HW10" s="710"/>
      <c r="HX10" s="710"/>
      <c r="HY10" s="710"/>
      <c r="HZ10" s="710"/>
    </row>
    <row r="11" spans="1:234" ht="17.149999999999999" customHeight="1" x14ac:dyDescent="0.25">
      <c r="B11" s="518">
        <v>1</v>
      </c>
      <c r="C11" s="1174"/>
      <c r="D11" s="1175"/>
      <c r="E11" s="1175"/>
      <c r="F11" s="1175"/>
      <c r="G11" s="1175"/>
      <c r="H11" s="1176"/>
      <c r="I11" s="1185"/>
      <c r="J11" s="1185"/>
      <c r="K11" s="1185"/>
      <c r="L11" s="1185"/>
      <c r="M11" s="1185"/>
      <c r="N11" s="1185"/>
      <c r="O11" s="1185"/>
      <c r="P11" s="1185"/>
      <c r="Q11" s="1185"/>
      <c r="R11" s="1185"/>
      <c r="S11" s="1185"/>
      <c r="T11" s="1185"/>
      <c r="U11" s="1185"/>
      <c r="V11" s="1178"/>
      <c r="W11" s="1178"/>
      <c r="Y11" s="1186" t="s">
        <v>182</v>
      </c>
      <c r="Z11" s="1186"/>
      <c r="AA11" s="1178"/>
      <c r="AB11" s="1178"/>
      <c r="AC11" s="1178"/>
      <c r="AD11" s="1178"/>
      <c r="AE11" s="1178"/>
      <c r="AF11" s="1178"/>
      <c r="AG11" s="517"/>
      <c r="AH11" s="1186" t="s">
        <v>182</v>
      </c>
      <c r="AI11" s="1186"/>
      <c r="AJ11" s="1178"/>
      <c r="AK11" s="1178"/>
      <c r="AL11" s="1178"/>
      <c r="AM11" s="1178"/>
      <c r="AN11" s="1178"/>
      <c r="AO11" s="1178"/>
      <c r="AP11" s="1178"/>
      <c r="AQ11" s="1178"/>
      <c r="AR11" s="1178"/>
      <c r="AS11" s="1178"/>
      <c r="AT11" s="1178"/>
      <c r="AW11" s="518">
        <v>1</v>
      </c>
      <c r="AX11" s="1174"/>
      <c r="AY11" s="1175"/>
      <c r="AZ11" s="1175"/>
      <c r="BA11" s="1175"/>
      <c r="BB11" s="1175"/>
      <c r="BC11" s="1176"/>
      <c r="BD11" s="1185"/>
      <c r="BE11" s="1185"/>
      <c r="BF11" s="1185"/>
      <c r="BG11" s="1185"/>
      <c r="BH11" s="1185"/>
      <c r="BI11" s="1185"/>
      <c r="BJ11" s="1185"/>
      <c r="BK11" s="1185"/>
      <c r="BL11" s="1185"/>
      <c r="BM11" s="1185"/>
      <c r="BN11" s="1185"/>
      <c r="BO11" s="1185"/>
      <c r="BP11" s="1185"/>
      <c r="BQ11" s="1178"/>
      <c r="BR11" s="1178"/>
      <c r="BT11" s="1186" t="s">
        <v>182</v>
      </c>
      <c r="BU11" s="1186"/>
      <c r="BV11" s="1178"/>
      <c r="BW11" s="1178"/>
      <c r="BX11" s="1178"/>
      <c r="BY11" s="1178"/>
      <c r="BZ11" s="1178"/>
      <c r="CA11" s="1178"/>
      <c r="CB11" s="517"/>
      <c r="CC11" s="1186" t="s">
        <v>182</v>
      </c>
      <c r="CD11" s="1186"/>
      <c r="CE11" s="1178"/>
      <c r="CF11" s="1178"/>
      <c r="CG11" s="1178"/>
      <c r="CH11" s="1178"/>
      <c r="CI11" s="1178"/>
      <c r="CJ11" s="1178"/>
      <c r="CK11" s="1178"/>
      <c r="CL11" s="1178"/>
      <c r="CM11" s="1178"/>
      <c r="CN11" s="1178"/>
      <c r="CO11" s="1178"/>
      <c r="CR11" s="518">
        <v>1</v>
      </c>
      <c r="CS11" s="1174"/>
      <c r="CT11" s="1175"/>
      <c r="CU11" s="1175"/>
      <c r="CV11" s="1175"/>
      <c r="CW11" s="1175"/>
      <c r="CX11" s="1176"/>
      <c r="CY11" s="1185"/>
      <c r="CZ11" s="1185"/>
      <c r="DA11" s="1185"/>
      <c r="DB11" s="1185"/>
      <c r="DC11" s="1185"/>
      <c r="DD11" s="1185"/>
      <c r="DE11" s="1185"/>
      <c r="DF11" s="1185"/>
      <c r="DG11" s="1185"/>
      <c r="DH11" s="1185"/>
      <c r="DI11" s="1185"/>
      <c r="DJ11" s="1185"/>
      <c r="DK11" s="1185"/>
      <c r="DL11" s="1178"/>
      <c r="DM11" s="1178"/>
      <c r="DO11" s="1186" t="s">
        <v>182</v>
      </c>
      <c r="DP11" s="1186"/>
      <c r="DQ11" s="1178"/>
      <c r="DR11" s="1178"/>
      <c r="DS11" s="1178"/>
      <c r="DT11" s="1178"/>
      <c r="DU11" s="1178"/>
      <c r="DV11" s="1178"/>
      <c r="DW11" s="517"/>
      <c r="DX11" s="1186" t="s">
        <v>182</v>
      </c>
      <c r="DY11" s="1186"/>
      <c r="DZ11" s="1178"/>
      <c r="EA11" s="1178"/>
      <c r="EB11" s="1178"/>
      <c r="EC11" s="1178"/>
      <c r="ED11" s="1178"/>
      <c r="EE11" s="1178"/>
      <c r="EF11" s="1178"/>
      <c r="EG11" s="1178"/>
      <c r="EH11" s="1178"/>
      <c r="EI11" s="1178"/>
      <c r="EJ11" s="1178"/>
      <c r="EM11" s="518">
        <v>1</v>
      </c>
      <c r="EN11" s="1174"/>
      <c r="EO11" s="1175"/>
      <c r="EP11" s="1175"/>
      <c r="EQ11" s="1175"/>
      <c r="ER11" s="1175"/>
      <c r="ES11" s="1176"/>
      <c r="ET11" s="1185"/>
      <c r="EU11" s="1185"/>
      <c r="EV11" s="1185"/>
      <c r="EW11" s="1185"/>
      <c r="EX11" s="1185"/>
      <c r="EY11" s="1185"/>
      <c r="EZ11" s="1185"/>
      <c r="FA11" s="1185"/>
      <c r="FB11" s="1185"/>
      <c r="FC11" s="1185"/>
      <c r="FD11" s="1185"/>
      <c r="FE11" s="1185"/>
      <c r="FF11" s="1185"/>
      <c r="FG11" s="1178"/>
      <c r="FH11" s="1178"/>
      <c r="FJ11" s="1186" t="s">
        <v>182</v>
      </c>
      <c r="FK11" s="1186"/>
      <c r="FL11" s="1178"/>
      <c r="FM11" s="1178"/>
      <c r="FN11" s="1178"/>
      <c r="FO11" s="1178"/>
      <c r="FP11" s="1178"/>
      <c r="FQ11" s="1178"/>
      <c r="FR11" s="517"/>
      <c r="FS11" s="1186" t="s">
        <v>182</v>
      </c>
      <c r="FT11" s="1186"/>
      <c r="FU11" s="1178"/>
      <c r="FV11" s="1178"/>
      <c r="FW11" s="1178"/>
      <c r="FX11" s="1178"/>
      <c r="FY11" s="1178"/>
      <c r="FZ11" s="1178"/>
      <c r="GA11" s="1178"/>
      <c r="GB11" s="1178"/>
      <c r="GC11" s="1178"/>
      <c r="GD11" s="1178"/>
      <c r="GE11" s="1178"/>
      <c r="GH11" s="518">
        <v>1</v>
      </c>
      <c r="GI11" s="1174"/>
      <c r="GJ11" s="1175"/>
      <c r="GK11" s="1175"/>
      <c r="GL11" s="1175"/>
      <c r="GM11" s="1175"/>
      <c r="GN11" s="1176"/>
      <c r="GO11" s="1185"/>
      <c r="GP11" s="1185"/>
      <c r="GQ11" s="1185"/>
      <c r="GR11" s="1185"/>
      <c r="GS11" s="1185"/>
      <c r="GT11" s="1185"/>
      <c r="GU11" s="1185"/>
      <c r="GV11" s="1185"/>
      <c r="GW11" s="1185"/>
      <c r="GX11" s="1185"/>
      <c r="GY11" s="1185"/>
      <c r="GZ11" s="1185"/>
      <c r="HA11" s="1185"/>
      <c r="HB11" s="1178"/>
      <c r="HC11" s="1178"/>
      <c r="HE11" s="1186" t="s">
        <v>182</v>
      </c>
      <c r="HF11" s="1186"/>
      <c r="HG11" s="1178"/>
      <c r="HH11" s="1178"/>
      <c r="HI11" s="1178"/>
      <c r="HJ11" s="1178"/>
      <c r="HK11" s="1178"/>
      <c r="HL11" s="1178"/>
      <c r="HM11" s="517"/>
      <c r="HN11" s="1186" t="s">
        <v>182</v>
      </c>
      <c r="HO11" s="1186"/>
      <c r="HP11" s="1178"/>
      <c r="HQ11" s="1178"/>
      <c r="HR11" s="1178"/>
      <c r="HS11" s="1178"/>
      <c r="HT11" s="1178"/>
      <c r="HU11" s="1178"/>
      <c r="HV11" s="1178"/>
      <c r="HW11" s="1178"/>
      <c r="HX11" s="1178"/>
      <c r="HY11" s="1178"/>
      <c r="HZ11" s="1178"/>
    </row>
    <row r="12" spans="1:234" ht="17.149999999999999" customHeight="1" x14ac:dyDescent="0.25">
      <c r="B12" s="519">
        <v>2</v>
      </c>
      <c r="C12" s="1179"/>
      <c r="D12" s="1180"/>
      <c r="E12" s="1180"/>
      <c r="F12" s="1180"/>
      <c r="G12" s="1180"/>
      <c r="H12" s="1181"/>
      <c r="I12" s="1173"/>
      <c r="J12" s="1173"/>
      <c r="K12" s="1173"/>
      <c r="L12" s="1173"/>
      <c r="M12" s="1173"/>
      <c r="N12" s="1173"/>
      <c r="O12" s="1173"/>
      <c r="P12" s="1173"/>
      <c r="Q12" s="1173"/>
      <c r="R12" s="1173"/>
      <c r="S12" s="1173"/>
      <c r="T12" s="1173"/>
      <c r="U12" s="1173"/>
      <c r="V12" s="1183"/>
      <c r="W12" s="1183"/>
      <c r="Y12" s="1177" t="s">
        <v>188</v>
      </c>
      <c r="Z12" s="1177"/>
      <c r="AA12" s="1178"/>
      <c r="AB12" s="1178"/>
      <c r="AC12" s="1178"/>
      <c r="AD12" s="1178"/>
      <c r="AE12" s="1178"/>
      <c r="AF12" s="1178"/>
      <c r="AG12" s="517"/>
      <c r="AH12" s="1177" t="s">
        <v>188</v>
      </c>
      <c r="AI12" s="1177"/>
      <c r="AJ12" s="1178"/>
      <c r="AK12" s="1178"/>
      <c r="AL12" s="1178"/>
      <c r="AM12" s="1178"/>
      <c r="AN12" s="1178"/>
      <c r="AO12" s="1178"/>
      <c r="AP12" s="1178"/>
      <c r="AQ12" s="1178"/>
      <c r="AR12" s="1178"/>
      <c r="AS12" s="1178"/>
      <c r="AT12" s="1178"/>
      <c r="AW12" s="519">
        <v>2</v>
      </c>
      <c r="AX12" s="1179"/>
      <c r="AY12" s="1180"/>
      <c r="AZ12" s="1180"/>
      <c r="BA12" s="1180"/>
      <c r="BB12" s="1180"/>
      <c r="BC12" s="1181"/>
      <c r="BD12" s="1173"/>
      <c r="BE12" s="1173"/>
      <c r="BF12" s="1173"/>
      <c r="BG12" s="1173"/>
      <c r="BH12" s="1173"/>
      <c r="BI12" s="1173"/>
      <c r="BJ12" s="1173"/>
      <c r="BK12" s="1173"/>
      <c r="BL12" s="1173"/>
      <c r="BM12" s="1173"/>
      <c r="BN12" s="1173"/>
      <c r="BO12" s="1173"/>
      <c r="BP12" s="1173"/>
      <c r="BQ12" s="1183"/>
      <c r="BR12" s="1183"/>
      <c r="BT12" s="1177" t="s">
        <v>188</v>
      </c>
      <c r="BU12" s="1177"/>
      <c r="BV12" s="1178"/>
      <c r="BW12" s="1178"/>
      <c r="BX12" s="1178"/>
      <c r="BY12" s="1178"/>
      <c r="BZ12" s="1178"/>
      <c r="CA12" s="1178"/>
      <c r="CB12" s="517"/>
      <c r="CC12" s="1177" t="s">
        <v>188</v>
      </c>
      <c r="CD12" s="1177"/>
      <c r="CE12" s="1178"/>
      <c r="CF12" s="1178"/>
      <c r="CG12" s="1178"/>
      <c r="CH12" s="1178"/>
      <c r="CI12" s="1178"/>
      <c r="CJ12" s="1178"/>
      <c r="CK12" s="1178"/>
      <c r="CL12" s="1178"/>
      <c r="CM12" s="1178"/>
      <c r="CN12" s="1178"/>
      <c r="CO12" s="1178"/>
      <c r="CR12" s="519">
        <v>2</v>
      </c>
      <c r="CS12" s="1179"/>
      <c r="CT12" s="1180"/>
      <c r="CU12" s="1180"/>
      <c r="CV12" s="1180"/>
      <c r="CW12" s="1180"/>
      <c r="CX12" s="1181"/>
      <c r="CY12" s="1173"/>
      <c r="CZ12" s="1173"/>
      <c r="DA12" s="1173"/>
      <c r="DB12" s="1173"/>
      <c r="DC12" s="1173"/>
      <c r="DD12" s="1173"/>
      <c r="DE12" s="1173"/>
      <c r="DF12" s="1173"/>
      <c r="DG12" s="1173"/>
      <c r="DH12" s="1173"/>
      <c r="DI12" s="1173"/>
      <c r="DJ12" s="1173"/>
      <c r="DK12" s="1173"/>
      <c r="DL12" s="1183"/>
      <c r="DM12" s="1183"/>
      <c r="DO12" s="1177" t="s">
        <v>188</v>
      </c>
      <c r="DP12" s="1177"/>
      <c r="DQ12" s="1178"/>
      <c r="DR12" s="1178"/>
      <c r="DS12" s="1178"/>
      <c r="DT12" s="1178"/>
      <c r="DU12" s="1178"/>
      <c r="DV12" s="1178"/>
      <c r="DW12" s="517"/>
      <c r="DX12" s="1177" t="s">
        <v>188</v>
      </c>
      <c r="DY12" s="1177"/>
      <c r="DZ12" s="1178"/>
      <c r="EA12" s="1178"/>
      <c r="EB12" s="1178"/>
      <c r="EC12" s="1178"/>
      <c r="ED12" s="1178"/>
      <c r="EE12" s="1178"/>
      <c r="EF12" s="1178"/>
      <c r="EG12" s="1178"/>
      <c r="EH12" s="1178"/>
      <c r="EI12" s="1178"/>
      <c r="EJ12" s="1178"/>
      <c r="EM12" s="519">
        <v>2</v>
      </c>
      <c r="EN12" s="1179"/>
      <c r="EO12" s="1180"/>
      <c r="EP12" s="1180"/>
      <c r="EQ12" s="1180"/>
      <c r="ER12" s="1180"/>
      <c r="ES12" s="1181"/>
      <c r="ET12" s="1173"/>
      <c r="EU12" s="1173"/>
      <c r="EV12" s="1173"/>
      <c r="EW12" s="1173"/>
      <c r="EX12" s="1173"/>
      <c r="EY12" s="1173"/>
      <c r="EZ12" s="1173"/>
      <c r="FA12" s="1173"/>
      <c r="FB12" s="1173"/>
      <c r="FC12" s="1173"/>
      <c r="FD12" s="1173"/>
      <c r="FE12" s="1173"/>
      <c r="FF12" s="1173"/>
      <c r="FG12" s="1183"/>
      <c r="FH12" s="1183"/>
      <c r="FJ12" s="1177" t="s">
        <v>188</v>
      </c>
      <c r="FK12" s="1177"/>
      <c r="FL12" s="1178"/>
      <c r="FM12" s="1178"/>
      <c r="FN12" s="1178"/>
      <c r="FO12" s="1178"/>
      <c r="FP12" s="1178"/>
      <c r="FQ12" s="1178"/>
      <c r="FR12" s="517"/>
      <c r="FS12" s="1177" t="s">
        <v>188</v>
      </c>
      <c r="FT12" s="1177"/>
      <c r="FU12" s="1178"/>
      <c r="FV12" s="1178"/>
      <c r="FW12" s="1178"/>
      <c r="FX12" s="1178"/>
      <c r="FY12" s="1178"/>
      <c r="FZ12" s="1178"/>
      <c r="GA12" s="1178"/>
      <c r="GB12" s="1178"/>
      <c r="GC12" s="1178"/>
      <c r="GD12" s="1178"/>
      <c r="GE12" s="1178"/>
      <c r="GH12" s="519">
        <v>2</v>
      </c>
      <c r="GI12" s="1179"/>
      <c r="GJ12" s="1180"/>
      <c r="GK12" s="1180"/>
      <c r="GL12" s="1180"/>
      <c r="GM12" s="1180"/>
      <c r="GN12" s="1181"/>
      <c r="GO12" s="1173"/>
      <c r="GP12" s="1173"/>
      <c r="GQ12" s="1173"/>
      <c r="GR12" s="1173"/>
      <c r="GS12" s="1173"/>
      <c r="GT12" s="1173"/>
      <c r="GU12" s="1173"/>
      <c r="GV12" s="1173"/>
      <c r="GW12" s="1173"/>
      <c r="GX12" s="1173"/>
      <c r="GY12" s="1173"/>
      <c r="GZ12" s="1173"/>
      <c r="HA12" s="1173"/>
      <c r="HB12" s="1183"/>
      <c r="HC12" s="1183"/>
      <c r="HE12" s="1177" t="s">
        <v>188</v>
      </c>
      <c r="HF12" s="1177"/>
      <c r="HG12" s="1178"/>
      <c r="HH12" s="1178"/>
      <c r="HI12" s="1178"/>
      <c r="HJ12" s="1178"/>
      <c r="HK12" s="1178"/>
      <c r="HL12" s="1178"/>
      <c r="HM12" s="517"/>
      <c r="HN12" s="1177" t="s">
        <v>188</v>
      </c>
      <c r="HO12" s="1177"/>
      <c r="HP12" s="1178"/>
      <c r="HQ12" s="1178"/>
      <c r="HR12" s="1178"/>
      <c r="HS12" s="1178"/>
      <c r="HT12" s="1178"/>
      <c r="HU12" s="1178"/>
      <c r="HV12" s="1178"/>
      <c r="HW12" s="1178"/>
      <c r="HX12" s="1178"/>
      <c r="HY12" s="1178"/>
      <c r="HZ12" s="1178"/>
    </row>
    <row r="13" spans="1:234" ht="17.149999999999999" customHeight="1" x14ac:dyDescent="0.25">
      <c r="B13" s="518">
        <v>3</v>
      </c>
      <c r="C13" s="1174"/>
      <c r="D13" s="1175"/>
      <c r="E13" s="1175"/>
      <c r="F13" s="1175"/>
      <c r="G13" s="1175"/>
      <c r="H13" s="1176"/>
      <c r="I13" s="1185"/>
      <c r="J13" s="1185"/>
      <c r="K13" s="1185"/>
      <c r="L13" s="1185"/>
      <c r="M13" s="1185"/>
      <c r="N13" s="1185"/>
      <c r="O13" s="1185"/>
      <c r="P13" s="1185"/>
      <c r="Q13" s="1185"/>
      <c r="R13" s="1185"/>
      <c r="S13" s="1185"/>
      <c r="T13" s="1185"/>
      <c r="U13" s="1185"/>
      <c r="V13" s="1178"/>
      <c r="W13" s="1178"/>
      <c r="Y13" s="1182" t="s">
        <v>193</v>
      </c>
      <c r="Z13" s="1182"/>
      <c r="AA13" s="1178"/>
      <c r="AB13" s="1178"/>
      <c r="AC13" s="1178"/>
      <c r="AD13" s="1178"/>
      <c r="AE13" s="1178"/>
      <c r="AF13" s="1178"/>
      <c r="AG13" s="517"/>
      <c r="AH13" s="1182" t="s">
        <v>193</v>
      </c>
      <c r="AI13" s="1182"/>
      <c r="AJ13" s="1178"/>
      <c r="AK13" s="1178"/>
      <c r="AL13" s="1178"/>
      <c r="AM13" s="1178"/>
      <c r="AN13" s="1178"/>
      <c r="AO13" s="1178"/>
      <c r="AP13" s="1178"/>
      <c r="AQ13" s="1178"/>
      <c r="AR13" s="1178"/>
      <c r="AS13" s="1178"/>
      <c r="AT13" s="1178"/>
      <c r="AW13" s="518">
        <v>3</v>
      </c>
      <c r="AX13" s="1174"/>
      <c r="AY13" s="1175"/>
      <c r="AZ13" s="1175"/>
      <c r="BA13" s="1175"/>
      <c r="BB13" s="1175"/>
      <c r="BC13" s="1176"/>
      <c r="BD13" s="1185"/>
      <c r="BE13" s="1185"/>
      <c r="BF13" s="1185"/>
      <c r="BG13" s="1185"/>
      <c r="BH13" s="1185"/>
      <c r="BI13" s="1185"/>
      <c r="BJ13" s="1185"/>
      <c r="BK13" s="1185"/>
      <c r="BL13" s="1185"/>
      <c r="BM13" s="1185"/>
      <c r="BN13" s="1185"/>
      <c r="BO13" s="1185"/>
      <c r="BP13" s="1185"/>
      <c r="BQ13" s="1178"/>
      <c r="BR13" s="1178"/>
      <c r="BT13" s="1182" t="s">
        <v>193</v>
      </c>
      <c r="BU13" s="1182"/>
      <c r="BV13" s="1178"/>
      <c r="BW13" s="1178"/>
      <c r="BX13" s="1178"/>
      <c r="BY13" s="1178"/>
      <c r="BZ13" s="1178"/>
      <c r="CA13" s="1178"/>
      <c r="CB13" s="517"/>
      <c r="CC13" s="1182" t="s">
        <v>193</v>
      </c>
      <c r="CD13" s="1182"/>
      <c r="CE13" s="1178"/>
      <c r="CF13" s="1178"/>
      <c r="CG13" s="1178"/>
      <c r="CH13" s="1178"/>
      <c r="CI13" s="1178"/>
      <c r="CJ13" s="1178"/>
      <c r="CK13" s="1178"/>
      <c r="CL13" s="1178"/>
      <c r="CM13" s="1178"/>
      <c r="CN13" s="1178"/>
      <c r="CO13" s="1178"/>
      <c r="CR13" s="518">
        <v>3</v>
      </c>
      <c r="CS13" s="1174"/>
      <c r="CT13" s="1175"/>
      <c r="CU13" s="1175"/>
      <c r="CV13" s="1175"/>
      <c r="CW13" s="1175"/>
      <c r="CX13" s="1176"/>
      <c r="CY13" s="1185"/>
      <c r="CZ13" s="1185"/>
      <c r="DA13" s="1185"/>
      <c r="DB13" s="1185"/>
      <c r="DC13" s="1185"/>
      <c r="DD13" s="1185"/>
      <c r="DE13" s="1185"/>
      <c r="DF13" s="1185"/>
      <c r="DG13" s="1185"/>
      <c r="DH13" s="1185"/>
      <c r="DI13" s="1185"/>
      <c r="DJ13" s="1185"/>
      <c r="DK13" s="1185"/>
      <c r="DL13" s="1178"/>
      <c r="DM13" s="1178"/>
      <c r="DO13" s="1182" t="s">
        <v>193</v>
      </c>
      <c r="DP13" s="1182"/>
      <c r="DQ13" s="1178"/>
      <c r="DR13" s="1178"/>
      <c r="DS13" s="1178"/>
      <c r="DT13" s="1178"/>
      <c r="DU13" s="1178"/>
      <c r="DV13" s="1178"/>
      <c r="DW13" s="517"/>
      <c r="DX13" s="1182" t="s">
        <v>193</v>
      </c>
      <c r="DY13" s="1182"/>
      <c r="DZ13" s="1178"/>
      <c r="EA13" s="1178"/>
      <c r="EB13" s="1178"/>
      <c r="EC13" s="1178"/>
      <c r="ED13" s="1178"/>
      <c r="EE13" s="1178"/>
      <c r="EF13" s="1178"/>
      <c r="EG13" s="1178"/>
      <c r="EH13" s="1178"/>
      <c r="EI13" s="1178"/>
      <c r="EJ13" s="1178"/>
      <c r="EM13" s="518">
        <v>3</v>
      </c>
      <c r="EN13" s="1174"/>
      <c r="EO13" s="1175"/>
      <c r="EP13" s="1175"/>
      <c r="EQ13" s="1175"/>
      <c r="ER13" s="1175"/>
      <c r="ES13" s="1176"/>
      <c r="ET13" s="1185"/>
      <c r="EU13" s="1185"/>
      <c r="EV13" s="1185"/>
      <c r="EW13" s="1185"/>
      <c r="EX13" s="1185"/>
      <c r="EY13" s="1185"/>
      <c r="EZ13" s="1185"/>
      <c r="FA13" s="1185"/>
      <c r="FB13" s="1185"/>
      <c r="FC13" s="1185"/>
      <c r="FD13" s="1185"/>
      <c r="FE13" s="1185"/>
      <c r="FF13" s="1185"/>
      <c r="FG13" s="1178"/>
      <c r="FH13" s="1178"/>
      <c r="FJ13" s="1182" t="s">
        <v>193</v>
      </c>
      <c r="FK13" s="1182"/>
      <c r="FL13" s="1178"/>
      <c r="FM13" s="1178"/>
      <c r="FN13" s="1178"/>
      <c r="FO13" s="1178"/>
      <c r="FP13" s="1178"/>
      <c r="FQ13" s="1178"/>
      <c r="FR13" s="517"/>
      <c r="FS13" s="1182" t="s">
        <v>193</v>
      </c>
      <c r="FT13" s="1182"/>
      <c r="FU13" s="1178"/>
      <c r="FV13" s="1178"/>
      <c r="FW13" s="1178"/>
      <c r="FX13" s="1178"/>
      <c r="FY13" s="1178"/>
      <c r="FZ13" s="1178"/>
      <c r="GA13" s="1178"/>
      <c r="GB13" s="1178"/>
      <c r="GC13" s="1178"/>
      <c r="GD13" s="1178"/>
      <c r="GE13" s="1178"/>
      <c r="GH13" s="518">
        <v>3</v>
      </c>
      <c r="GI13" s="1174"/>
      <c r="GJ13" s="1175"/>
      <c r="GK13" s="1175"/>
      <c r="GL13" s="1175"/>
      <c r="GM13" s="1175"/>
      <c r="GN13" s="1176"/>
      <c r="GO13" s="1185"/>
      <c r="GP13" s="1185"/>
      <c r="GQ13" s="1185"/>
      <c r="GR13" s="1185"/>
      <c r="GS13" s="1185"/>
      <c r="GT13" s="1185"/>
      <c r="GU13" s="1185"/>
      <c r="GV13" s="1185"/>
      <c r="GW13" s="1185"/>
      <c r="GX13" s="1185"/>
      <c r="GY13" s="1185"/>
      <c r="GZ13" s="1185"/>
      <c r="HA13" s="1185"/>
      <c r="HB13" s="1178"/>
      <c r="HC13" s="1178"/>
      <c r="HE13" s="1182" t="s">
        <v>193</v>
      </c>
      <c r="HF13" s="1182"/>
      <c r="HG13" s="1178"/>
      <c r="HH13" s="1178"/>
      <c r="HI13" s="1178"/>
      <c r="HJ13" s="1178"/>
      <c r="HK13" s="1178"/>
      <c r="HL13" s="1178"/>
      <c r="HM13" s="517"/>
      <c r="HN13" s="1182" t="s">
        <v>193</v>
      </c>
      <c r="HO13" s="1182"/>
      <c r="HP13" s="1178"/>
      <c r="HQ13" s="1178"/>
      <c r="HR13" s="1178"/>
      <c r="HS13" s="1178"/>
      <c r="HT13" s="1178"/>
      <c r="HU13" s="1178"/>
      <c r="HV13" s="1178"/>
      <c r="HW13" s="1178"/>
      <c r="HX13" s="1178"/>
      <c r="HY13" s="1178"/>
      <c r="HZ13" s="1178"/>
    </row>
    <row r="14" spans="1:234" ht="17.149999999999999" customHeight="1" x14ac:dyDescent="0.25">
      <c r="B14" s="519">
        <v>4</v>
      </c>
      <c r="C14" s="1179"/>
      <c r="D14" s="1180"/>
      <c r="E14" s="1180"/>
      <c r="F14" s="1180"/>
      <c r="G14" s="1180"/>
      <c r="H14" s="1181"/>
      <c r="I14" s="1173"/>
      <c r="J14" s="1173"/>
      <c r="K14" s="1173"/>
      <c r="L14" s="1173"/>
      <c r="M14" s="1173"/>
      <c r="N14" s="1173"/>
      <c r="O14" s="1173"/>
      <c r="P14" s="1173"/>
      <c r="Q14" s="1173"/>
      <c r="R14" s="1173"/>
      <c r="S14" s="1173"/>
      <c r="T14" s="1173"/>
      <c r="U14" s="1173"/>
      <c r="V14" s="1183"/>
      <c r="W14" s="1183"/>
      <c r="Y14" s="1189" t="s">
        <v>200</v>
      </c>
      <c r="Z14" s="1189"/>
      <c r="AA14" s="1178"/>
      <c r="AB14" s="1178"/>
      <c r="AC14" s="1178"/>
      <c r="AD14" s="1178"/>
      <c r="AE14" s="1178"/>
      <c r="AF14" s="1178"/>
      <c r="AG14" s="517"/>
      <c r="AH14" s="1189" t="s">
        <v>200</v>
      </c>
      <c r="AI14" s="1189"/>
      <c r="AJ14" s="1178"/>
      <c r="AK14" s="1178"/>
      <c r="AL14" s="1178"/>
      <c r="AM14" s="1178"/>
      <c r="AN14" s="1178"/>
      <c r="AO14" s="1178"/>
      <c r="AP14" s="1178"/>
      <c r="AQ14" s="1178"/>
      <c r="AR14" s="1178"/>
      <c r="AS14" s="1178"/>
      <c r="AT14" s="1178"/>
      <c r="AW14" s="519">
        <v>4</v>
      </c>
      <c r="AX14" s="1179"/>
      <c r="AY14" s="1180"/>
      <c r="AZ14" s="1180"/>
      <c r="BA14" s="1180"/>
      <c r="BB14" s="1180"/>
      <c r="BC14" s="1181"/>
      <c r="BD14" s="1173"/>
      <c r="BE14" s="1173"/>
      <c r="BF14" s="1173"/>
      <c r="BG14" s="1173"/>
      <c r="BH14" s="1173"/>
      <c r="BI14" s="1173"/>
      <c r="BJ14" s="1173"/>
      <c r="BK14" s="1173"/>
      <c r="BL14" s="1173"/>
      <c r="BM14" s="1173"/>
      <c r="BN14" s="1173"/>
      <c r="BO14" s="1173"/>
      <c r="BP14" s="1173"/>
      <c r="BQ14" s="1183"/>
      <c r="BR14" s="1183"/>
      <c r="BT14" s="1189" t="s">
        <v>200</v>
      </c>
      <c r="BU14" s="1189"/>
      <c r="BV14" s="1178"/>
      <c r="BW14" s="1178"/>
      <c r="BX14" s="1178"/>
      <c r="BY14" s="1178"/>
      <c r="BZ14" s="1178"/>
      <c r="CA14" s="1178"/>
      <c r="CB14" s="517"/>
      <c r="CC14" s="1189" t="s">
        <v>200</v>
      </c>
      <c r="CD14" s="1189"/>
      <c r="CE14" s="1178"/>
      <c r="CF14" s="1178"/>
      <c r="CG14" s="1178"/>
      <c r="CH14" s="1178"/>
      <c r="CI14" s="1178"/>
      <c r="CJ14" s="1178"/>
      <c r="CK14" s="1178"/>
      <c r="CL14" s="1178"/>
      <c r="CM14" s="1178"/>
      <c r="CN14" s="1178"/>
      <c r="CO14" s="1178"/>
      <c r="CR14" s="519">
        <v>4</v>
      </c>
      <c r="CS14" s="1179"/>
      <c r="CT14" s="1180"/>
      <c r="CU14" s="1180"/>
      <c r="CV14" s="1180"/>
      <c r="CW14" s="1180"/>
      <c r="CX14" s="1181"/>
      <c r="CY14" s="1173"/>
      <c r="CZ14" s="1173"/>
      <c r="DA14" s="1173"/>
      <c r="DB14" s="1173"/>
      <c r="DC14" s="1173"/>
      <c r="DD14" s="1173"/>
      <c r="DE14" s="1173"/>
      <c r="DF14" s="1173"/>
      <c r="DG14" s="1173"/>
      <c r="DH14" s="1173"/>
      <c r="DI14" s="1173"/>
      <c r="DJ14" s="1173"/>
      <c r="DK14" s="1173"/>
      <c r="DL14" s="1183"/>
      <c r="DM14" s="1183"/>
      <c r="DO14" s="1189" t="s">
        <v>200</v>
      </c>
      <c r="DP14" s="1189"/>
      <c r="DQ14" s="1178"/>
      <c r="DR14" s="1178"/>
      <c r="DS14" s="1178"/>
      <c r="DT14" s="1178"/>
      <c r="DU14" s="1178"/>
      <c r="DV14" s="1178"/>
      <c r="DW14" s="517"/>
      <c r="DX14" s="1189" t="s">
        <v>200</v>
      </c>
      <c r="DY14" s="1189"/>
      <c r="DZ14" s="1178"/>
      <c r="EA14" s="1178"/>
      <c r="EB14" s="1178"/>
      <c r="EC14" s="1178"/>
      <c r="ED14" s="1178"/>
      <c r="EE14" s="1178"/>
      <c r="EF14" s="1178"/>
      <c r="EG14" s="1178"/>
      <c r="EH14" s="1178"/>
      <c r="EI14" s="1178"/>
      <c r="EJ14" s="1178"/>
      <c r="EM14" s="519">
        <v>4</v>
      </c>
      <c r="EN14" s="1179"/>
      <c r="EO14" s="1180"/>
      <c r="EP14" s="1180"/>
      <c r="EQ14" s="1180"/>
      <c r="ER14" s="1180"/>
      <c r="ES14" s="1181"/>
      <c r="ET14" s="1173"/>
      <c r="EU14" s="1173"/>
      <c r="EV14" s="1173"/>
      <c r="EW14" s="1173"/>
      <c r="EX14" s="1173"/>
      <c r="EY14" s="1173"/>
      <c r="EZ14" s="1173"/>
      <c r="FA14" s="1173"/>
      <c r="FB14" s="1173"/>
      <c r="FC14" s="1173"/>
      <c r="FD14" s="1173"/>
      <c r="FE14" s="1173"/>
      <c r="FF14" s="1173"/>
      <c r="FG14" s="1183"/>
      <c r="FH14" s="1183"/>
      <c r="FJ14" s="1189" t="s">
        <v>200</v>
      </c>
      <c r="FK14" s="1189"/>
      <c r="FL14" s="1178"/>
      <c r="FM14" s="1178"/>
      <c r="FN14" s="1178"/>
      <c r="FO14" s="1178"/>
      <c r="FP14" s="1178"/>
      <c r="FQ14" s="1178"/>
      <c r="FR14" s="517"/>
      <c r="FS14" s="1189" t="s">
        <v>200</v>
      </c>
      <c r="FT14" s="1189"/>
      <c r="FU14" s="1178"/>
      <c r="FV14" s="1178"/>
      <c r="FW14" s="1178"/>
      <c r="FX14" s="1178"/>
      <c r="FY14" s="1178"/>
      <c r="FZ14" s="1178"/>
      <c r="GA14" s="1178"/>
      <c r="GB14" s="1178"/>
      <c r="GC14" s="1178"/>
      <c r="GD14" s="1178"/>
      <c r="GE14" s="1178"/>
      <c r="GH14" s="519">
        <v>4</v>
      </c>
      <c r="GI14" s="1179"/>
      <c r="GJ14" s="1180"/>
      <c r="GK14" s="1180"/>
      <c r="GL14" s="1180"/>
      <c r="GM14" s="1180"/>
      <c r="GN14" s="1181"/>
      <c r="GO14" s="1173"/>
      <c r="GP14" s="1173"/>
      <c r="GQ14" s="1173"/>
      <c r="GR14" s="1173"/>
      <c r="GS14" s="1173"/>
      <c r="GT14" s="1173"/>
      <c r="GU14" s="1173"/>
      <c r="GV14" s="1173"/>
      <c r="GW14" s="1173"/>
      <c r="GX14" s="1173"/>
      <c r="GY14" s="1173"/>
      <c r="GZ14" s="1173"/>
      <c r="HA14" s="1173"/>
      <c r="HB14" s="1183"/>
      <c r="HC14" s="1183"/>
      <c r="HE14" s="1189" t="s">
        <v>200</v>
      </c>
      <c r="HF14" s="1189"/>
      <c r="HG14" s="1178"/>
      <c r="HH14" s="1178"/>
      <c r="HI14" s="1178"/>
      <c r="HJ14" s="1178"/>
      <c r="HK14" s="1178"/>
      <c r="HL14" s="1178"/>
      <c r="HM14" s="517"/>
      <c r="HN14" s="1189" t="s">
        <v>200</v>
      </c>
      <c r="HO14" s="1189"/>
      <c r="HP14" s="1178"/>
      <c r="HQ14" s="1178"/>
      <c r="HR14" s="1178"/>
      <c r="HS14" s="1178"/>
      <c r="HT14" s="1178"/>
      <c r="HU14" s="1178"/>
      <c r="HV14" s="1178"/>
      <c r="HW14" s="1178"/>
      <c r="HX14" s="1178"/>
      <c r="HY14" s="1178"/>
      <c r="HZ14" s="1178"/>
    </row>
    <row r="15" spans="1:234" ht="17.149999999999999" customHeight="1" x14ac:dyDescent="0.25">
      <c r="B15" s="518">
        <v>5</v>
      </c>
      <c r="C15" s="1174"/>
      <c r="D15" s="1175"/>
      <c r="E15" s="1175"/>
      <c r="F15" s="1175"/>
      <c r="G15" s="1175"/>
      <c r="H15" s="1176"/>
      <c r="I15" s="1185"/>
      <c r="J15" s="1185"/>
      <c r="K15" s="1185"/>
      <c r="L15" s="1185"/>
      <c r="M15" s="1185"/>
      <c r="N15" s="1185"/>
      <c r="O15" s="1185"/>
      <c r="P15" s="1185"/>
      <c r="Q15" s="1185"/>
      <c r="R15" s="1185"/>
      <c r="S15" s="1185"/>
      <c r="T15" s="1185"/>
      <c r="U15" s="1185"/>
      <c r="V15" s="1178"/>
      <c r="W15" s="1178"/>
      <c r="Y15" s="1172" t="s">
        <v>202</v>
      </c>
      <c r="Z15" s="1172"/>
      <c r="AA15" s="1178"/>
      <c r="AB15" s="1178"/>
      <c r="AC15" s="1178"/>
      <c r="AD15" s="1178"/>
      <c r="AE15" s="1178"/>
      <c r="AF15" s="1178"/>
      <c r="AG15" s="517"/>
      <c r="AH15" s="1172" t="s">
        <v>202</v>
      </c>
      <c r="AI15" s="1172"/>
      <c r="AJ15" s="1178"/>
      <c r="AK15" s="1178"/>
      <c r="AL15" s="1178"/>
      <c r="AM15" s="1178"/>
      <c r="AN15" s="1178"/>
      <c r="AO15" s="1178"/>
      <c r="AP15" s="1178"/>
      <c r="AQ15" s="1178"/>
      <c r="AR15" s="1178"/>
      <c r="AS15" s="1178"/>
      <c r="AT15" s="1178"/>
      <c r="AW15" s="518">
        <v>5</v>
      </c>
      <c r="AX15" s="1174"/>
      <c r="AY15" s="1175"/>
      <c r="AZ15" s="1175"/>
      <c r="BA15" s="1175"/>
      <c r="BB15" s="1175"/>
      <c r="BC15" s="1176"/>
      <c r="BD15" s="1185"/>
      <c r="BE15" s="1185"/>
      <c r="BF15" s="1185"/>
      <c r="BG15" s="1185"/>
      <c r="BH15" s="1185"/>
      <c r="BI15" s="1185"/>
      <c r="BJ15" s="1185"/>
      <c r="BK15" s="1185"/>
      <c r="BL15" s="1185"/>
      <c r="BM15" s="1185"/>
      <c r="BN15" s="1185"/>
      <c r="BO15" s="1185"/>
      <c r="BP15" s="1185"/>
      <c r="BQ15" s="1178"/>
      <c r="BR15" s="1178"/>
      <c r="BT15" s="1172" t="s">
        <v>202</v>
      </c>
      <c r="BU15" s="1172"/>
      <c r="BV15" s="1178"/>
      <c r="BW15" s="1178"/>
      <c r="BX15" s="1178"/>
      <c r="BY15" s="1178"/>
      <c r="BZ15" s="1178"/>
      <c r="CA15" s="1178"/>
      <c r="CB15" s="517"/>
      <c r="CC15" s="1172" t="s">
        <v>202</v>
      </c>
      <c r="CD15" s="1172"/>
      <c r="CE15" s="1178"/>
      <c r="CF15" s="1178"/>
      <c r="CG15" s="1178"/>
      <c r="CH15" s="1178"/>
      <c r="CI15" s="1178"/>
      <c r="CJ15" s="1178"/>
      <c r="CK15" s="1178"/>
      <c r="CL15" s="1178"/>
      <c r="CM15" s="1178"/>
      <c r="CN15" s="1178"/>
      <c r="CO15" s="1178"/>
      <c r="CR15" s="518">
        <v>5</v>
      </c>
      <c r="CS15" s="1174"/>
      <c r="CT15" s="1175"/>
      <c r="CU15" s="1175"/>
      <c r="CV15" s="1175"/>
      <c r="CW15" s="1175"/>
      <c r="CX15" s="1176"/>
      <c r="CY15" s="1185"/>
      <c r="CZ15" s="1185"/>
      <c r="DA15" s="1185"/>
      <c r="DB15" s="1185"/>
      <c r="DC15" s="1185"/>
      <c r="DD15" s="1185"/>
      <c r="DE15" s="1185"/>
      <c r="DF15" s="1185"/>
      <c r="DG15" s="1185"/>
      <c r="DH15" s="1185"/>
      <c r="DI15" s="1185"/>
      <c r="DJ15" s="1185"/>
      <c r="DK15" s="1185"/>
      <c r="DL15" s="1178"/>
      <c r="DM15" s="1178"/>
      <c r="DO15" s="1172" t="s">
        <v>202</v>
      </c>
      <c r="DP15" s="1172"/>
      <c r="DQ15" s="1178"/>
      <c r="DR15" s="1178"/>
      <c r="DS15" s="1178"/>
      <c r="DT15" s="1178"/>
      <c r="DU15" s="1178"/>
      <c r="DV15" s="1178"/>
      <c r="DW15" s="517"/>
      <c r="DX15" s="1172" t="s">
        <v>202</v>
      </c>
      <c r="DY15" s="1172"/>
      <c r="DZ15" s="1178"/>
      <c r="EA15" s="1178"/>
      <c r="EB15" s="1178"/>
      <c r="EC15" s="1178"/>
      <c r="ED15" s="1178"/>
      <c r="EE15" s="1178"/>
      <c r="EF15" s="1178"/>
      <c r="EG15" s="1178"/>
      <c r="EH15" s="1178"/>
      <c r="EI15" s="1178"/>
      <c r="EJ15" s="1178"/>
      <c r="EM15" s="518">
        <v>5</v>
      </c>
      <c r="EN15" s="1174"/>
      <c r="EO15" s="1175"/>
      <c r="EP15" s="1175"/>
      <c r="EQ15" s="1175"/>
      <c r="ER15" s="1175"/>
      <c r="ES15" s="1176"/>
      <c r="ET15" s="1185"/>
      <c r="EU15" s="1185"/>
      <c r="EV15" s="1185"/>
      <c r="EW15" s="1185"/>
      <c r="EX15" s="1185"/>
      <c r="EY15" s="1185"/>
      <c r="EZ15" s="1185"/>
      <c r="FA15" s="1185"/>
      <c r="FB15" s="1185"/>
      <c r="FC15" s="1185"/>
      <c r="FD15" s="1185"/>
      <c r="FE15" s="1185"/>
      <c r="FF15" s="1185"/>
      <c r="FG15" s="1178"/>
      <c r="FH15" s="1178"/>
      <c r="FJ15" s="1172" t="s">
        <v>202</v>
      </c>
      <c r="FK15" s="1172"/>
      <c r="FL15" s="1178"/>
      <c r="FM15" s="1178"/>
      <c r="FN15" s="1178"/>
      <c r="FO15" s="1178"/>
      <c r="FP15" s="1178"/>
      <c r="FQ15" s="1178"/>
      <c r="FR15" s="517"/>
      <c r="FS15" s="1172" t="s">
        <v>202</v>
      </c>
      <c r="FT15" s="1172"/>
      <c r="FU15" s="1178"/>
      <c r="FV15" s="1178"/>
      <c r="FW15" s="1178"/>
      <c r="FX15" s="1178"/>
      <c r="FY15" s="1178"/>
      <c r="FZ15" s="1178"/>
      <c r="GA15" s="1178"/>
      <c r="GB15" s="1178"/>
      <c r="GC15" s="1178"/>
      <c r="GD15" s="1178"/>
      <c r="GE15" s="1178"/>
      <c r="GH15" s="518">
        <v>5</v>
      </c>
      <c r="GI15" s="1174"/>
      <c r="GJ15" s="1175"/>
      <c r="GK15" s="1175"/>
      <c r="GL15" s="1175"/>
      <c r="GM15" s="1175"/>
      <c r="GN15" s="1176"/>
      <c r="GO15" s="1185"/>
      <c r="GP15" s="1185"/>
      <c r="GQ15" s="1185"/>
      <c r="GR15" s="1185"/>
      <c r="GS15" s="1185"/>
      <c r="GT15" s="1185"/>
      <c r="GU15" s="1185"/>
      <c r="GV15" s="1185"/>
      <c r="GW15" s="1185"/>
      <c r="GX15" s="1185"/>
      <c r="GY15" s="1185"/>
      <c r="GZ15" s="1185"/>
      <c r="HA15" s="1185"/>
      <c r="HB15" s="1178"/>
      <c r="HC15" s="1178"/>
      <c r="HE15" s="1172" t="s">
        <v>202</v>
      </c>
      <c r="HF15" s="1172"/>
      <c r="HG15" s="1178"/>
      <c r="HH15" s="1178"/>
      <c r="HI15" s="1178"/>
      <c r="HJ15" s="1178"/>
      <c r="HK15" s="1178"/>
      <c r="HL15" s="1178"/>
      <c r="HM15" s="517"/>
      <c r="HN15" s="1172" t="s">
        <v>202</v>
      </c>
      <c r="HO15" s="1172"/>
      <c r="HP15" s="1178"/>
      <c r="HQ15" s="1178"/>
      <c r="HR15" s="1178"/>
      <c r="HS15" s="1178"/>
      <c r="HT15" s="1178"/>
      <c r="HU15" s="1178"/>
      <c r="HV15" s="1178"/>
      <c r="HW15" s="1178"/>
      <c r="HX15" s="1178"/>
      <c r="HY15" s="1178"/>
      <c r="HZ15" s="1178"/>
    </row>
    <row r="16" spans="1:234" ht="17.149999999999999" customHeight="1" x14ac:dyDescent="0.25">
      <c r="B16" s="519">
        <v>6</v>
      </c>
      <c r="C16" s="1179"/>
      <c r="D16" s="1180"/>
      <c r="E16" s="1180"/>
      <c r="F16" s="1180"/>
      <c r="G16" s="1180"/>
      <c r="H16" s="1181"/>
      <c r="I16" s="1173"/>
      <c r="J16" s="1173"/>
      <c r="K16" s="1173"/>
      <c r="L16" s="1173"/>
      <c r="M16" s="1173"/>
      <c r="N16" s="1173"/>
      <c r="O16" s="1173"/>
      <c r="P16" s="1173"/>
      <c r="Q16" s="1173"/>
      <c r="R16" s="1173"/>
      <c r="S16" s="1173"/>
      <c r="T16" s="1173"/>
      <c r="U16" s="1173"/>
      <c r="V16" s="1183"/>
      <c r="W16" s="1183"/>
      <c r="Y16" s="517"/>
      <c r="Z16" s="517"/>
      <c r="AA16" s="517"/>
      <c r="AB16" s="517"/>
      <c r="AC16" s="517"/>
      <c r="AD16" s="517"/>
      <c r="AE16" s="517"/>
      <c r="AF16" s="517"/>
      <c r="AG16" s="517"/>
      <c r="AH16" s="517"/>
      <c r="AI16" s="517"/>
      <c r="AJ16" s="517"/>
      <c r="AK16" s="517"/>
      <c r="AL16" s="517"/>
      <c r="AM16" s="517"/>
      <c r="AN16" s="517"/>
      <c r="AO16" s="517"/>
      <c r="AW16" s="519">
        <v>6</v>
      </c>
      <c r="AX16" s="1179"/>
      <c r="AY16" s="1180"/>
      <c r="AZ16" s="1180"/>
      <c r="BA16" s="1180"/>
      <c r="BB16" s="1180"/>
      <c r="BC16" s="1181"/>
      <c r="BD16" s="1173"/>
      <c r="BE16" s="1173"/>
      <c r="BF16" s="1173"/>
      <c r="BG16" s="1173"/>
      <c r="BH16" s="1173"/>
      <c r="BI16" s="1173"/>
      <c r="BJ16" s="1173"/>
      <c r="BK16" s="1173"/>
      <c r="BL16" s="1173"/>
      <c r="BM16" s="1173"/>
      <c r="BN16" s="1173"/>
      <c r="BO16" s="1173"/>
      <c r="BP16" s="1173"/>
      <c r="BQ16" s="1183"/>
      <c r="BR16" s="1183"/>
      <c r="BT16" s="517"/>
      <c r="BU16" s="517"/>
      <c r="BV16" s="517"/>
      <c r="BW16" s="517"/>
      <c r="BX16" s="517"/>
      <c r="BY16" s="517"/>
      <c r="BZ16" s="517"/>
      <c r="CA16" s="517"/>
      <c r="CB16" s="517"/>
      <c r="CC16" s="517"/>
      <c r="CD16" s="517"/>
      <c r="CE16" s="517"/>
      <c r="CF16" s="517"/>
      <c r="CG16" s="517"/>
      <c r="CH16" s="517"/>
      <c r="CI16" s="517"/>
      <c r="CJ16" s="517"/>
      <c r="CR16" s="519">
        <v>6</v>
      </c>
      <c r="CS16" s="1179"/>
      <c r="CT16" s="1180"/>
      <c r="CU16" s="1180"/>
      <c r="CV16" s="1180"/>
      <c r="CW16" s="1180"/>
      <c r="CX16" s="1181"/>
      <c r="CY16" s="1173"/>
      <c r="CZ16" s="1173"/>
      <c r="DA16" s="1173"/>
      <c r="DB16" s="1173"/>
      <c r="DC16" s="1173"/>
      <c r="DD16" s="1173"/>
      <c r="DE16" s="1173"/>
      <c r="DF16" s="1173"/>
      <c r="DG16" s="1173"/>
      <c r="DH16" s="1173"/>
      <c r="DI16" s="1173"/>
      <c r="DJ16" s="1173"/>
      <c r="DK16" s="1173"/>
      <c r="DL16" s="1183"/>
      <c r="DM16" s="1183"/>
      <c r="DO16" s="517"/>
      <c r="DP16" s="517"/>
      <c r="DQ16" s="517"/>
      <c r="DR16" s="517"/>
      <c r="DS16" s="517"/>
      <c r="DT16" s="517"/>
      <c r="DU16" s="517"/>
      <c r="DV16" s="517"/>
      <c r="DW16" s="517"/>
      <c r="DX16" s="517"/>
      <c r="DY16" s="517"/>
      <c r="DZ16" s="517"/>
      <c r="EA16" s="517"/>
      <c r="EB16" s="517"/>
      <c r="EC16" s="517"/>
      <c r="ED16" s="517"/>
      <c r="EE16" s="517"/>
      <c r="EM16" s="519">
        <v>6</v>
      </c>
      <c r="EN16" s="1179"/>
      <c r="EO16" s="1180"/>
      <c r="EP16" s="1180"/>
      <c r="EQ16" s="1180"/>
      <c r="ER16" s="1180"/>
      <c r="ES16" s="1181"/>
      <c r="ET16" s="1173"/>
      <c r="EU16" s="1173"/>
      <c r="EV16" s="1173"/>
      <c r="EW16" s="1173"/>
      <c r="EX16" s="1173"/>
      <c r="EY16" s="1173"/>
      <c r="EZ16" s="1173"/>
      <c r="FA16" s="1173"/>
      <c r="FB16" s="1173"/>
      <c r="FC16" s="1173"/>
      <c r="FD16" s="1173"/>
      <c r="FE16" s="1173"/>
      <c r="FF16" s="1173"/>
      <c r="FG16" s="1183"/>
      <c r="FH16" s="1183"/>
      <c r="FJ16" s="517"/>
      <c r="FK16" s="517"/>
      <c r="FL16" s="517"/>
      <c r="FM16" s="517"/>
      <c r="FN16" s="517"/>
      <c r="FO16" s="517"/>
      <c r="FP16" s="517"/>
      <c r="FQ16" s="517"/>
      <c r="FR16" s="517"/>
      <c r="FS16" s="517"/>
      <c r="FT16" s="517"/>
      <c r="FU16" s="517"/>
      <c r="FV16" s="517"/>
      <c r="FW16" s="517"/>
      <c r="FX16" s="517"/>
      <c r="FY16" s="517"/>
      <c r="FZ16" s="517"/>
      <c r="GH16" s="519">
        <v>6</v>
      </c>
      <c r="GI16" s="1179"/>
      <c r="GJ16" s="1180"/>
      <c r="GK16" s="1180"/>
      <c r="GL16" s="1180"/>
      <c r="GM16" s="1180"/>
      <c r="GN16" s="1181"/>
      <c r="GO16" s="1173"/>
      <c r="GP16" s="1173"/>
      <c r="GQ16" s="1173"/>
      <c r="GR16" s="1173"/>
      <c r="GS16" s="1173"/>
      <c r="GT16" s="1173"/>
      <c r="GU16" s="1173"/>
      <c r="GV16" s="1173"/>
      <c r="GW16" s="1173"/>
      <c r="GX16" s="1173"/>
      <c r="GY16" s="1173"/>
      <c r="GZ16" s="1173"/>
      <c r="HA16" s="1173"/>
      <c r="HB16" s="1183"/>
      <c r="HC16" s="1183"/>
      <c r="HE16" s="517"/>
      <c r="HF16" s="517"/>
      <c r="HG16" s="517"/>
      <c r="HH16" s="517"/>
      <c r="HI16" s="517"/>
      <c r="HJ16" s="517"/>
      <c r="HK16" s="517"/>
      <c r="HL16" s="517"/>
      <c r="HM16" s="517"/>
      <c r="HN16" s="517"/>
      <c r="HO16" s="517"/>
      <c r="HP16" s="517"/>
      <c r="HQ16" s="517"/>
      <c r="HR16" s="517"/>
      <c r="HS16" s="517"/>
      <c r="HT16" s="517"/>
      <c r="HU16" s="517"/>
    </row>
    <row r="17" spans="2:234" ht="17.149999999999999" customHeight="1" x14ac:dyDescent="0.25">
      <c r="B17" s="518">
        <v>7</v>
      </c>
      <c r="C17" s="1174"/>
      <c r="D17" s="1175"/>
      <c r="E17" s="1175"/>
      <c r="F17" s="1175"/>
      <c r="G17" s="1175"/>
      <c r="H17" s="1176"/>
      <c r="I17" s="1185"/>
      <c r="J17" s="1185"/>
      <c r="K17" s="1185"/>
      <c r="L17" s="1185"/>
      <c r="M17" s="1185"/>
      <c r="N17" s="1185"/>
      <c r="O17" s="1185"/>
      <c r="P17" s="1185"/>
      <c r="Q17" s="1185"/>
      <c r="R17" s="1185"/>
      <c r="S17" s="1185"/>
      <c r="T17" s="1185"/>
      <c r="U17" s="1185"/>
      <c r="V17" s="1178"/>
      <c r="W17" s="1178"/>
      <c r="Y17" s="1184" t="str">
        <f>IF(C3="","",C3&amp;"的武器架")</f>
        <v/>
      </c>
      <c r="Z17" s="1184"/>
      <c r="AA17" s="1184"/>
      <c r="AB17" s="1184"/>
      <c r="AC17" s="1184"/>
      <c r="AD17" s="1184"/>
      <c r="AE17" s="1184"/>
      <c r="AF17" s="1184"/>
      <c r="AG17" s="1184"/>
      <c r="AH17" s="1184"/>
      <c r="AI17" s="1184"/>
      <c r="AJ17" s="1184"/>
      <c r="AK17" s="1184"/>
      <c r="AL17" s="1184"/>
      <c r="AM17" s="1184"/>
      <c r="AN17" s="1184"/>
      <c r="AO17" s="1184"/>
      <c r="AP17" s="1184"/>
      <c r="AQ17" s="1184"/>
      <c r="AR17" s="1184"/>
      <c r="AS17" s="1184"/>
      <c r="AT17" s="1184"/>
      <c r="AW17" s="518">
        <v>7</v>
      </c>
      <c r="AX17" s="1174"/>
      <c r="AY17" s="1175"/>
      <c r="AZ17" s="1175"/>
      <c r="BA17" s="1175"/>
      <c r="BB17" s="1175"/>
      <c r="BC17" s="1176"/>
      <c r="BD17" s="1185"/>
      <c r="BE17" s="1185"/>
      <c r="BF17" s="1185"/>
      <c r="BG17" s="1185"/>
      <c r="BH17" s="1185"/>
      <c r="BI17" s="1185"/>
      <c r="BJ17" s="1185"/>
      <c r="BK17" s="1185"/>
      <c r="BL17" s="1185"/>
      <c r="BM17" s="1185"/>
      <c r="BN17" s="1185"/>
      <c r="BO17" s="1185"/>
      <c r="BP17" s="1185"/>
      <c r="BQ17" s="1178"/>
      <c r="BR17" s="1178"/>
      <c r="BT17" s="1184" t="str">
        <f>IF(C4="","",C4&amp;"的武器架")</f>
        <v/>
      </c>
      <c r="BU17" s="1184"/>
      <c r="BV17" s="1184"/>
      <c r="BW17" s="1184"/>
      <c r="BX17" s="1184"/>
      <c r="BY17" s="1184"/>
      <c r="BZ17" s="1184"/>
      <c r="CA17" s="1184"/>
      <c r="CB17" s="1184"/>
      <c r="CC17" s="1184"/>
      <c r="CD17" s="1184"/>
      <c r="CE17" s="1184"/>
      <c r="CF17" s="1184"/>
      <c r="CG17" s="1184"/>
      <c r="CH17" s="1184"/>
      <c r="CI17" s="1184"/>
      <c r="CJ17" s="1184"/>
      <c r="CK17" s="1184"/>
      <c r="CL17" s="1184"/>
      <c r="CM17" s="1184"/>
      <c r="CN17" s="1184"/>
      <c r="CO17" s="1184"/>
      <c r="CR17" s="518">
        <v>7</v>
      </c>
      <c r="CS17" s="1174"/>
      <c r="CT17" s="1175"/>
      <c r="CU17" s="1175"/>
      <c r="CV17" s="1175"/>
      <c r="CW17" s="1175"/>
      <c r="CX17" s="1176"/>
      <c r="CY17" s="1185"/>
      <c r="CZ17" s="1185"/>
      <c r="DA17" s="1185"/>
      <c r="DB17" s="1185"/>
      <c r="DC17" s="1185"/>
      <c r="DD17" s="1185"/>
      <c r="DE17" s="1185"/>
      <c r="DF17" s="1185"/>
      <c r="DG17" s="1185"/>
      <c r="DH17" s="1185"/>
      <c r="DI17" s="1185"/>
      <c r="DJ17" s="1185"/>
      <c r="DK17" s="1185"/>
      <c r="DL17" s="1178"/>
      <c r="DM17" s="1178"/>
      <c r="DO17" s="1184" t="str">
        <f>IF(C5="","",C5&amp;"的武器架")</f>
        <v/>
      </c>
      <c r="DP17" s="1184"/>
      <c r="DQ17" s="1184"/>
      <c r="DR17" s="1184"/>
      <c r="DS17" s="1184"/>
      <c r="DT17" s="1184"/>
      <c r="DU17" s="1184"/>
      <c r="DV17" s="1184"/>
      <c r="DW17" s="1184"/>
      <c r="DX17" s="1184"/>
      <c r="DY17" s="1184"/>
      <c r="DZ17" s="1184"/>
      <c r="EA17" s="1184"/>
      <c r="EB17" s="1184"/>
      <c r="EC17" s="1184"/>
      <c r="ED17" s="1184"/>
      <c r="EE17" s="1184"/>
      <c r="EF17" s="1184"/>
      <c r="EG17" s="1184"/>
      <c r="EH17" s="1184"/>
      <c r="EI17" s="1184"/>
      <c r="EJ17" s="1184"/>
      <c r="EM17" s="518">
        <v>7</v>
      </c>
      <c r="EN17" s="1174"/>
      <c r="EO17" s="1175"/>
      <c r="EP17" s="1175"/>
      <c r="EQ17" s="1175"/>
      <c r="ER17" s="1175"/>
      <c r="ES17" s="1176"/>
      <c r="ET17" s="1185"/>
      <c r="EU17" s="1185"/>
      <c r="EV17" s="1185"/>
      <c r="EW17" s="1185"/>
      <c r="EX17" s="1185"/>
      <c r="EY17" s="1185"/>
      <c r="EZ17" s="1185"/>
      <c r="FA17" s="1185"/>
      <c r="FB17" s="1185"/>
      <c r="FC17" s="1185"/>
      <c r="FD17" s="1185"/>
      <c r="FE17" s="1185"/>
      <c r="FF17" s="1185"/>
      <c r="FG17" s="1178"/>
      <c r="FH17" s="1178"/>
      <c r="FJ17" s="1184" t="str">
        <f>IF(C6="","",C6&amp;"的武器架")</f>
        <v/>
      </c>
      <c r="FK17" s="1184"/>
      <c r="FL17" s="1184"/>
      <c r="FM17" s="1184"/>
      <c r="FN17" s="1184"/>
      <c r="FO17" s="1184"/>
      <c r="FP17" s="1184"/>
      <c r="FQ17" s="1184"/>
      <c r="FR17" s="1184"/>
      <c r="FS17" s="1184"/>
      <c r="FT17" s="1184"/>
      <c r="FU17" s="1184"/>
      <c r="FV17" s="1184"/>
      <c r="FW17" s="1184"/>
      <c r="FX17" s="1184"/>
      <c r="FY17" s="1184"/>
      <c r="FZ17" s="1184"/>
      <c r="GA17" s="1184"/>
      <c r="GB17" s="1184"/>
      <c r="GC17" s="1184"/>
      <c r="GD17" s="1184"/>
      <c r="GE17" s="1184"/>
      <c r="GH17" s="518">
        <v>7</v>
      </c>
      <c r="GI17" s="1174"/>
      <c r="GJ17" s="1175"/>
      <c r="GK17" s="1175"/>
      <c r="GL17" s="1175"/>
      <c r="GM17" s="1175"/>
      <c r="GN17" s="1176"/>
      <c r="GO17" s="1185"/>
      <c r="GP17" s="1185"/>
      <c r="GQ17" s="1185"/>
      <c r="GR17" s="1185"/>
      <c r="GS17" s="1185"/>
      <c r="GT17" s="1185"/>
      <c r="GU17" s="1185"/>
      <c r="GV17" s="1185"/>
      <c r="GW17" s="1185"/>
      <c r="GX17" s="1185"/>
      <c r="GY17" s="1185"/>
      <c r="GZ17" s="1185"/>
      <c r="HA17" s="1185"/>
      <c r="HB17" s="1178"/>
      <c r="HC17" s="1178"/>
      <c r="HE17" s="1184" t="str">
        <f>IF(C7="","",C7&amp;"的武器架")</f>
        <v/>
      </c>
      <c r="HF17" s="1184"/>
      <c r="HG17" s="1184"/>
      <c r="HH17" s="1184"/>
      <c r="HI17" s="1184"/>
      <c r="HJ17" s="1184"/>
      <c r="HK17" s="1184"/>
      <c r="HL17" s="1184"/>
      <c r="HM17" s="1184"/>
      <c r="HN17" s="1184"/>
      <c r="HO17" s="1184"/>
      <c r="HP17" s="1184"/>
      <c r="HQ17" s="1184"/>
      <c r="HR17" s="1184"/>
      <c r="HS17" s="1184"/>
      <c r="HT17" s="1184"/>
      <c r="HU17" s="1184"/>
      <c r="HV17" s="1184"/>
      <c r="HW17" s="1184"/>
      <c r="HX17" s="1184"/>
      <c r="HY17" s="1184"/>
      <c r="HZ17" s="1184"/>
    </row>
    <row r="18" spans="2:234" ht="17.149999999999999" customHeight="1" x14ac:dyDescent="0.3">
      <c r="B18" s="519">
        <v>8</v>
      </c>
      <c r="C18" s="1179"/>
      <c r="D18" s="1180"/>
      <c r="E18" s="1180"/>
      <c r="F18" s="1180"/>
      <c r="G18" s="1180"/>
      <c r="H18" s="1181"/>
      <c r="I18" s="1173"/>
      <c r="J18" s="1173"/>
      <c r="K18" s="1173"/>
      <c r="L18" s="1173"/>
      <c r="M18" s="1173"/>
      <c r="N18" s="1173"/>
      <c r="O18" s="1173"/>
      <c r="P18" s="1173"/>
      <c r="Q18" s="1173"/>
      <c r="R18" s="1173"/>
      <c r="S18" s="1173"/>
      <c r="T18" s="1173"/>
      <c r="U18" s="1173"/>
      <c r="V18" s="1183"/>
      <c r="W18" s="1183"/>
      <c r="Y18" s="517"/>
      <c r="Z18" s="710" t="s">
        <v>109</v>
      </c>
      <c r="AA18" s="710"/>
      <c r="AB18" s="710"/>
      <c r="AC18" s="710"/>
      <c r="AD18" s="710"/>
      <c r="AE18" s="710"/>
      <c r="AF18" s="710" t="s">
        <v>169</v>
      </c>
      <c r="AG18" s="710"/>
      <c r="AH18" s="710"/>
      <c r="AI18" s="710"/>
      <c r="AJ18" s="710"/>
      <c r="AK18" s="710"/>
      <c r="AL18" s="710"/>
      <c r="AM18" s="710"/>
      <c r="AN18" s="710"/>
      <c r="AO18" s="710"/>
      <c r="AP18" s="710"/>
      <c r="AQ18" s="710"/>
      <c r="AR18" s="710"/>
      <c r="AS18" s="710" t="s">
        <v>166</v>
      </c>
      <c r="AT18" s="710"/>
      <c r="AW18" s="519">
        <v>8</v>
      </c>
      <c r="AX18" s="1179"/>
      <c r="AY18" s="1180"/>
      <c r="AZ18" s="1180"/>
      <c r="BA18" s="1180"/>
      <c r="BB18" s="1180"/>
      <c r="BC18" s="1181"/>
      <c r="BD18" s="1173"/>
      <c r="BE18" s="1173"/>
      <c r="BF18" s="1173"/>
      <c r="BG18" s="1173"/>
      <c r="BH18" s="1173"/>
      <c r="BI18" s="1173"/>
      <c r="BJ18" s="1173"/>
      <c r="BK18" s="1173"/>
      <c r="BL18" s="1173"/>
      <c r="BM18" s="1173"/>
      <c r="BN18" s="1173"/>
      <c r="BO18" s="1173"/>
      <c r="BP18" s="1173"/>
      <c r="BQ18" s="1183"/>
      <c r="BR18" s="1183"/>
      <c r="BT18" s="517"/>
      <c r="BU18" s="710" t="s">
        <v>109</v>
      </c>
      <c r="BV18" s="710"/>
      <c r="BW18" s="710"/>
      <c r="BX18" s="710"/>
      <c r="BY18" s="710"/>
      <c r="BZ18" s="710"/>
      <c r="CA18" s="710" t="s">
        <v>169</v>
      </c>
      <c r="CB18" s="710"/>
      <c r="CC18" s="710"/>
      <c r="CD18" s="710"/>
      <c r="CE18" s="710"/>
      <c r="CF18" s="710"/>
      <c r="CG18" s="710"/>
      <c r="CH18" s="710"/>
      <c r="CI18" s="710"/>
      <c r="CJ18" s="710"/>
      <c r="CK18" s="710"/>
      <c r="CL18" s="710"/>
      <c r="CM18" s="710"/>
      <c r="CN18" s="710" t="s">
        <v>166</v>
      </c>
      <c r="CO18" s="710"/>
      <c r="CR18" s="519">
        <v>8</v>
      </c>
      <c r="CS18" s="1179"/>
      <c r="CT18" s="1180"/>
      <c r="CU18" s="1180"/>
      <c r="CV18" s="1180"/>
      <c r="CW18" s="1180"/>
      <c r="CX18" s="1181"/>
      <c r="CY18" s="1173"/>
      <c r="CZ18" s="1173"/>
      <c r="DA18" s="1173"/>
      <c r="DB18" s="1173"/>
      <c r="DC18" s="1173"/>
      <c r="DD18" s="1173"/>
      <c r="DE18" s="1173"/>
      <c r="DF18" s="1173"/>
      <c r="DG18" s="1173"/>
      <c r="DH18" s="1173"/>
      <c r="DI18" s="1173"/>
      <c r="DJ18" s="1173"/>
      <c r="DK18" s="1173"/>
      <c r="DL18" s="1183"/>
      <c r="DM18" s="1183"/>
      <c r="DO18" s="517"/>
      <c r="DP18" s="710" t="s">
        <v>109</v>
      </c>
      <c r="DQ18" s="710"/>
      <c r="DR18" s="710"/>
      <c r="DS18" s="710"/>
      <c r="DT18" s="710"/>
      <c r="DU18" s="710"/>
      <c r="DV18" s="710" t="s">
        <v>169</v>
      </c>
      <c r="DW18" s="710"/>
      <c r="DX18" s="710"/>
      <c r="DY18" s="710"/>
      <c r="DZ18" s="710"/>
      <c r="EA18" s="710"/>
      <c r="EB18" s="710"/>
      <c r="EC18" s="710"/>
      <c r="ED18" s="710"/>
      <c r="EE18" s="710"/>
      <c r="EF18" s="710"/>
      <c r="EG18" s="710"/>
      <c r="EH18" s="710"/>
      <c r="EI18" s="710" t="s">
        <v>166</v>
      </c>
      <c r="EJ18" s="710"/>
      <c r="EM18" s="519">
        <v>8</v>
      </c>
      <c r="EN18" s="1179"/>
      <c r="EO18" s="1180"/>
      <c r="EP18" s="1180"/>
      <c r="EQ18" s="1180"/>
      <c r="ER18" s="1180"/>
      <c r="ES18" s="1181"/>
      <c r="ET18" s="1173"/>
      <c r="EU18" s="1173"/>
      <c r="EV18" s="1173"/>
      <c r="EW18" s="1173"/>
      <c r="EX18" s="1173"/>
      <c r="EY18" s="1173"/>
      <c r="EZ18" s="1173"/>
      <c r="FA18" s="1173"/>
      <c r="FB18" s="1173"/>
      <c r="FC18" s="1173"/>
      <c r="FD18" s="1173"/>
      <c r="FE18" s="1173"/>
      <c r="FF18" s="1173"/>
      <c r="FG18" s="1183"/>
      <c r="FH18" s="1183"/>
      <c r="FJ18" s="517"/>
      <c r="FK18" s="710" t="s">
        <v>109</v>
      </c>
      <c r="FL18" s="710"/>
      <c r="FM18" s="710"/>
      <c r="FN18" s="710"/>
      <c r="FO18" s="710"/>
      <c r="FP18" s="710"/>
      <c r="FQ18" s="710" t="s">
        <v>169</v>
      </c>
      <c r="FR18" s="710"/>
      <c r="FS18" s="710"/>
      <c r="FT18" s="710"/>
      <c r="FU18" s="710"/>
      <c r="FV18" s="710"/>
      <c r="FW18" s="710"/>
      <c r="FX18" s="710"/>
      <c r="FY18" s="710"/>
      <c r="FZ18" s="710"/>
      <c r="GA18" s="710"/>
      <c r="GB18" s="710"/>
      <c r="GC18" s="710"/>
      <c r="GD18" s="710" t="s">
        <v>166</v>
      </c>
      <c r="GE18" s="710"/>
      <c r="GH18" s="519">
        <v>8</v>
      </c>
      <c r="GI18" s="1179"/>
      <c r="GJ18" s="1180"/>
      <c r="GK18" s="1180"/>
      <c r="GL18" s="1180"/>
      <c r="GM18" s="1180"/>
      <c r="GN18" s="1181"/>
      <c r="GO18" s="1173"/>
      <c r="GP18" s="1173"/>
      <c r="GQ18" s="1173"/>
      <c r="GR18" s="1173"/>
      <c r="GS18" s="1173"/>
      <c r="GT18" s="1173"/>
      <c r="GU18" s="1173"/>
      <c r="GV18" s="1173"/>
      <c r="GW18" s="1173"/>
      <c r="GX18" s="1173"/>
      <c r="GY18" s="1173"/>
      <c r="GZ18" s="1173"/>
      <c r="HA18" s="1173"/>
      <c r="HB18" s="1183"/>
      <c r="HC18" s="1183"/>
      <c r="HE18" s="517"/>
      <c r="HF18" s="710" t="s">
        <v>109</v>
      </c>
      <c r="HG18" s="710"/>
      <c r="HH18" s="710"/>
      <c r="HI18" s="710"/>
      <c r="HJ18" s="710"/>
      <c r="HK18" s="710"/>
      <c r="HL18" s="710" t="s">
        <v>169</v>
      </c>
      <c r="HM18" s="710"/>
      <c r="HN18" s="710"/>
      <c r="HO18" s="710"/>
      <c r="HP18" s="710"/>
      <c r="HQ18" s="710"/>
      <c r="HR18" s="710"/>
      <c r="HS18" s="710"/>
      <c r="HT18" s="710"/>
      <c r="HU18" s="710"/>
      <c r="HV18" s="710"/>
      <c r="HW18" s="710"/>
      <c r="HX18" s="710"/>
      <c r="HY18" s="710" t="s">
        <v>166</v>
      </c>
      <c r="HZ18" s="710"/>
    </row>
    <row r="19" spans="2:234" ht="17.149999999999999" customHeight="1" x14ac:dyDescent="0.25">
      <c r="B19" s="518">
        <v>9</v>
      </c>
      <c r="C19" s="1174"/>
      <c r="D19" s="1175"/>
      <c r="E19" s="1175"/>
      <c r="F19" s="1175"/>
      <c r="G19" s="1175"/>
      <c r="H19" s="1176"/>
      <c r="I19" s="1185"/>
      <c r="J19" s="1185"/>
      <c r="K19" s="1185"/>
      <c r="L19" s="1185"/>
      <c r="M19" s="1185"/>
      <c r="N19" s="1185"/>
      <c r="O19" s="1185"/>
      <c r="P19" s="1185"/>
      <c r="Q19" s="1185"/>
      <c r="R19" s="1185"/>
      <c r="S19" s="1185"/>
      <c r="T19" s="1185"/>
      <c r="U19" s="1185"/>
      <c r="V19" s="1178"/>
      <c r="W19" s="1178"/>
      <c r="Y19" s="518">
        <v>1</v>
      </c>
      <c r="Z19" s="1174"/>
      <c r="AA19" s="1175"/>
      <c r="AB19" s="1175"/>
      <c r="AC19" s="1175"/>
      <c r="AD19" s="1175"/>
      <c r="AE19" s="1176"/>
      <c r="AF19" s="1185"/>
      <c r="AG19" s="1185"/>
      <c r="AH19" s="1185"/>
      <c r="AI19" s="1185"/>
      <c r="AJ19" s="1185"/>
      <c r="AK19" s="1185"/>
      <c r="AL19" s="1185"/>
      <c r="AM19" s="1185"/>
      <c r="AN19" s="1185"/>
      <c r="AO19" s="1185"/>
      <c r="AP19" s="1185"/>
      <c r="AQ19" s="1185"/>
      <c r="AR19" s="1185"/>
      <c r="AS19" s="1178"/>
      <c r="AT19" s="1178"/>
      <c r="AW19" s="518">
        <v>9</v>
      </c>
      <c r="AX19" s="1174"/>
      <c r="AY19" s="1175"/>
      <c r="AZ19" s="1175"/>
      <c r="BA19" s="1175"/>
      <c r="BB19" s="1175"/>
      <c r="BC19" s="1176"/>
      <c r="BD19" s="1185"/>
      <c r="BE19" s="1185"/>
      <c r="BF19" s="1185"/>
      <c r="BG19" s="1185"/>
      <c r="BH19" s="1185"/>
      <c r="BI19" s="1185"/>
      <c r="BJ19" s="1185"/>
      <c r="BK19" s="1185"/>
      <c r="BL19" s="1185"/>
      <c r="BM19" s="1185"/>
      <c r="BN19" s="1185"/>
      <c r="BO19" s="1185"/>
      <c r="BP19" s="1185"/>
      <c r="BQ19" s="1178"/>
      <c r="BR19" s="1178"/>
      <c r="BT19" s="518">
        <v>1</v>
      </c>
      <c r="BU19" s="1174"/>
      <c r="BV19" s="1175"/>
      <c r="BW19" s="1175"/>
      <c r="BX19" s="1175"/>
      <c r="BY19" s="1175"/>
      <c r="BZ19" s="1176"/>
      <c r="CA19" s="1185"/>
      <c r="CB19" s="1185"/>
      <c r="CC19" s="1185"/>
      <c r="CD19" s="1185"/>
      <c r="CE19" s="1185"/>
      <c r="CF19" s="1185"/>
      <c r="CG19" s="1185"/>
      <c r="CH19" s="1185"/>
      <c r="CI19" s="1185"/>
      <c r="CJ19" s="1185"/>
      <c r="CK19" s="1185"/>
      <c r="CL19" s="1185"/>
      <c r="CM19" s="1185"/>
      <c r="CN19" s="1178"/>
      <c r="CO19" s="1178"/>
      <c r="CR19" s="518">
        <v>9</v>
      </c>
      <c r="CS19" s="1174"/>
      <c r="CT19" s="1175"/>
      <c r="CU19" s="1175"/>
      <c r="CV19" s="1175"/>
      <c r="CW19" s="1175"/>
      <c r="CX19" s="1176"/>
      <c r="CY19" s="1185"/>
      <c r="CZ19" s="1185"/>
      <c r="DA19" s="1185"/>
      <c r="DB19" s="1185"/>
      <c r="DC19" s="1185"/>
      <c r="DD19" s="1185"/>
      <c r="DE19" s="1185"/>
      <c r="DF19" s="1185"/>
      <c r="DG19" s="1185"/>
      <c r="DH19" s="1185"/>
      <c r="DI19" s="1185"/>
      <c r="DJ19" s="1185"/>
      <c r="DK19" s="1185"/>
      <c r="DL19" s="1178"/>
      <c r="DM19" s="1178"/>
      <c r="DO19" s="518">
        <v>1</v>
      </c>
      <c r="DP19" s="1174"/>
      <c r="DQ19" s="1175"/>
      <c r="DR19" s="1175"/>
      <c r="DS19" s="1175"/>
      <c r="DT19" s="1175"/>
      <c r="DU19" s="1176"/>
      <c r="DV19" s="1185"/>
      <c r="DW19" s="1185"/>
      <c r="DX19" s="1185"/>
      <c r="DY19" s="1185"/>
      <c r="DZ19" s="1185"/>
      <c r="EA19" s="1185"/>
      <c r="EB19" s="1185"/>
      <c r="EC19" s="1185"/>
      <c r="ED19" s="1185"/>
      <c r="EE19" s="1185"/>
      <c r="EF19" s="1185"/>
      <c r="EG19" s="1185"/>
      <c r="EH19" s="1185"/>
      <c r="EI19" s="1178"/>
      <c r="EJ19" s="1178"/>
      <c r="EM19" s="518">
        <v>9</v>
      </c>
      <c r="EN19" s="1174"/>
      <c r="EO19" s="1175"/>
      <c r="EP19" s="1175"/>
      <c r="EQ19" s="1175"/>
      <c r="ER19" s="1175"/>
      <c r="ES19" s="1176"/>
      <c r="ET19" s="1185"/>
      <c r="EU19" s="1185"/>
      <c r="EV19" s="1185"/>
      <c r="EW19" s="1185"/>
      <c r="EX19" s="1185"/>
      <c r="EY19" s="1185"/>
      <c r="EZ19" s="1185"/>
      <c r="FA19" s="1185"/>
      <c r="FB19" s="1185"/>
      <c r="FC19" s="1185"/>
      <c r="FD19" s="1185"/>
      <c r="FE19" s="1185"/>
      <c r="FF19" s="1185"/>
      <c r="FG19" s="1178"/>
      <c r="FH19" s="1178"/>
      <c r="FJ19" s="518">
        <v>1</v>
      </c>
      <c r="FK19" s="1174"/>
      <c r="FL19" s="1175"/>
      <c r="FM19" s="1175"/>
      <c r="FN19" s="1175"/>
      <c r="FO19" s="1175"/>
      <c r="FP19" s="1176"/>
      <c r="FQ19" s="1185"/>
      <c r="FR19" s="1185"/>
      <c r="FS19" s="1185"/>
      <c r="FT19" s="1185"/>
      <c r="FU19" s="1185"/>
      <c r="FV19" s="1185"/>
      <c r="FW19" s="1185"/>
      <c r="FX19" s="1185"/>
      <c r="FY19" s="1185"/>
      <c r="FZ19" s="1185"/>
      <c r="GA19" s="1185"/>
      <c r="GB19" s="1185"/>
      <c r="GC19" s="1185"/>
      <c r="GD19" s="1178"/>
      <c r="GE19" s="1178"/>
      <c r="GH19" s="518">
        <v>9</v>
      </c>
      <c r="GI19" s="1174"/>
      <c r="GJ19" s="1175"/>
      <c r="GK19" s="1175"/>
      <c r="GL19" s="1175"/>
      <c r="GM19" s="1175"/>
      <c r="GN19" s="1176"/>
      <c r="GO19" s="1185"/>
      <c r="GP19" s="1185"/>
      <c r="GQ19" s="1185"/>
      <c r="GR19" s="1185"/>
      <c r="GS19" s="1185"/>
      <c r="GT19" s="1185"/>
      <c r="GU19" s="1185"/>
      <c r="GV19" s="1185"/>
      <c r="GW19" s="1185"/>
      <c r="GX19" s="1185"/>
      <c r="GY19" s="1185"/>
      <c r="GZ19" s="1185"/>
      <c r="HA19" s="1185"/>
      <c r="HB19" s="1178"/>
      <c r="HC19" s="1178"/>
      <c r="HE19" s="518">
        <v>1</v>
      </c>
      <c r="HF19" s="1174"/>
      <c r="HG19" s="1175"/>
      <c r="HH19" s="1175"/>
      <c r="HI19" s="1175"/>
      <c r="HJ19" s="1175"/>
      <c r="HK19" s="1176"/>
      <c r="HL19" s="1185"/>
      <c r="HM19" s="1185"/>
      <c r="HN19" s="1185"/>
      <c r="HO19" s="1185"/>
      <c r="HP19" s="1185"/>
      <c r="HQ19" s="1185"/>
      <c r="HR19" s="1185"/>
      <c r="HS19" s="1185"/>
      <c r="HT19" s="1185"/>
      <c r="HU19" s="1185"/>
      <c r="HV19" s="1185"/>
      <c r="HW19" s="1185"/>
      <c r="HX19" s="1185"/>
      <c r="HY19" s="1178"/>
      <c r="HZ19" s="1178"/>
    </row>
    <row r="20" spans="2:234" ht="17.149999999999999" customHeight="1" x14ac:dyDescent="0.25">
      <c r="B20" s="519">
        <v>10</v>
      </c>
      <c r="C20" s="1179"/>
      <c r="D20" s="1180"/>
      <c r="E20" s="1180"/>
      <c r="F20" s="1180"/>
      <c r="G20" s="1180"/>
      <c r="H20" s="1181"/>
      <c r="I20" s="1173"/>
      <c r="J20" s="1173"/>
      <c r="K20" s="1173"/>
      <c r="L20" s="1173"/>
      <c r="M20" s="1173"/>
      <c r="N20" s="1173"/>
      <c r="O20" s="1173"/>
      <c r="P20" s="1173"/>
      <c r="Q20" s="1173"/>
      <c r="R20" s="1173"/>
      <c r="S20" s="1173"/>
      <c r="T20" s="1173"/>
      <c r="U20" s="1173"/>
      <c r="V20" s="1183"/>
      <c r="W20" s="1183"/>
      <c r="Y20" s="519">
        <v>2</v>
      </c>
      <c r="Z20" s="1179"/>
      <c r="AA20" s="1180"/>
      <c r="AB20" s="1180"/>
      <c r="AC20" s="1180"/>
      <c r="AD20" s="1180"/>
      <c r="AE20" s="1181"/>
      <c r="AF20" s="1173"/>
      <c r="AG20" s="1173"/>
      <c r="AH20" s="1173"/>
      <c r="AI20" s="1173"/>
      <c r="AJ20" s="1173"/>
      <c r="AK20" s="1173"/>
      <c r="AL20" s="1173"/>
      <c r="AM20" s="1173"/>
      <c r="AN20" s="1173"/>
      <c r="AO20" s="1173"/>
      <c r="AP20" s="1173"/>
      <c r="AQ20" s="1173"/>
      <c r="AR20" s="1173"/>
      <c r="AS20" s="1183"/>
      <c r="AT20" s="1183"/>
      <c r="AW20" s="519">
        <v>10</v>
      </c>
      <c r="AX20" s="1179"/>
      <c r="AY20" s="1180"/>
      <c r="AZ20" s="1180"/>
      <c r="BA20" s="1180"/>
      <c r="BB20" s="1180"/>
      <c r="BC20" s="1181"/>
      <c r="BD20" s="1173"/>
      <c r="BE20" s="1173"/>
      <c r="BF20" s="1173"/>
      <c r="BG20" s="1173"/>
      <c r="BH20" s="1173"/>
      <c r="BI20" s="1173"/>
      <c r="BJ20" s="1173"/>
      <c r="BK20" s="1173"/>
      <c r="BL20" s="1173"/>
      <c r="BM20" s="1173"/>
      <c r="BN20" s="1173"/>
      <c r="BO20" s="1173"/>
      <c r="BP20" s="1173"/>
      <c r="BQ20" s="1183"/>
      <c r="BR20" s="1183"/>
      <c r="BT20" s="519">
        <v>2</v>
      </c>
      <c r="BU20" s="1179"/>
      <c r="BV20" s="1180"/>
      <c r="BW20" s="1180"/>
      <c r="BX20" s="1180"/>
      <c r="BY20" s="1180"/>
      <c r="BZ20" s="1181"/>
      <c r="CA20" s="1173"/>
      <c r="CB20" s="1173"/>
      <c r="CC20" s="1173"/>
      <c r="CD20" s="1173"/>
      <c r="CE20" s="1173"/>
      <c r="CF20" s="1173"/>
      <c r="CG20" s="1173"/>
      <c r="CH20" s="1173"/>
      <c r="CI20" s="1173"/>
      <c r="CJ20" s="1173"/>
      <c r="CK20" s="1173"/>
      <c r="CL20" s="1173"/>
      <c r="CM20" s="1173"/>
      <c r="CN20" s="1183"/>
      <c r="CO20" s="1183"/>
      <c r="CR20" s="519">
        <v>10</v>
      </c>
      <c r="CS20" s="1179"/>
      <c r="CT20" s="1180"/>
      <c r="CU20" s="1180"/>
      <c r="CV20" s="1180"/>
      <c r="CW20" s="1180"/>
      <c r="CX20" s="1181"/>
      <c r="CY20" s="1173"/>
      <c r="CZ20" s="1173"/>
      <c r="DA20" s="1173"/>
      <c r="DB20" s="1173"/>
      <c r="DC20" s="1173"/>
      <c r="DD20" s="1173"/>
      <c r="DE20" s="1173"/>
      <c r="DF20" s="1173"/>
      <c r="DG20" s="1173"/>
      <c r="DH20" s="1173"/>
      <c r="DI20" s="1173"/>
      <c r="DJ20" s="1173"/>
      <c r="DK20" s="1173"/>
      <c r="DL20" s="1183"/>
      <c r="DM20" s="1183"/>
      <c r="DO20" s="519">
        <v>2</v>
      </c>
      <c r="DP20" s="1179"/>
      <c r="DQ20" s="1180"/>
      <c r="DR20" s="1180"/>
      <c r="DS20" s="1180"/>
      <c r="DT20" s="1180"/>
      <c r="DU20" s="1181"/>
      <c r="DV20" s="1173"/>
      <c r="DW20" s="1173"/>
      <c r="DX20" s="1173"/>
      <c r="DY20" s="1173"/>
      <c r="DZ20" s="1173"/>
      <c r="EA20" s="1173"/>
      <c r="EB20" s="1173"/>
      <c r="EC20" s="1173"/>
      <c r="ED20" s="1173"/>
      <c r="EE20" s="1173"/>
      <c r="EF20" s="1173"/>
      <c r="EG20" s="1173"/>
      <c r="EH20" s="1173"/>
      <c r="EI20" s="1183"/>
      <c r="EJ20" s="1183"/>
      <c r="EM20" s="519">
        <v>10</v>
      </c>
      <c r="EN20" s="1179"/>
      <c r="EO20" s="1180"/>
      <c r="EP20" s="1180"/>
      <c r="EQ20" s="1180"/>
      <c r="ER20" s="1180"/>
      <c r="ES20" s="1181"/>
      <c r="ET20" s="1173"/>
      <c r="EU20" s="1173"/>
      <c r="EV20" s="1173"/>
      <c r="EW20" s="1173"/>
      <c r="EX20" s="1173"/>
      <c r="EY20" s="1173"/>
      <c r="EZ20" s="1173"/>
      <c r="FA20" s="1173"/>
      <c r="FB20" s="1173"/>
      <c r="FC20" s="1173"/>
      <c r="FD20" s="1173"/>
      <c r="FE20" s="1173"/>
      <c r="FF20" s="1173"/>
      <c r="FG20" s="1183"/>
      <c r="FH20" s="1183"/>
      <c r="FJ20" s="519">
        <v>2</v>
      </c>
      <c r="FK20" s="1179"/>
      <c r="FL20" s="1180"/>
      <c r="FM20" s="1180"/>
      <c r="FN20" s="1180"/>
      <c r="FO20" s="1180"/>
      <c r="FP20" s="1181"/>
      <c r="FQ20" s="1173"/>
      <c r="FR20" s="1173"/>
      <c r="FS20" s="1173"/>
      <c r="FT20" s="1173"/>
      <c r="FU20" s="1173"/>
      <c r="FV20" s="1173"/>
      <c r="FW20" s="1173"/>
      <c r="FX20" s="1173"/>
      <c r="FY20" s="1173"/>
      <c r="FZ20" s="1173"/>
      <c r="GA20" s="1173"/>
      <c r="GB20" s="1173"/>
      <c r="GC20" s="1173"/>
      <c r="GD20" s="1183"/>
      <c r="GE20" s="1183"/>
      <c r="GH20" s="519">
        <v>10</v>
      </c>
      <c r="GI20" s="1179"/>
      <c r="GJ20" s="1180"/>
      <c r="GK20" s="1180"/>
      <c r="GL20" s="1180"/>
      <c r="GM20" s="1180"/>
      <c r="GN20" s="1181"/>
      <c r="GO20" s="1173"/>
      <c r="GP20" s="1173"/>
      <c r="GQ20" s="1173"/>
      <c r="GR20" s="1173"/>
      <c r="GS20" s="1173"/>
      <c r="GT20" s="1173"/>
      <c r="GU20" s="1173"/>
      <c r="GV20" s="1173"/>
      <c r="GW20" s="1173"/>
      <c r="GX20" s="1173"/>
      <c r="GY20" s="1173"/>
      <c r="GZ20" s="1173"/>
      <c r="HA20" s="1173"/>
      <c r="HB20" s="1183"/>
      <c r="HC20" s="1183"/>
      <c r="HE20" s="519">
        <v>2</v>
      </c>
      <c r="HF20" s="1179"/>
      <c r="HG20" s="1180"/>
      <c r="HH20" s="1180"/>
      <c r="HI20" s="1180"/>
      <c r="HJ20" s="1180"/>
      <c r="HK20" s="1181"/>
      <c r="HL20" s="1173"/>
      <c r="HM20" s="1173"/>
      <c r="HN20" s="1173"/>
      <c r="HO20" s="1173"/>
      <c r="HP20" s="1173"/>
      <c r="HQ20" s="1173"/>
      <c r="HR20" s="1173"/>
      <c r="HS20" s="1173"/>
      <c r="HT20" s="1173"/>
      <c r="HU20" s="1173"/>
      <c r="HV20" s="1173"/>
      <c r="HW20" s="1173"/>
      <c r="HX20" s="1173"/>
      <c r="HY20" s="1183"/>
      <c r="HZ20" s="1183"/>
    </row>
    <row r="21" spans="2:234" ht="17.149999999999999" customHeight="1" x14ac:dyDescent="0.25">
      <c r="B21" s="518">
        <v>11</v>
      </c>
      <c r="C21" s="1174"/>
      <c r="D21" s="1175"/>
      <c r="E21" s="1175"/>
      <c r="F21" s="1175"/>
      <c r="G21" s="1175"/>
      <c r="H21" s="1176"/>
      <c r="I21" s="1185"/>
      <c r="J21" s="1185"/>
      <c r="K21" s="1185"/>
      <c r="L21" s="1185"/>
      <c r="M21" s="1185"/>
      <c r="N21" s="1185"/>
      <c r="O21" s="1185"/>
      <c r="P21" s="1185"/>
      <c r="Q21" s="1185"/>
      <c r="R21" s="1185"/>
      <c r="S21" s="1185"/>
      <c r="T21" s="1185"/>
      <c r="U21" s="1185"/>
      <c r="V21" s="1178"/>
      <c r="W21" s="1178"/>
      <c r="Y21" s="518">
        <v>3</v>
      </c>
      <c r="Z21" s="1174"/>
      <c r="AA21" s="1175"/>
      <c r="AB21" s="1175"/>
      <c r="AC21" s="1175"/>
      <c r="AD21" s="1175"/>
      <c r="AE21" s="1176"/>
      <c r="AF21" s="1185"/>
      <c r="AG21" s="1185"/>
      <c r="AH21" s="1185"/>
      <c r="AI21" s="1185"/>
      <c r="AJ21" s="1185"/>
      <c r="AK21" s="1185"/>
      <c r="AL21" s="1185"/>
      <c r="AM21" s="1185"/>
      <c r="AN21" s="1185"/>
      <c r="AO21" s="1185"/>
      <c r="AP21" s="1185"/>
      <c r="AQ21" s="1185"/>
      <c r="AR21" s="1185"/>
      <c r="AS21" s="1178"/>
      <c r="AT21" s="1178"/>
      <c r="AW21" s="518">
        <v>11</v>
      </c>
      <c r="AX21" s="1174"/>
      <c r="AY21" s="1175"/>
      <c r="AZ21" s="1175"/>
      <c r="BA21" s="1175"/>
      <c r="BB21" s="1175"/>
      <c r="BC21" s="1176"/>
      <c r="BD21" s="1185"/>
      <c r="BE21" s="1185"/>
      <c r="BF21" s="1185"/>
      <c r="BG21" s="1185"/>
      <c r="BH21" s="1185"/>
      <c r="BI21" s="1185"/>
      <c r="BJ21" s="1185"/>
      <c r="BK21" s="1185"/>
      <c r="BL21" s="1185"/>
      <c r="BM21" s="1185"/>
      <c r="BN21" s="1185"/>
      <c r="BO21" s="1185"/>
      <c r="BP21" s="1185"/>
      <c r="BQ21" s="1178"/>
      <c r="BR21" s="1178"/>
      <c r="BT21" s="518">
        <v>3</v>
      </c>
      <c r="BU21" s="1174"/>
      <c r="BV21" s="1175"/>
      <c r="BW21" s="1175"/>
      <c r="BX21" s="1175"/>
      <c r="BY21" s="1175"/>
      <c r="BZ21" s="1176"/>
      <c r="CA21" s="1185"/>
      <c r="CB21" s="1185"/>
      <c r="CC21" s="1185"/>
      <c r="CD21" s="1185"/>
      <c r="CE21" s="1185"/>
      <c r="CF21" s="1185"/>
      <c r="CG21" s="1185"/>
      <c r="CH21" s="1185"/>
      <c r="CI21" s="1185"/>
      <c r="CJ21" s="1185"/>
      <c r="CK21" s="1185"/>
      <c r="CL21" s="1185"/>
      <c r="CM21" s="1185"/>
      <c r="CN21" s="1178"/>
      <c r="CO21" s="1178"/>
      <c r="CR21" s="518">
        <v>11</v>
      </c>
      <c r="CS21" s="1174"/>
      <c r="CT21" s="1175"/>
      <c r="CU21" s="1175"/>
      <c r="CV21" s="1175"/>
      <c r="CW21" s="1175"/>
      <c r="CX21" s="1176"/>
      <c r="CY21" s="1185"/>
      <c r="CZ21" s="1185"/>
      <c r="DA21" s="1185"/>
      <c r="DB21" s="1185"/>
      <c r="DC21" s="1185"/>
      <c r="DD21" s="1185"/>
      <c r="DE21" s="1185"/>
      <c r="DF21" s="1185"/>
      <c r="DG21" s="1185"/>
      <c r="DH21" s="1185"/>
      <c r="DI21" s="1185"/>
      <c r="DJ21" s="1185"/>
      <c r="DK21" s="1185"/>
      <c r="DL21" s="1178"/>
      <c r="DM21" s="1178"/>
      <c r="DO21" s="518">
        <v>3</v>
      </c>
      <c r="DP21" s="1174"/>
      <c r="DQ21" s="1175"/>
      <c r="DR21" s="1175"/>
      <c r="DS21" s="1175"/>
      <c r="DT21" s="1175"/>
      <c r="DU21" s="1176"/>
      <c r="DV21" s="1185"/>
      <c r="DW21" s="1185"/>
      <c r="DX21" s="1185"/>
      <c r="DY21" s="1185"/>
      <c r="DZ21" s="1185"/>
      <c r="EA21" s="1185"/>
      <c r="EB21" s="1185"/>
      <c r="EC21" s="1185"/>
      <c r="ED21" s="1185"/>
      <c r="EE21" s="1185"/>
      <c r="EF21" s="1185"/>
      <c r="EG21" s="1185"/>
      <c r="EH21" s="1185"/>
      <c r="EI21" s="1178"/>
      <c r="EJ21" s="1178"/>
      <c r="EM21" s="518">
        <v>11</v>
      </c>
      <c r="EN21" s="1174"/>
      <c r="EO21" s="1175"/>
      <c r="EP21" s="1175"/>
      <c r="EQ21" s="1175"/>
      <c r="ER21" s="1175"/>
      <c r="ES21" s="1176"/>
      <c r="ET21" s="1185"/>
      <c r="EU21" s="1185"/>
      <c r="EV21" s="1185"/>
      <c r="EW21" s="1185"/>
      <c r="EX21" s="1185"/>
      <c r="EY21" s="1185"/>
      <c r="EZ21" s="1185"/>
      <c r="FA21" s="1185"/>
      <c r="FB21" s="1185"/>
      <c r="FC21" s="1185"/>
      <c r="FD21" s="1185"/>
      <c r="FE21" s="1185"/>
      <c r="FF21" s="1185"/>
      <c r="FG21" s="1178"/>
      <c r="FH21" s="1178"/>
      <c r="FJ21" s="518">
        <v>3</v>
      </c>
      <c r="FK21" s="1174"/>
      <c r="FL21" s="1175"/>
      <c r="FM21" s="1175"/>
      <c r="FN21" s="1175"/>
      <c r="FO21" s="1175"/>
      <c r="FP21" s="1176"/>
      <c r="FQ21" s="1185"/>
      <c r="FR21" s="1185"/>
      <c r="FS21" s="1185"/>
      <c r="FT21" s="1185"/>
      <c r="FU21" s="1185"/>
      <c r="FV21" s="1185"/>
      <c r="FW21" s="1185"/>
      <c r="FX21" s="1185"/>
      <c r="FY21" s="1185"/>
      <c r="FZ21" s="1185"/>
      <c r="GA21" s="1185"/>
      <c r="GB21" s="1185"/>
      <c r="GC21" s="1185"/>
      <c r="GD21" s="1178"/>
      <c r="GE21" s="1178"/>
      <c r="GH21" s="518">
        <v>11</v>
      </c>
      <c r="GI21" s="1174"/>
      <c r="GJ21" s="1175"/>
      <c r="GK21" s="1175"/>
      <c r="GL21" s="1175"/>
      <c r="GM21" s="1175"/>
      <c r="GN21" s="1176"/>
      <c r="GO21" s="1185"/>
      <c r="GP21" s="1185"/>
      <c r="GQ21" s="1185"/>
      <c r="GR21" s="1185"/>
      <c r="GS21" s="1185"/>
      <c r="GT21" s="1185"/>
      <c r="GU21" s="1185"/>
      <c r="GV21" s="1185"/>
      <c r="GW21" s="1185"/>
      <c r="GX21" s="1185"/>
      <c r="GY21" s="1185"/>
      <c r="GZ21" s="1185"/>
      <c r="HA21" s="1185"/>
      <c r="HB21" s="1178"/>
      <c r="HC21" s="1178"/>
      <c r="HE21" s="518">
        <v>3</v>
      </c>
      <c r="HF21" s="1174"/>
      <c r="HG21" s="1175"/>
      <c r="HH21" s="1175"/>
      <c r="HI21" s="1175"/>
      <c r="HJ21" s="1175"/>
      <c r="HK21" s="1176"/>
      <c r="HL21" s="1185"/>
      <c r="HM21" s="1185"/>
      <c r="HN21" s="1185"/>
      <c r="HO21" s="1185"/>
      <c r="HP21" s="1185"/>
      <c r="HQ21" s="1185"/>
      <c r="HR21" s="1185"/>
      <c r="HS21" s="1185"/>
      <c r="HT21" s="1185"/>
      <c r="HU21" s="1185"/>
      <c r="HV21" s="1185"/>
      <c r="HW21" s="1185"/>
      <c r="HX21" s="1185"/>
      <c r="HY21" s="1178"/>
      <c r="HZ21" s="1178"/>
    </row>
    <row r="22" spans="2:234" ht="17.149999999999999" customHeight="1" x14ac:dyDescent="0.25">
      <c r="B22" s="519">
        <v>12</v>
      </c>
      <c r="C22" s="1179"/>
      <c r="D22" s="1180"/>
      <c r="E22" s="1180"/>
      <c r="F22" s="1180"/>
      <c r="G22" s="1180"/>
      <c r="H22" s="1181"/>
      <c r="I22" s="1173"/>
      <c r="J22" s="1173"/>
      <c r="K22" s="1173"/>
      <c r="L22" s="1173"/>
      <c r="M22" s="1173"/>
      <c r="N22" s="1173"/>
      <c r="O22" s="1173"/>
      <c r="P22" s="1173"/>
      <c r="Q22" s="1173"/>
      <c r="R22" s="1173"/>
      <c r="S22" s="1173"/>
      <c r="T22" s="1173"/>
      <c r="U22" s="1173"/>
      <c r="V22" s="1183"/>
      <c r="W22" s="1183"/>
      <c r="Y22" s="519">
        <v>4</v>
      </c>
      <c r="Z22" s="1179"/>
      <c r="AA22" s="1180"/>
      <c r="AB22" s="1180"/>
      <c r="AC22" s="1180"/>
      <c r="AD22" s="1180"/>
      <c r="AE22" s="1181"/>
      <c r="AF22" s="1173"/>
      <c r="AG22" s="1173"/>
      <c r="AH22" s="1173"/>
      <c r="AI22" s="1173"/>
      <c r="AJ22" s="1173"/>
      <c r="AK22" s="1173"/>
      <c r="AL22" s="1173"/>
      <c r="AM22" s="1173"/>
      <c r="AN22" s="1173"/>
      <c r="AO22" s="1173"/>
      <c r="AP22" s="1173"/>
      <c r="AQ22" s="1173"/>
      <c r="AR22" s="1173"/>
      <c r="AS22" s="1183"/>
      <c r="AT22" s="1183"/>
      <c r="AW22" s="519">
        <v>12</v>
      </c>
      <c r="AX22" s="1179"/>
      <c r="AY22" s="1180"/>
      <c r="AZ22" s="1180"/>
      <c r="BA22" s="1180"/>
      <c r="BB22" s="1180"/>
      <c r="BC22" s="1181"/>
      <c r="BD22" s="1173"/>
      <c r="BE22" s="1173"/>
      <c r="BF22" s="1173"/>
      <c r="BG22" s="1173"/>
      <c r="BH22" s="1173"/>
      <c r="BI22" s="1173"/>
      <c r="BJ22" s="1173"/>
      <c r="BK22" s="1173"/>
      <c r="BL22" s="1173"/>
      <c r="BM22" s="1173"/>
      <c r="BN22" s="1173"/>
      <c r="BO22" s="1173"/>
      <c r="BP22" s="1173"/>
      <c r="BQ22" s="1183"/>
      <c r="BR22" s="1183"/>
      <c r="BT22" s="519">
        <v>4</v>
      </c>
      <c r="BU22" s="1179"/>
      <c r="BV22" s="1180"/>
      <c r="BW22" s="1180"/>
      <c r="BX22" s="1180"/>
      <c r="BY22" s="1180"/>
      <c r="BZ22" s="1181"/>
      <c r="CA22" s="1173"/>
      <c r="CB22" s="1173"/>
      <c r="CC22" s="1173"/>
      <c r="CD22" s="1173"/>
      <c r="CE22" s="1173"/>
      <c r="CF22" s="1173"/>
      <c r="CG22" s="1173"/>
      <c r="CH22" s="1173"/>
      <c r="CI22" s="1173"/>
      <c r="CJ22" s="1173"/>
      <c r="CK22" s="1173"/>
      <c r="CL22" s="1173"/>
      <c r="CM22" s="1173"/>
      <c r="CN22" s="1183"/>
      <c r="CO22" s="1183"/>
      <c r="CR22" s="519">
        <v>12</v>
      </c>
      <c r="CS22" s="1179"/>
      <c r="CT22" s="1180"/>
      <c r="CU22" s="1180"/>
      <c r="CV22" s="1180"/>
      <c r="CW22" s="1180"/>
      <c r="CX22" s="1181"/>
      <c r="CY22" s="1173"/>
      <c r="CZ22" s="1173"/>
      <c r="DA22" s="1173"/>
      <c r="DB22" s="1173"/>
      <c r="DC22" s="1173"/>
      <c r="DD22" s="1173"/>
      <c r="DE22" s="1173"/>
      <c r="DF22" s="1173"/>
      <c r="DG22" s="1173"/>
      <c r="DH22" s="1173"/>
      <c r="DI22" s="1173"/>
      <c r="DJ22" s="1173"/>
      <c r="DK22" s="1173"/>
      <c r="DL22" s="1183"/>
      <c r="DM22" s="1183"/>
      <c r="DO22" s="519">
        <v>4</v>
      </c>
      <c r="DP22" s="1179"/>
      <c r="DQ22" s="1180"/>
      <c r="DR22" s="1180"/>
      <c r="DS22" s="1180"/>
      <c r="DT22" s="1180"/>
      <c r="DU22" s="1181"/>
      <c r="DV22" s="1173"/>
      <c r="DW22" s="1173"/>
      <c r="DX22" s="1173"/>
      <c r="DY22" s="1173"/>
      <c r="DZ22" s="1173"/>
      <c r="EA22" s="1173"/>
      <c r="EB22" s="1173"/>
      <c r="EC22" s="1173"/>
      <c r="ED22" s="1173"/>
      <c r="EE22" s="1173"/>
      <c r="EF22" s="1173"/>
      <c r="EG22" s="1173"/>
      <c r="EH22" s="1173"/>
      <c r="EI22" s="1183"/>
      <c r="EJ22" s="1183"/>
      <c r="EM22" s="519">
        <v>12</v>
      </c>
      <c r="EN22" s="1179"/>
      <c r="EO22" s="1180"/>
      <c r="EP22" s="1180"/>
      <c r="EQ22" s="1180"/>
      <c r="ER22" s="1180"/>
      <c r="ES22" s="1181"/>
      <c r="ET22" s="1173"/>
      <c r="EU22" s="1173"/>
      <c r="EV22" s="1173"/>
      <c r="EW22" s="1173"/>
      <c r="EX22" s="1173"/>
      <c r="EY22" s="1173"/>
      <c r="EZ22" s="1173"/>
      <c r="FA22" s="1173"/>
      <c r="FB22" s="1173"/>
      <c r="FC22" s="1173"/>
      <c r="FD22" s="1173"/>
      <c r="FE22" s="1173"/>
      <c r="FF22" s="1173"/>
      <c r="FG22" s="1183"/>
      <c r="FH22" s="1183"/>
      <c r="FJ22" s="519">
        <v>4</v>
      </c>
      <c r="FK22" s="1179"/>
      <c r="FL22" s="1180"/>
      <c r="FM22" s="1180"/>
      <c r="FN22" s="1180"/>
      <c r="FO22" s="1180"/>
      <c r="FP22" s="1181"/>
      <c r="FQ22" s="1173"/>
      <c r="FR22" s="1173"/>
      <c r="FS22" s="1173"/>
      <c r="FT22" s="1173"/>
      <c r="FU22" s="1173"/>
      <c r="FV22" s="1173"/>
      <c r="FW22" s="1173"/>
      <c r="FX22" s="1173"/>
      <c r="FY22" s="1173"/>
      <c r="FZ22" s="1173"/>
      <c r="GA22" s="1173"/>
      <c r="GB22" s="1173"/>
      <c r="GC22" s="1173"/>
      <c r="GD22" s="1183"/>
      <c r="GE22" s="1183"/>
      <c r="GH22" s="519">
        <v>12</v>
      </c>
      <c r="GI22" s="1179"/>
      <c r="GJ22" s="1180"/>
      <c r="GK22" s="1180"/>
      <c r="GL22" s="1180"/>
      <c r="GM22" s="1180"/>
      <c r="GN22" s="1181"/>
      <c r="GO22" s="1173"/>
      <c r="GP22" s="1173"/>
      <c r="GQ22" s="1173"/>
      <c r="GR22" s="1173"/>
      <c r="GS22" s="1173"/>
      <c r="GT22" s="1173"/>
      <c r="GU22" s="1173"/>
      <c r="GV22" s="1173"/>
      <c r="GW22" s="1173"/>
      <c r="GX22" s="1173"/>
      <c r="GY22" s="1173"/>
      <c r="GZ22" s="1173"/>
      <c r="HA22" s="1173"/>
      <c r="HB22" s="1183"/>
      <c r="HC22" s="1183"/>
      <c r="HE22" s="519">
        <v>4</v>
      </c>
      <c r="HF22" s="1179"/>
      <c r="HG22" s="1180"/>
      <c r="HH22" s="1180"/>
      <c r="HI22" s="1180"/>
      <c r="HJ22" s="1180"/>
      <c r="HK22" s="1181"/>
      <c r="HL22" s="1173"/>
      <c r="HM22" s="1173"/>
      <c r="HN22" s="1173"/>
      <c r="HO22" s="1173"/>
      <c r="HP22" s="1173"/>
      <c r="HQ22" s="1173"/>
      <c r="HR22" s="1173"/>
      <c r="HS22" s="1173"/>
      <c r="HT22" s="1173"/>
      <c r="HU22" s="1173"/>
      <c r="HV22" s="1173"/>
      <c r="HW22" s="1173"/>
      <c r="HX22" s="1173"/>
      <c r="HY22" s="1183"/>
      <c r="HZ22" s="1183"/>
    </row>
    <row r="23" spans="2:234" ht="17.149999999999999" customHeight="1" x14ac:dyDescent="0.25">
      <c r="B23" s="518">
        <v>13</v>
      </c>
      <c r="C23" s="1174"/>
      <c r="D23" s="1175"/>
      <c r="E23" s="1175"/>
      <c r="F23" s="1175"/>
      <c r="G23" s="1175"/>
      <c r="H23" s="1176"/>
      <c r="I23" s="1185"/>
      <c r="J23" s="1185"/>
      <c r="K23" s="1185"/>
      <c r="L23" s="1185"/>
      <c r="M23" s="1185"/>
      <c r="N23" s="1185"/>
      <c r="O23" s="1185"/>
      <c r="P23" s="1185"/>
      <c r="Q23" s="1185"/>
      <c r="R23" s="1185"/>
      <c r="S23" s="1185"/>
      <c r="T23" s="1185"/>
      <c r="U23" s="1185"/>
      <c r="V23" s="1178"/>
      <c r="W23" s="1178"/>
      <c r="Y23" s="518">
        <v>5</v>
      </c>
      <c r="Z23" s="1174"/>
      <c r="AA23" s="1175"/>
      <c r="AB23" s="1175"/>
      <c r="AC23" s="1175"/>
      <c r="AD23" s="1175"/>
      <c r="AE23" s="1176"/>
      <c r="AF23" s="1185"/>
      <c r="AG23" s="1185"/>
      <c r="AH23" s="1185"/>
      <c r="AI23" s="1185"/>
      <c r="AJ23" s="1185"/>
      <c r="AK23" s="1185"/>
      <c r="AL23" s="1185"/>
      <c r="AM23" s="1185"/>
      <c r="AN23" s="1185"/>
      <c r="AO23" s="1185"/>
      <c r="AP23" s="1185"/>
      <c r="AQ23" s="1185"/>
      <c r="AR23" s="1185"/>
      <c r="AS23" s="1178"/>
      <c r="AT23" s="1178"/>
      <c r="AW23" s="518">
        <v>13</v>
      </c>
      <c r="AX23" s="1174"/>
      <c r="AY23" s="1175"/>
      <c r="AZ23" s="1175"/>
      <c r="BA23" s="1175"/>
      <c r="BB23" s="1175"/>
      <c r="BC23" s="1176"/>
      <c r="BD23" s="1185"/>
      <c r="BE23" s="1185"/>
      <c r="BF23" s="1185"/>
      <c r="BG23" s="1185"/>
      <c r="BH23" s="1185"/>
      <c r="BI23" s="1185"/>
      <c r="BJ23" s="1185"/>
      <c r="BK23" s="1185"/>
      <c r="BL23" s="1185"/>
      <c r="BM23" s="1185"/>
      <c r="BN23" s="1185"/>
      <c r="BO23" s="1185"/>
      <c r="BP23" s="1185"/>
      <c r="BQ23" s="1178"/>
      <c r="BR23" s="1178"/>
      <c r="BT23" s="518">
        <v>5</v>
      </c>
      <c r="BU23" s="1174"/>
      <c r="BV23" s="1175"/>
      <c r="BW23" s="1175"/>
      <c r="BX23" s="1175"/>
      <c r="BY23" s="1175"/>
      <c r="BZ23" s="1176"/>
      <c r="CA23" s="1185"/>
      <c r="CB23" s="1185"/>
      <c r="CC23" s="1185"/>
      <c r="CD23" s="1185"/>
      <c r="CE23" s="1185"/>
      <c r="CF23" s="1185"/>
      <c r="CG23" s="1185"/>
      <c r="CH23" s="1185"/>
      <c r="CI23" s="1185"/>
      <c r="CJ23" s="1185"/>
      <c r="CK23" s="1185"/>
      <c r="CL23" s="1185"/>
      <c r="CM23" s="1185"/>
      <c r="CN23" s="1178"/>
      <c r="CO23" s="1178"/>
      <c r="CR23" s="518">
        <v>13</v>
      </c>
      <c r="CS23" s="1174"/>
      <c r="CT23" s="1175"/>
      <c r="CU23" s="1175"/>
      <c r="CV23" s="1175"/>
      <c r="CW23" s="1175"/>
      <c r="CX23" s="1176"/>
      <c r="CY23" s="1185"/>
      <c r="CZ23" s="1185"/>
      <c r="DA23" s="1185"/>
      <c r="DB23" s="1185"/>
      <c r="DC23" s="1185"/>
      <c r="DD23" s="1185"/>
      <c r="DE23" s="1185"/>
      <c r="DF23" s="1185"/>
      <c r="DG23" s="1185"/>
      <c r="DH23" s="1185"/>
      <c r="DI23" s="1185"/>
      <c r="DJ23" s="1185"/>
      <c r="DK23" s="1185"/>
      <c r="DL23" s="1178"/>
      <c r="DM23" s="1178"/>
      <c r="DO23" s="518">
        <v>5</v>
      </c>
      <c r="DP23" s="1174"/>
      <c r="DQ23" s="1175"/>
      <c r="DR23" s="1175"/>
      <c r="DS23" s="1175"/>
      <c r="DT23" s="1175"/>
      <c r="DU23" s="1176"/>
      <c r="DV23" s="1185"/>
      <c r="DW23" s="1185"/>
      <c r="DX23" s="1185"/>
      <c r="DY23" s="1185"/>
      <c r="DZ23" s="1185"/>
      <c r="EA23" s="1185"/>
      <c r="EB23" s="1185"/>
      <c r="EC23" s="1185"/>
      <c r="ED23" s="1185"/>
      <c r="EE23" s="1185"/>
      <c r="EF23" s="1185"/>
      <c r="EG23" s="1185"/>
      <c r="EH23" s="1185"/>
      <c r="EI23" s="1178"/>
      <c r="EJ23" s="1178"/>
      <c r="EM23" s="518">
        <v>13</v>
      </c>
      <c r="EN23" s="1174"/>
      <c r="EO23" s="1175"/>
      <c r="EP23" s="1175"/>
      <c r="EQ23" s="1175"/>
      <c r="ER23" s="1175"/>
      <c r="ES23" s="1176"/>
      <c r="ET23" s="1185"/>
      <c r="EU23" s="1185"/>
      <c r="EV23" s="1185"/>
      <c r="EW23" s="1185"/>
      <c r="EX23" s="1185"/>
      <c r="EY23" s="1185"/>
      <c r="EZ23" s="1185"/>
      <c r="FA23" s="1185"/>
      <c r="FB23" s="1185"/>
      <c r="FC23" s="1185"/>
      <c r="FD23" s="1185"/>
      <c r="FE23" s="1185"/>
      <c r="FF23" s="1185"/>
      <c r="FG23" s="1178"/>
      <c r="FH23" s="1178"/>
      <c r="FJ23" s="518">
        <v>5</v>
      </c>
      <c r="FK23" s="1174"/>
      <c r="FL23" s="1175"/>
      <c r="FM23" s="1175"/>
      <c r="FN23" s="1175"/>
      <c r="FO23" s="1175"/>
      <c r="FP23" s="1176"/>
      <c r="FQ23" s="1185"/>
      <c r="FR23" s="1185"/>
      <c r="FS23" s="1185"/>
      <c r="FT23" s="1185"/>
      <c r="FU23" s="1185"/>
      <c r="FV23" s="1185"/>
      <c r="FW23" s="1185"/>
      <c r="FX23" s="1185"/>
      <c r="FY23" s="1185"/>
      <c r="FZ23" s="1185"/>
      <c r="GA23" s="1185"/>
      <c r="GB23" s="1185"/>
      <c r="GC23" s="1185"/>
      <c r="GD23" s="1178"/>
      <c r="GE23" s="1178"/>
      <c r="GH23" s="518">
        <v>13</v>
      </c>
      <c r="GI23" s="1174"/>
      <c r="GJ23" s="1175"/>
      <c r="GK23" s="1175"/>
      <c r="GL23" s="1175"/>
      <c r="GM23" s="1175"/>
      <c r="GN23" s="1176"/>
      <c r="GO23" s="1185"/>
      <c r="GP23" s="1185"/>
      <c r="GQ23" s="1185"/>
      <c r="GR23" s="1185"/>
      <c r="GS23" s="1185"/>
      <c r="GT23" s="1185"/>
      <c r="GU23" s="1185"/>
      <c r="GV23" s="1185"/>
      <c r="GW23" s="1185"/>
      <c r="GX23" s="1185"/>
      <c r="GY23" s="1185"/>
      <c r="GZ23" s="1185"/>
      <c r="HA23" s="1185"/>
      <c r="HB23" s="1178"/>
      <c r="HC23" s="1178"/>
      <c r="HE23" s="518">
        <v>5</v>
      </c>
      <c r="HF23" s="1174"/>
      <c r="HG23" s="1175"/>
      <c r="HH23" s="1175"/>
      <c r="HI23" s="1175"/>
      <c r="HJ23" s="1175"/>
      <c r="HK23" s="1176"/>
      <c r="HL23" s="1185"/>
      <c r="HM23" s="1185"/>
      <c r="HN23" s="1185"/>
      <c r="HO23" s="1185"/>
      <c r="HP23" s="1185"/>
      <c r="HQ23" s="1185"/>
      <c r="HR23" s="1185"/>
      <c r="HS23" s="1185"/>
      <c r="HT23" s="1185"/>
      <c r="HU23" s="1185"/>
      <c r="HV23" s="1185"/>
      <c r="HW23" s="1185"/>
      <c r="HX23" s="1185"/>
      <c r="HY23" s="1178"/>
      <c r="HZ23" s="1178"/>
    </row>
    <row r="24" spans="2:234" ht="17.149999999999999" customHeight="1" x14ac:dyDescent="0.25">
      <c r="B24" s="519">
        <v>14</v>
      </c>
      <c r="C24" s="1179"/>
      <c r="D24" s="1180"/>
      <c r="E24" s="1180"/>
      <c r="F24" s="1180"/>
      <c r="G24" s="1180"/>
      <c r="H24" s="1181"/>
      <c r="I24" s="1173"/>
      <c r="J24" s="1173"/>
      <c r="K24" s="1173"/>
      <c r="L24" s="1173"/>
      <c r="M24" s="1173"/>
      <c r="N24" s="1173"/>
      <c r="O24" s="1173"/>
      <c r="P24" s="1173"/>
      <c r="Q24" s="1173"/>
      <c r="R24" s="1173"/>
      <c r="S24" s="1173"/>
      <c r="T24" s="1173"/>
      <c r="U24" s="1173"/>
      <c r="V24" s="1183"/>
      <c r="W24" s="1183"/>
      <c r="Y24" s="519">
        <v>6</v>
      </c>
      <c r="Z24" s="1179"/>
      <c r="AA24" s="1180"/>
      <c r="AB24" s="1180"/>
      <c r="AC24" s="1180"/>
      <c r="AD24" s="1180"/>
      <c r="AE24" s="1181"/>
      <c r="AF24" s="1173"/>
      <c r="AG24" s="1173"/>
      <c r="AH24" s="1173"/>
      <c r="AI24" s="1173"/>
      <c r="AJ24" s="1173"/>
      <c r="AK24" s="1173"/>
      <c r="AL24" s="1173"/>
      <c r="AM24" s="1173"/>
      <c r="AN24" s="1173"/>
      <c r="AO24" s="1173"/>
      <c r="AP24" s="1173"/>
      <c r="AQ24" s="1173"/>
      <c r="AR24" s="1173"/>
      <c r="AS24" s="1183"/>
      <c r="AT24" s="1183"/>
      <c r="AW24" s="519">
        <v>14</v>
      </c>
      <c r="AX24" s="1179"/>
      <c r="AY24" s="1180"/>
      <c r="AZ24" s="1180"/>
      <c r="BA24" s="1180"/>
      <c r="BB24" s="1180"/>
      <c r="BC24" s="1181"/>
      <c r="BD24" s="1173"/>
      <c r="BE24" s="1173"/>
      <c r="BF24" s="1173"/>
      <c r="BG24" s="1173"/>
      <c r="BH24" s="1173"/>
      <c r="BI24" s="1173"/>
      <c r="BJ24" s="1173"/>
      <c r="BK24" s="1173"/>
      <c r="BL24" s="1173"/>
      <c r="BM24" s="1173"/>
      <c r="BN24" s="1173"/>
      <c r="BO24" s="1173"/>
      <c r="BP24" s="1173"/>
      <c r="BQ24" s="1183"/>
      <c r="BR24" s="1183"/>
      <c r="BT24" s="519">
        <v>6</v>
      </c>
      <c r="BU24" s="1179"/>
      <c r="BV24" s="1180"/>
      <c r="BW24" s="1180"/>
      <c r="BX24" s="1180"/>
      <c r="BY24" s="1180"/>
      <c r="BZ24" s="1181"/>
      <c r="CA24" s="1173"/>
      <c r="CB24" s="1173"/>
      <c r="CC24" s="1173"/>
      <c r="CD24" s="1173"/>
      <c r="CE24" s="1173"/>
      <c r="CF24" s="1173"/>
      <c r="CG24" s="1173"/>
      <c r="CH24" s="1173"/>
      <c r="CI24" s="1173"/>
      <c r="CJ24" s="1173"/>
      <c r="CK24" s="1173"/>
      <c r="CL24" s="1173"/>
      <c r="CM24" s="1173"/>
      <c r="CN24" s="1183"/>
      <c r="CO24" s="1183"/>
      <c r="CR24" s="519">
        <v>14</v>
      </c>
      <c r="CS24" s="1179"/>
      <c r="CT24" s="1180"/>
      <c r="CU24" s="1180"/>
      <c r="CV24" s="1180"/>
      <c r="CW24" s="1180"/>
      <c r="CX24" s="1181"/>
      <c r="CY24" s="1173"/>
      <c r="CZ24" s="1173"/>
      <c r="DA24" s="1173"/>
      <c r="DB24" s="1173"/>
      <c r="DC24" s="1173"/>
      <c r="DD24" s="1173"/>
      <c r="DE24" s="1173"/>
      <c r="DF24" s="1173"/>
      <c r="DG24" s="1173"/>
      <c r="DH24" s="1173"/>
      <c r="DI24" s="1173"/>
      <c r="DJ24" s="1173"/>
      <c r="DK24" s="1173"/>
      <c r="DL24" s="1183"/>
      <c r="DM24" s="1183"/>
      <c r="DO24" s="519">
        <v>6</v>
      </c>
      <c r="DP24" s="1179"/>
      <c r="DQ24" s="1180"/>
      <c r="DR24" s="1180"/>
      <c r="DS24" s="1180"/>
      <c r="DT24" s="1180"/>
      <c r="DU24" s="1181"/>
      <c r="DV24" s="1173"/>
      <c r="DW24" s="1173"/>
      <c r="DX24" s="1173"/>
      <c r="DY24" s="1173"/>
      <c r="DZ24" s="1173"/>
      <c r="EA24" s="1173"/>
      <c r="EB24" s="1173"/>
      <c r="EC24" s="1173"/>
      <c r="ED24" s="1173"/>
      <c r="EE24" s="1173"/>
      <c r="EF24" s="1173"/>
      <c r="EG24" s="1173"/>
      <c r="EH24" s="1173"/>
      <c r="EI24" s="1183"/>
      <c r="EJ24" s="1183"/>
      <c r="EM24" s="519">
        <v>14</v>
      </c>
      <c r="EN24" s="1179"/>
      <c r="EO24" s="1180"/>
      <c r="EP24" s="1180"/>
      <c r="EQ24" s="1180"/>
      <c r="ER24" s="1180"/>
      <c r="ES24" s="1181"/>
      <c r="ET24" s="1173"/>
      <c r="EU24" s="1173"/>
      <c r="EV24" s="1173"/>
      <c r="EW24" s="1173"/>
      <c r="EX24" s="1173"/>
      <c r="EY24" s="1173"/>
      <c r="EZ24" s="1173"/>
      <c r="FA24" s="1173"/>
      <c r="FB24" s="1173"/>
      <c r="FC24" s="1173"/>
      <c r="FD24" s="1173"/>
      <c r="FE24" s="1173"/>
      <c r="FF24" s="1173"/>
      <c r="FG24" s="1183"/>
      <c r="FH24" s="1183"/>
      <c r="FJ24" s="519">
        <v>6</v>
      </c>
      <c r="FK24" s="1179"/>
      <c r="FL24" s="1180"/>
      <c r="FM24" s="1180"/>
      <c r="FN24" s="1180"/>
      <c r="FO24" s="1180"/>
      <c r="FP24" s="1181"/>
      <c r="FQ24" s="1173"/>
      <c r="FR24" s="1173"/>
      <c r="FS24" s="1173"/>
      <c r="FT24" s="1173"/>
      <c r="FU24" s="1173"/>
      <c r="FV24" s="1173"/>
      <c r="FW24" s="1173"/>
      <c r="FX24" s="1173"/>
      <c r="FY24" s="1173"/>
      <c r="FZ24" s="1173"/>
      <c r="GA24" s="1173"/>
      <c r="GB24" s="1173"/>
      <c r="GC24" s="1173"/>
      <c r="GD24" s="1183"/>
      <c r="GE24" s="1183"/>
      <c r="GH24" s="519">
        <v>14</v>
      </c>
      <c r="GI24" s="1179"/>
      <c r="GJ24" s="1180"/>
      <c r="GK24" s="1180"/>
      <c r="GL24" s="1180"/>
      <c r="GM24" s="1180"/>
      <c r="GN24" s="1181"/>
      <c r="GO24" s="1173"/>
      <c r="GP24" s="1173"/>
      <c r="GQ24" s="1173"/>
      <c r="GR24" s="1173"/>
      <c r="GS24" s="1173"/>
      <c r="GT24" s="1173"/>
      <c r="GU24" s="1173"/>
      <c r="GV24" s="1173"/>
      <c r="GW24" s="1173"/>
      <c r="GX24" s="1173"/>
      <c r="GY24" s="1173"/>
      <c r="GZ24" s="1173"/>
      <c r="HA24" s="1173"/>
      <c r="HB24" s="1183"/>
      <c r="HC24" s="1183"/>
      <c r="HE24" s="519">
        <v>6</v>
      </c>
      <c r="HF24" s="1179"/>
      <c r="HG24" s="1180"/>
      <c r="HH24" s="1180"/>
      <c r="HI24" s="1180"/>
      <c r="HJ24" s="1180"/>
      <c r="HK24" s="1181"/>
      <c r="HL24" s="1173"/>
      <c r="HM24" s="1173"/>
      <c r="HN24" s="1173"/>
      <c r="HO24" s="1173"/>
      <c r="HP24" s="1173"/>
      <c r="HQ24" s="1173"/>
      <c r="HR24" s="1173"/>
      <c r="HS24" s="1173"/>
      <c r="HT24" s="1173"/>
      <c r="HU24" s="1173"/>
      <c r="HV24" s="1173"/>
      <c r="HW24" s="1173"/>
      <c r="HX24" s="1173"/>
      <c r="HY24" s="1183"/>
      <c r="HZ24" s="1183"/>
    </row>
    <row r="25" spans="2:234" ht="17.149999999999999" customHeight="1" x14ac:dyDescent="0.25">
      <c r="B25" s="518">
        <v>15</v>
      </c>
      <c r="C25" s="1174"/>
      <c r="D25" s="1175"/>
      <c r="E25" s="1175"/>
      <c r="F25" s="1175"/>
      <c r="G25" s="1175"/>
      <c r="H25" s="1176"/>
      <c r="I25" s="1185"/>
      <c r="J25" s="1185"/>
      <c r="K25" s="1185"/>
      <c r="L25" s="1185"/>
      <c r="M25" s="1185"/>
      <c r="N25" s="1185"/>
      <c r="O25" s="1185"/>
      <c r="P25" s="1185"/>
      <c r="Q25" s="1185"/>
      <c r="R25" s="1185"/>
      <c r="S25" s="1185"/>
      <c r="T25" s="1185"/>
      <c r="U25" s="1185"/>
      <c r="V25" s="1178"/>
      <c r="W25" s="1178"/>
      <c r="Y25" s="518">
        <v>7</v>
      </c>
      <c r="Z25" s="1174"/>
      <c r="AA25" s="1175"/>
      <c r="AB25" s="1175"/>
      <c r="AC25" s="1175"/>
      <c r="AD25" s="1175"/>
      <c r="AE25" s="1176"/>
      <c r="AF25" s="1185"/>
      <c r="AG25" s="1185"/>
      <c r="AH25" s="1185"/>
      <c r="AI25" s="1185"/>
      <c r="AJ25" s="1185"/>
      <c r="AK25" s="1185"/>
      <c r="AL25" s="1185"/>
      <c r="AM25" s="1185"/>
      <c r="AN25" s="1185"/>
      <c r="AO25" s="1185"/>
      <c r="AP25" s="1185"/>
      <c r="AQ25" s="1185"/>
      <c r="AR25" s="1185"/>
      <c r="AS25" s="1178"/>
      <c r="AT25" s="1178"/>
      <c r="AW25" s="518">
        <v>15</v>
      </c>
      <c r="AX25" s="1174"/>
      <c r="AY25" s="1175"/>
      <c r="AZ25" s="1175"/>
      <c r="BA25" s="1175"/>
      <c r="BB25" s="1175"/>
      <c r="BC25" s="1176"/>
      <c r="BD25" s="1185"/>
      <c r="BE25" s="1185"/>
      <c r="BF25" s="1185"/>
      <c r="BG25" s="1185"/>
      <c r="BH25" s="1185"/>
      <c r="BI25" s="1185"/>
      <c r="BJ25" s="1185"/>
      <c r="BK25" s="1185"/>
      <c r="BL25" s="1185"/>
      <c r="BM25" s="1185"/>
      <c r="BN25" s="1185"/>
      <c r="BO25" s="1185"/>
      <c r="BP25" s="1185"/>
      <c r="BQ25" s="1178"/>
      <c r="BR25" s="1178"/>
      <c r="BT25" s="518">
        <v>7</v>
      </c>
      <c r="BU25" s="1174"/>
      <c r="BV25" s="1175"/>
      <c r="BW25" s="1175"/>
      <c r="BX25" s="1175"/>
      <c r="BY25" s="1175"/>
      <c r="BZ25" s="1176"/>
      <c r="CA25" s="1185"/>
      <c r="CB25" s="1185"/>
      <c r="CC25" s="1185"/>
      <c r="CD25" s="1185"/>
      <c r="CE25" s="1185"/>
      <c r="CF25" s="1185"/>
      <c r="CG25" s="1185"/>
      <c r="CH25" s="1185"/>
      <c r="CI25" s="1185"/>
      <c r="CJ25" s="1185"/>
      <c r="CK25" s="1185"/>
      <c r="CL25" s="1185"/>
      <c r="CM25" s="1185"/>
      <c r="CN25" s="1178"/>
      <c r="CO25" s="1178"/>
      <c r="CR25" s="518">
        <v>15</v>
      </c>
      <c r="CS25" s="1174"/>
      <c r="CT25" s="1175"/>
      <c r="CU25" s="1175"/>
      <c r="CV25" s="1175"/>
      <c r="CW25" s="1175"/>
      <c r="CX25" s="1176"/>
      <c r="CY25" s="1185"/>
      <c r="CZ25" s="1185"/>
      <c r="DA25" s="1185"/>
      <c r="DB25" s="1185"/>
      <c r="DC25" s="1185"/>
      <c r="DD25" s="1185"/>
      <c r="DE25" s="1185"/>
      <c r="DF25" s="1185"/>
      <c r="DG25" s="1185"/>
      <c r="DH25" s="1185"/>
      <c r="DI25" s="1185"/>
      <c r="DJ25" s="1185"/>
      <c r="DK25" s="1185"/>
      <c r="DL25" s="1178"/>
      <c r="DM25" s="1178"/>
      <c r="DO25" s="518">
        <v>7</v>
      </c>
      <c r="DP25" s="1174"/>
      <c r="DQ25" s="1175"/>
      <c r="DR25" s="1175"/>
      <c r="DS25" s="1175"/>
      <c r="DT25" s="1175"/>
      <c r="DU25" s="1176"/>
      <c r="DV25" s="1185"/>
      <c r="DW25" s="1185"/>
      <c r="DX25" s="1185"/>
      <c r="DY25" s="1185"/>
      <c r="DZ25" s="1185"/>
      <c r="EA25" s="1185"/>
      <c r="EB25" s="1185"/>
      <c r="EC25" s="1185"/>
      <c r="ED25" s="1185"/>
      <c r="EE25" s="1185"/>
      <c r="EF25" s="1185"/>
      <c r="EG25" s="1185"/>
      <c r="EH25" s="1185"/>
      <c r="EI25" s="1178"/>
      <c r="EJ25" s="1178"/>
      <c r="EM25" s="518">
        <v>15</v>
      </c>
      <c r="EN25" s="1174"/>
      <c r="EO25" s="1175"/>
      <c r="EP25" s="1175"/>
      <c r="EQ25" s="1175"/>
      <c r="ER25" s="1175"/>
      <c r="ES25" s="1176"/>
      <c r="ET25" s="1185"/>
      <c r="EU25" s="1185"/>
      <c r="EV25" s="1185"/>
      <c r="EW25" s="1185"/>
      <c r="EX25" s="1185"/>
      <c r="EY25" s="1185"/>
      <c r="EZ25" s="1185"/>
      <c r="FA25" s="1185"/>
      <c r="FB25" s="1185"/>
      <c r="FC25" s="1185"/>
      <c r="FD25" s="1185"/>
      <c r="FE25" s="1185"/>
      <c r="FF25" s="1185"/>
      <c r="FG25" s="1178"/>
      <c r="FH25" s="1178"/>
      <c r="FJ25" s="518">
        <v>7</v>
      </c>
      <c r="FK25" s="1174"/>
      <c r="FL25" s="1175"/>
      <c r="FM25" s="1175"/>
      <c r="FN25" s="1175"/>
      <c r="FO25" s="1175"/>
      <c r="FP25" s="1176"/>
      <c r="FQ25" s="1185"/>
      <c r="FR25" s="1185"/>
      <c r="FS25" s="1185"/>
      <c r="FT25" s="1185"/>
      <c r="FU25" s="1185"/>
      <c r="FV25" s="1185"/>
      <c r="FW25" s="1185"/>
      <c r="FX25" s="1185"/>
      <c r="FY25" s="1185"/>
      <c r="FZ25" s="1185"/>
      <c r="GA25" s="1185"/>
      <c r="GB25" s="1185"/>
      <c r="GC25" s="1185"/>
      <c r="GD25" s="1178"/>
      <c r="GE25" s="1178"/>
      <c r="GH25" s="518">
        <v>15</v>
      </c>
      <c r="GI25" s="1174"/>
      <c r="GJ25" s="1175"/>
      <c r="GK25" s="1175"/>
      <c r="GL25" s="1175"/>
      <c r="GM25" s="1175"/>
      <c r="GN25" s="1176"/>
      <c r="GO25" s="1185"/>
      <c r="GP25" s="1185"/>
      <c r="GQ25" s="1185"/>
      <c r="GR25" s="1185"/>
      <c r="GS25" s="1185"/>
      <c r="GT25" s="1185"/>
      <c r="GU25" s="1185"/>
      <c r="GV25" s="1185"/>
      <c r="GW25" s="1185"/>
      <c r="GX25" s="1185"/>
      <c r="GY25" s="1185"/>
      <c r="GZ25" s="1185"/>
      <c r="HA25" s="1185"/>
      <c r="HB25" s="1178"/>
      <c r="HC25" s="1178"/>
      <c r="HE25" s="518">
        <v>7</v>
      </c>
      <c r="HF25" s="1174"/>
      <c r="HG25" s="1175"/>
      <c r="HH25" s="1175"/>
      <c r="HI25" s="1175"/>
      <c r="HJ25" s="1175"/>
      <c r="HK25" s="1176"/>
      <c r="HL25" s="1185"/>
      <c r="HM25" s="1185"/>
      <c r="HN25" s="1185"/>
      <c r="HO25" s="1185"/>
      <c r="HP25" s="1185"/>
      <c r="HQ25" s="1185"/>
      <c r="HR25" s="1185"/>
      <c r="HS25" s="1185"/>
      <c r="HT25" s="1185"/>
      <c r="HU25" s="1185"/>
      <c r="HV25" s="1185"/>
      <c r="HW25" s="1185"/>
      <c r="HX25" s="1185"/>
      <c r="HY25" s="1178"/>
      <c r="HZ25" s="1178"/>
    </row>
    <row r="26" spans="2:234" ht="17.149999999999999" customHeight="1" x14ac:dyDescent="0.25">
      <c r="B26" s="519">
        <v>16</v>
      </c>
      <c r="C26" s="1179"/>
      <c r="D26" s="1180"/>
      <c r="E26" s="1180"/>
      <c r="F26" s="1180"/>
      <c r="G26" s="1180"/>
      <c r="H26" s="1181"/>
      <c r="I26" s="1173"/>
      <c r="J26" s="1173"/>
      <c r="K26" s="1173"/>
      <c r="L26" s="1173"/>
      <c r="M26" s="1173"/>
      <c r="N26" s="1173"/>
      <c r="O26" s="1173"/>
      <c r="P26" s="1173"/>
      <c r="Q26" s="1173"/>
      <c r="R26" s="1173"/>
      <c r="S26" s="1173"/>
      <c r="T26" s="1173"/>
      <c r="U26" s="1173"/>
      <c r="V26" s="1183"/>
      <c r="W26" s="1183"/>
      <c r="Y26" s="519">
        <v>8</v>
      </c>
      <c r="Z26" s="1179"/>
      <c r="AA26" s="1180"/>
      <c r="AB26" s="1180"/>
      <c r="AC26" s="1180"/>
      <c r="AD26" s="1180"/>
      <c r="AE26" s="1181"/>
      <c r="AF26" s="1173"/>
      <c r="AG26" s="1173"/>
      <c r="AH26" s="1173"/>
      <c r="AI26" s="1173"/>
      <c r="AJ26" s="1173"/>
      <c r="AK26" s="1173"/>
      <c r="AL26" s="1173"/>
      <c r="AM26" s="1173"/>
      <c r="AN26" s="1173"/>
      <c r="AO26" s="1173"/>
      <c r="AP26" s="1173"/>
      <c r="AQ26" s="1173"/>
      <c r="AR26" s="1173"/>
      <c r="AS26" s="1183"/>
      <c r="AT26" s="1183"/>
      <c r="AW26" s="519">
        <v>16</v>
      </c>
      <c r="AX26" s="1179"/>
      <c r="AY26" s="1180"/>
      <c r="AZ26" s="1180"/>
      <c r="BA26" s="1180"/>
      <c r="BB26" s="1180"/>
      <c r="BC26" s="1181"/>
      <c r="BD26" s="1173"/>
      <c r="BE26" s="1173"/>
      <c r="BF26" s="1173"/>
      <c r="BG26" s="1173"/>
      <c r="BH26" s="1173"/>
      <c r="BI26" s="1173"/>
      <c r="BJ26" s="1173"/>
      <c r="BK26" s="1173"/>
      <c r="BL26" s="1173"/>
      <c r="BM26" s="1173"/>
      <c r="BN26" s="1173"/>
      <c r="BO26" s="1173"/>
      <c r="BP26" s="1173"/>
      <c r="BQ26" s="1183"/>
      <c r="BR26" s="1183"/>
      <c r="BT26" s="519">
        <v>8</v>
      </c>
      <c r="BU26" s="1179"/>
      <c r="BV26" s="1180"/>
      <c r="BW26" s="1180"/>
      <c r="BX26" s="1180"/>
      <c r="BY26" s="1180"/>
      <c r="BZ26" s="1181"/>
      <c r="CA26" s="1173"/>
      <c r="CB26" s="1173"/>
      <c r="CC26" s="1173"/>
      <c r="CD26" s="1173"/>
      <c r="CE26" s="1173"/>
      <c r="CF26" s="1173"/>
      <c r="CG26" s="1173"/>
      <c r="CH26" s="1173"/>
      <c r="CI26" s="1173"/>
      <c r="CJ26" s="1173"/>
      <c r="CK26" s="1173"/>
      <c r="CL26" s="1173"/>
      <c r="CM26" s="1173"/>
      <c r="CN26" s="1183"/>
      <c r="CO26" s="1183"/>
      <c r="CR26" s="519">
        <v>16</v>
      </c>
      <c r="CS26" s="1179"/>
      <c r="CT26" s="1180"/>
      <c r="CU26" s="1180"/>
      <c r="CV26" s="1180"/>
      <c r="CW26" s="1180"/>
      <c r="CX26" s="1181"/>
      <c r="CY26" s="1173"/>
      <c r="CZ26" s="1173"/>
      <c r="DA26" s="1173"/>
      <c r="DB26" s="1173"/>
      <c r="DC26" s="1173"/>
      <c r="DD26" s="1173"/>
      <c r="DE26" s="1173"/>
      <c r="DF26" s="1173"/>
      <c r="DG26" s="1173"/>
      <c r="DH26" s="1173"/>
      <c r="DI26" s="1173"/>
      <c r="DJ26" s="1173"/>
      <c r="DK26" s="1173"/>
      <c r="DL26" s="1183"/>
      <c r="DM26" s="1183"/>
      <c r="DO26" s="519">
        <v>8</v>
      </c>
      <c r="DP26" s="1179"/>
      <c r="DQ26" s="1180"/>
      <c r="DR26" s="1180"/>
      <c r="DS26" s="1180"/>
      <c r="DT26" s="1180"/>
      <c r="DU26" s="1181"/>
      <c r="DV26" s="1173"/>
      <c r="DW26" s="1173"/>
      <c r="DX26" s="1173"/>
      <c r="DY26" s="1173"/>
      <c r="DZ26" s="1173"/>
      <c r="EA26" s="1173"/>
      <c r="EB26" s="1173"/>
      <c r="EC26" s="1173"/>
      <c r="ED26" s="1173"/>
      <c r="EE26" s="1173"/>
      <c r="EF26" s="1173"/>
      <c r="EG26" s="1173"/>
      <c r="EH26" s="1173"/>
      <c r="EI26" s="1183"/>
      <c r="EJ26" s="1183"/>
      <c r="EM26" s="519">
        <v>16</v>
      </c>
      <c r="EN26" s="1179"/>
      <c r="EO26" s="1180"/>
      <c r="EP26" s="1180"/>
      <c r="EQ26" s="1180"/>
      <c r="ER26" s="1180"/>
      <c r="ES26" s="1181"/>
      <c r="ET26" s="1173"/>
      <c r="EU26" s="1173"/>
      <c r="EV26" s="1173"/>
      <c r="EW26" s="1173"/>
      <c r="EX26" s="1173"/>
      <c r="EY26" s="1173"/>
      <c r="EZ26" s="1173"/>
      <c r="FA26" s="1173"/>
      <c r="FB26" s="1173"/>
      <c r="FC26" s="1173"/>
      <c r="FD26" s="1173"/>
      <c r="FE26" s="1173"/>
      <c r="FF26" s="1173"/>
      <c r="FG26" s="1183"/>
      <c r="FH26" s="1183"/>
      <c r="FJ26" s="519">
        <v>8</v>
      </c>
      <c r="FK26" s="1179"/>
      <c r="FL26" s="1180"/>
      <c r="FM26" s="1180"/>
      <c r="FN26" s="1180"/>
      <c r="FO26" s="1180"/>
      <c r="FP26" s="1181"/>
      <c r="FQ26" s="1173"/>
      <c r="FR26" s="1173"/>
      <c r="FS26" s="1173"/>
      <c r="FT26" s="1173"/>
      <c r="FU26" s="1173"/>
      <c r="FV26" s="1173"/>
      <c r="FW26" s="1173"/>
      <c r="FX26" s="1173"/>
      <c r="FY26" s="1173"/>
      <c r="FZ26" s="1173"/>
      <c r="GA26" s="1173"/>
      <c r="GB26" s="1173"/>
      <c r="GC26" s="1173"/>
      <c r="GD26" s="1183"/>
      <c r="GE26" s="1183"/>
      <c r="GH26" s="519">
        <v>16</v>
      </c>
      <c r="GI26" s="1179"/>
      <c r="GJ26" s="1180"/>
      <c r="GK26" s="1180"/>
      <c r="GL26" s="1180"/>
      <c r="GM26" s="1180"/>
      <c r="GN26" s="1181"/>
      <c r="GO26" s="1173"/>
      <c r="GP26" s="1173"/>
      <c r="GQ26" s="1173"/>
      <c r="GR26" s="1173"/>
      <c r="GS26" s="1173"/>
      <c r="GT26" s="1173"/>
      <c r="GU26" s="1173"/>
      <c r="GV26" s="1173"/>
      <c r="GW26" s="1173"/>
      <c r="GX26" s="1173"/>
      <c r="GY26" s="1173"/>
      <c r="GZ26" s="1173"/>
      <c r="HA26" s="1173"/>
      <c r="HB26" s="1183"/>
      <c r="HC26" s="1183"/>
      <c r="HE26" s="519">
        <v>8</v>
      </c>
      <c r="HF26" s="1179"/>
      <c r="HG26" s="1180"/>
      <c r="HH26" s="1180"/>
      <c r="HI26" s="1180"/>
      <c r="HJ26" s="1180"/>
      <c r="HK26" s="1181"/>
      <c r="HL26" s="1173"/>
      <c r="HM26" s="1173"/>
      <c r="HN26" s="1173"/>
      <c r="HO26" s="1173"/>
      <c r="HP26" s="1173"/>
      <c r="HQ26" s="1173"/>
      <c r="HR26" s="1173"/>
      <c r="HS26" s="1173"/>
      <c r="HT26" s="1173"/>
      <c r="HU26" s="1173"/>
      <c r="HV26" s="1173"/>
      <c r="HW26" s="1173"/>
      <c r="HX26" s="1173"/>
      <c r="HY26" s="1183"/>
      <c r="HZ26" s="1183"/>
    </row>
    <row r="27" spans="2:234" ht="17.149999999999999" customHeight="1" x14ac:dyDescent="0.25">
      <c r="B27" s="518">
        <v>17</v>
      </c>
      <c r="C27" s="1174"/>
      <c r="D27" s="1175"/>
      <c r="E27" s="1175"/>
      <c r="F27" s="1175"/>
      <c r="G27" s="1175"/>
      <c r="H27" s="1176"/>
      <c r="I27" s="1185"/>
      <c r="J27" s="1185"/>
      <c r="K27" s="1185"/>
      <c r="L27" s="1185"/>
      <c r="M27" s="1185"/>
      <c r="N27" s="1185"/>
      <c r="O27" s="1185"/>
      <c r="P27" s="1185"/>
      <c r="Q27" s="1185"/>
      <c r="R27" s="1185"/>
      <c r="S27" s="1185"/>
      <c r="T27" s="1185"/>
      <c r="U27" s="1185"/>
      <c r="V27" s="1178"/>
      <c r="W27" s="1178"/>
      <c r="Y27" s="518">
        <v>9</v>
      </c>
      <c r="Z27" s="1174"/>
      <c r="AA27" s="1175"/>
      <c r="AB27" s="1175"/>
      <c r="AC27" s="1175"/>
      <c r="AD27" s="1175"/>
      <c r="AE27" s="1176"/>
      <c r="AF27" s="1185"/>
      <c r="AG27" s="1185"/>
      <c r="AH27" s="1185"/>
      <c r="AI27" s="1185"/>
      <c r="AJ27" s="1185"/>
      <c r="AK27" s="1185"/>
      <c r="AL27" s="1185"/>
      <c r="AM27" s="1185"/>
      <c r="AN27" s="1185"/>
      <c r="AO27" s="1185"/>
      <c r="AP27" s="1185"/>
      <c r="AQ27" s="1185"/>
      <c r="AR27" s="1185"/>
      <c r="AS27" s="1178"/>
      <c r="AT27" s="1178"/>
      <c r="AW27" s="518">
        <v>17</v>
      </c>
      <c r="AX27" s="1174"/>
      <c r="AY27" s="1175"/>
      <c r="AZ27" s="1175"/>
      <c r="BA27" s="1175"/>
      <c r="BB27" s="1175"/>
      <c r="BC27" s="1176"/>
      <c r="BD27" s="1185"/>
      <c r="BE27" s="1185"/>
      <c r="BF27" s="1185"/>
      <c r="BG27" s="1185"/>
      <c r="BH27" s="1185"/>
      <c r="BI27" s="1185"/>
      <c r="BJ27" s="1185"/>
      <c r="BK27" s="1185"/>
      <c r="BL27" s="1185"/>
      <c r="BM27" s="1185"/>
      <c r="BN27" s="1185"/>
      <c r="BO27" s="1185"/>
      <c r="BP27" s="1185"/>
      <c r="BQ27" s="1178"/>
      <c r="BR27" s="1178"/>
      <c r="BT27" s="518">
        <v>9</v>
      </c>
      <c r="BU27" s="1174"/>
      <c r="BV27" s="1175"/>
      <c r="BW27" s="1175"/>
      <c r="BX27" s="1175"/>
      <c r="BY27" s="1175"/>
      <c r="BZ27" s="1176"/>
      <c r="CA27" s="1185"/>
      <c r="CB27" s="1185"/>
      <c r="CC27" s="1185"/>
      <c r="CD27" s="1185"/>
      <c r="CE27" s="1185"/>
      <c r="CF27" s="1185"/>
      <c r="CG27" s="1185"/>
      <c r="CH27" s="1185"/>
      <c r="CI27" s="1185"/>
      <c r="CJ27" s="1185"/>
      <c r="CK27" s="1185"/>
      <c r="CL27" s="1185"/>
      <c r="CM27" s="1185"/>
      <c r="CN27" s="1178"/>
      <c r="CO27" s="1178"/>
      <c r="CR27" s="518">
        <v>17</v>
      </c>
      <c r="CS27" s="1174"/>
      <c r="CT27" s="1175"/>
      <c r="CU27" s="1175"/>
      <c r="CV27" s="1175"/>
      <c r="CW27" s="1175"/>
      <c r="CX27" s="1176"/>
      <c r="CY27" s="1185"/>
      <c r="CZ27" s="1185"/>
      <c r="DA27" s="1185"/>
      <c r="DB27" s="1185"/>
      <c r="DC27" s="1185"/>
      <c r="DD27" s="1185"/>
      <c r="DE27" s="1185"/>
      <c r="DF27" s="1185"/>
      <c r="DG27" s="1185"/>
      <c r="DH27" s="1185"/>
      <c r="DI27" s="1185"/>
      <c r="DJ27" s="1185"/>
      <c r="DK27" s="1185"/>
      <c r="DL27" s="1178"/>
      <c r="DM27" s="1178"/>
      <c r="DO27" s="518">
        <v>9</v>
      </c>
      <c r="DP27" s="1174"/>
      <c r="DQ27" s="1175"/>
      <c r="DR27" s="1175"/>
      <c r="DS27" s="1175"/>
      <c r="DT27" s="1175"/>
      <c r="DU27" s="1176"/>
      <c r="DV27" s="1185"/>
      <c r="DW27" s="1185"/>
      <c r="DX27" s="1185"/>
      <c r="DY27" s="1185"/>
      <c r="DZ27" s="1185"/>
      <c r="EA27" s="1185"/>
      <c r="EB27" s="1185"/>
      <c r="EC27" s="1185"/>
      <c r="ED27" s="1185"/>
      <c r="EE27" s="1185"/>
      <c r="EF27" s="1185"/>
      <c r="EG27" s="1185"/>
      <c r="EH27" s="1185"/>
      <c r="EI27" s="1178"/>
      <c r="EJ27" s="1178"/>
      <c r="EM27" s="518">
        <v>17</v>
      </c>
      <c r="EN27" s="1174"/>
      <c r="EO27" s="1175"/>
      <c r="EP27" s="1175"/>
      <c r="EQ27" s="1175"/>
      <c r="ER27" s="1175"/>
      <c r="ES27" s="1176"/>
      <c r="ET27" s="1185"/>
      <c r="EU27" s="1185"/>
      <c r="EV27" s="1185"/>
      <c r="EW27" s="1185"/>
      <c r="EX27" s="1185"/>
      <c r="EY27" s="1185"/>
      <c r="EZ27" s="1185"/>
      <c r="FA27" s="1185"/>
      <c r="FB27" s="1185"/>
      <c r="FC27" s="1185"/>
      <c r="FD27" s="1185"/>
      <c r="FE27" s="1185"/>
      <c r="FF27" s="1185"/>
      <c r="FG27" s="1178"/>
      <c r="FH27" s="1178"/>
      <c r="FJ27" s="518">
        <v>9</v>
      </c>
      <c r="FK27" s="1174"/>
      <c r="FL27" s="1175"/>
      <c r="FM27" s="1175"/>
      <c r="FN27" s="1175"/>
      <c r="FO27" s="1175"/>
      <c r="FP27" s="1176"/>
      <c r="FQ27" s="1185"/>
      <c r="FR27" s="1185"/>
      <c r="FS27" s="1185"/>
      <c r="FT27" s="1185"/>
      <c r="FU27" s="1185"/>
      <c r="FV27" s="1185"/>
      <c r="FW27" s="1185"/>
      <c r="FX27" s="1185"/>
      <c r="FY27" s="1185"/>
      <c r="FZ27" s="1185"/>
      <c r="GA27" s="1185"/>
      <c r="GB27" s="1185"/>
      <c r="GC27" s="1185"/>
      <c r="GD27" s="1178"/>
      <c r="GE27" s="1178"/>
      <c r="GH27" s="518">
        <v>17</v>
      </c>
      <c r="GI27" s="1174"/>
      <c r="GJ27" s="1175"/>
      <c r="GK27" s="1175"/>
      <c r="GL27" s="1175"/>
      <c r="GM27" s="1175"/>
      <c r="GN27" s="1176"/>
      <c r="GO27" s="1185"/>
      <c r="GP27" s="1185"/>
      <c r="GQ27" s="1185"/>
      <c r="GR27" s="1185"/>
      <c r="GS27" s="1185"/>
      <c r="GT27" s="1185"/>
      <c r="GU27" s="1185"/>
      <c r="GV27" s="1185"/>
      <c r="GW27" s="1185"/>
      <c r="GX27" s="1185"/>
      <c r="GY27" s="1185"/>
      <c r="GZ27" s="1185"/>
      <c r="HA27" s="1185"/>
      <c r="HB27" s="1178"/>
      <c r="HC27" s="1178"/>
      <c r="HE27" s="518">
        <v>9</v>
      </c>
      <c r="HF27" s="1174"/>
      <c r="HG27" s="1175"/>
      <c r="HH27" s="1175"/>
      <c r="HI27" s="1175"/>
      <c r="HJ27" s="1175"/>
      <c r="HK27" s="1176"/>
      <c r="HL27" s="1185"/>
      <c r="HM27" s="1185"/>
      <c r="HN27" s="1185"/>
      <c r="HO27" s="1185"/>
      <c r="HP27" s="1185"/>
      <c r="HQ27" s="1185"/>
      <c r="HR27" s="1185"/>
      <c r="HS27" s="1185"/>
      <c r="HT27" s="1185"/>
      <c r="HU27" s="1185"/>
      <c r="HV27" s="1185"/>
      <c r="HW27" s="1185"/>
      <c r="HX27" s="1185"/>
      <c r="HY27" s="1178"/>
      <c r="HZ27" s="1178"/>
    </row>
    <row r="28" spans="2:234" ht="17.149999999999999" customHeight="1" x14ac:dyDescent="0.25">
      <c r="B28" s="519">
        <v>18</v>
      </c>
      <c r="C28" s="1179"/>
      <c r="D28" s="1180"/>
      <c r="E28" s="1180"/>
      <c r="F28" s="1180"/>
      <c r="G28" s="1180"/>
      <c r="H28" s="1181"/>
      <c r="I28" s="1173"/>
      <c r="J28" s="1173"/>
      <c r="K28" s="1173"/>
      <c r="L28" s="1173"/>
      <c r="M28" s="1173"/>
      <c r="N28" s="1173"/>
      <c r="O28" s="1173"/>
      <c r="P28" s="1173"/>
      <c r="Q28" s="1173"/>
      <c r="R28" s="1173"/>
      <c r="S28" s="1173"/>
      <c r="T28" s="1173"/>
      <c r="U28" s="1173"/>
      <c r="V28" s="1183"/>
      <c r="W28" s="1183"/>
      <c r="Y28" s="519">
        <v>10</v>
      </c>
      <c r="Z28" s="1179"/>
      <c r="AA28" s="1180"/>
      <c r="AB28" s="1180"/>
      <c r="AC28" s="1180"/>
      <c r="AD28" s="1180"/>
      <c r="AE28" s="1181"/>
      <c r="AF28" s="1173"/>
      <c r="AG28" s="1173"/>
      <c r="AH28" s="1173"/>
      <c r="AI28" s="1173"/>
      <c r="AJ28" s="1173"/>
      <c r="AK28" s="1173"/>
      <c r="AL28" s="1173"/>
      <c r="AM28" s="1173"/>
      <c r="AN28" s="1173"/>
      <c r="AO28" s="1173"/>
      <c r="AP28" s="1173"/>
      <c r="AQ28" s="1173"/>
      <c r="AR28" s="1173"/>
      <c r="AS28" s="1183"/>
      <c r="AT28" s="1183"/>
      <c r="AW28" s="519">
        <v>18</v>
      </c>
      <c r="AX28" s="1179"/>
      <c r="AY28" s="1180"/>
      <c r="AZ28" s="1180"/>
      <c r="BA28" s="1180"/>
      <c r="BB28" s="1180"/>
      <c r="BC28" s="1181"/>
      <c r="BD28" s="1173"/>
      <c r="BE28" s="1173"/>
      <c r="BF28" s="1173"/>
      <c r="BG28" s="1173"/>
      <c r="BH28" s="1173"/>
      <c r="BI28" s="1173"/>
      <c r="BJ28" s="1173"/>
      <c r="BK28" s="1173"/>
      <c r="BL28" s="1173"/>
      <c r="BM28" s="1173"/>
      <c r="BN28" s="1173"/>
      <c r="BO28" s="1173"/>
      <c r="BP28" s="1173"/>
      <c r="BQ28" s="1183"/>
      <c r="BR28" s="1183"/>
      <c r="BT28" s="519">
        <v>10</v>
      </c>
      <c r="BU28" s="1179"/>
      <c r="BV28" s="1180"/>
      <c r="BW28" s="1180"/>
      <c r="BX28" s="1180"/>
      <c r="BY28" s="1180"/>
      <c r="BZ28" s="1181"/>
      <c r="CA28" s="1173"/>
      <c r="CB28" s="1173"/>
      <c r="CC28" s="1173"/>
      <c r="CD28" s="1173"/>
      <c r="CE28" s="1173"/>
      <c r="CF28" s="1173"/>
      <c r="CG28" s="1173"/>
      <c r="CH28" s="1173"/>
      <c r="CI28" s="1173"/>
      <c r="CJ28" s="1173"/>
      <c r="CK28" s="1173"/>
      <c r="CL28" s="1173"/>
      <c r="CM28" s="1173"/>
      <c r="CN28" s="1183"/>
      <c r="CO28" s="1183"/>
      <c r="CR28" s="519">
        <v>18</v>
      </c>
      <c r="CS28" s="1179"/>
      <c r="CT28" s="1180"/>
      <c r="CU28" s="1180"/>
      <c r="CV28" s="1180"/>
      <c r="CW28" s="1180"/>
      <c r="CX28" s="1181"/>
      <c r="CY28" s="1173"/>
      <c r="CZ28" s="1173"/>
      <c r="DA28" s="1173"/>
      <c r="DB28" s="1173"/>
      <c r="DC28" s="1173"/>
      <c r="DD28" s="1173"/>
      <c r="DE28" s="1173"/>
      <c r="DF28" s="1173"/>
      <c r="DG28" s="1173"/>
      <c r="DH28" s="1173"/>
      <c r="DI28" s="1173"/>
      <c r="DJ28" s="1173"/>
      <c r="DK28" s="1173"/>
      <c r="DL28" s="1183"/>
      <c r="DM28" s="1183"/>
      <c r="DO28" s="519">
        <v>10</v>
      </c>
      <c r="DP28" s="1179"/>
      <c r="DQ28" s="1180"/>
      <c r="DR28" s="1180"/>
      <c r="DS28" s="1180"/>
      <c r="DT28" s="1180"/>
      <c r="DU28" s="1181"/>
      <c r="DV28" s="1173"/>
      <c r="DW28" s="1173"/>
      <c r="DX28" s="1173"/>
      <c r="DY28" s="1173"/>
      <c r="DZ28" s="1173"/>
      <c r="EA28" s="1173"/>
      <c r="EB28" s="1173"/>
      <c r="EC28" s="1173"/>
      <c r="ED28" s="1173"/>
      <c r="EE28" s="1173"/>
      <c r="EF28" s="1173"/>
      <c r="EG28" s="1173"/>
      <c r="EH28" s="1173"/>
      <c r="EI28" s="1183"/>
      <c r="EJ28" s="1183"/>
      <c r="EM28" s="519">
        <v>18</v>
      </c>
      <c r="EN28" s="1179"/>
      <c r="EO28" s="1180"/>
      <c r="EP28" s="1180"/>
      <c r="EQ28" s="1180"/>
      <c r="ER28" s="1180"/>
      <c r="ES28" s="1181"/>
      <c r="ET28" s="1173"/>
      <c r="EU28" s="1173"/>
      <c r="EV28" s="1173"/>
      <c r="EW28" s="1173"/>
      <c r="EX28" s="1173"/>
      <c r="EY28" s="1173"/>
      <c r="EZ28" s="1173"/>
      <c r="FA28" s="1173"/>
      <c r="FB28" s="1173"/>
      <c r="FC28" s="1173"/>
      <c r="FD28" s="1173"/>
      <c r="FE28" s="1173"/>
      <c r="FF28" s="1173"/>
      <c r="FG28" s="1183"/>
      <c r="FH28" s="1183"/>
      <c r="FJ28" s="519">
        <v>10</v>
      </c>
      <c r="FK28" s="1179"/>
      <c r="FL28" s="1180"/>
      <c r="FM28" s="1180"/>
      <c r="FN28" s="1180"/>
      <c r="FO28" s="1180"/>
      <c r="FP28" s="1181"/>
      <c r="FQ28" s="1173"/>
      <c r="FR28" s="1173"/>
      <c r="FS28" s="1173"/>
      <c r="FT28" s="1173"/>
      <c r="FU28" s="1173"/>
      <c r="FV28" s="1173"/>
      <c r="FW28" s="1173"/>
      <c r="FX28" s="1173"/>
      <c r="FY28" s="1173"/>
      <c r="FZ28" s="1173"/>
      <c r="GA28" s="1173"/>
      <c r="GB28" s="1173"/>
      <c r="GC28" s="1173"/>
      <c r="GD28" s="1183"/>
      <c r="GE28" s="1183"/>
      <c r="GH28" s="519">
        <v>18</v>
      </c>
      <c r="GI28" s="1179"/>
      <c r="GJ28" s="1180"/>
      <c r="GK28" s="1180"/>
      <c r="GL28" s="1180"/>
      <c r="GM28" s="1180"/>
      <c r="GN28" s="1181"/>
      <c r="GO28" s="1173"/>
      <c r="GP28" s="1173"/>
      <c r="GQ28" s="1173"/>
      <c r="GR28" s="1173"/>
      <c r="GS28" s="1173"/>
      <c r="GT28" s="1173"/>
      <c r="GU28" s="1173"/>
      <c r="GV28" s="1173"/>
      <c r="GW28" s="1173"/>
      <c r="GX28" s="1173"/>
      <c r="GY28" s="1173"/>
      <c r="GZ28" s="1173"/>
      <c r="HA28" s="1173"/>
      <c r="HB28" s="1183"/>
      <c r="HC28" s="1183"/>
      <c r="HE28" s="519">
        <v>10</v>
      </c>
      <c r="HF28" s="1179"/>
      <c r="HG28" s="1180"/>
      <c r="HH28" s="1180"/>
      <c r="HI28" s="1180"/>
      <c r="HJ28" s="1180"/>
      <c r="HK28" s="1181"/>
      <c r="HL28" s="1173"/>
      <c r="HM28" s="1173"/>
      <c r="HN28" s="1173"/>
      <c r="HO28" s="1173"/>
      <c r="HP28" s="1173"/>
      <c r="HQ28" s="1173"/>
      <c r="HR28" s="1173"/>
      <c r="HS28" s="1173"/>
      <c r="HT28" s="1173"/>
      <c r="HU28" s="1173"/>
      <c r="HV28" s="1173"/>
      <c r="HW28" s="1173"/>
      <c r="HX28" s="1173"/>
      <c r="HY28" s="1183"/>
      <c r="HZ28" s="1183"/>
    </row>
    <row r="29" spans="2:234" ht="17.149999999999999" customHeight="1" x14ac:dyDescent="0.25">
      <c r="B29" s="518">
        <v>19</v>
      </c>
      <c r="C29" s="1174"/>
      <c r="D29" s="1175"/>
      <c r="E29" s="1175"/>
      <c r="F29" s="1175"/>
      <c r="G29" s="1175"/>
      <c r="H29" s="1176"/>
      <c r="I29" s="1185"/>
      <c r="J29" s="1185"/>
      <c r="K29" s="1185"/>
      <c r="L29" s="1185"/>
      <c r="M29" s="1185"/>
      <c r="N29" s="1185"/>
      <c r="O29" s="1185"/>
      <c r="P29" s="1185"/>
      <c r="Q29" s="1185"/>
      <c r="R29" s="1185"/>
      <c r="S29" s="1185"/>
      <c r="T29" s="1185"/>
      <c r="U29" s="1185"/>
      <c r="V29" s="1178"/>
      <c r="W29" s="1178"/>
      <c r="Y29" s="518">
        <v>11</v>
      </c>
      <c r="Z29" s="1174"/>
      <c r="AA29" s="1175"/>
      <c r="AB29" s="1175"/>
      <c r="AC29" s="1175"/>
      <c r="AD29" s="1175"/>
      <c r="AE29" s="1176"/>
      <c r="AF29" s="1185"/>
      <c r="AG29" s="1185"/>
      <c r="AH29" s="1185"/>
      <c r="AI29" s="1185"/>
      <c r="AJ29" s="1185"/>
      <c r="AK29" s="1185"/>
      <c r="AL29" s="1185"/>
      <c r="AM29" s="1185"/>
      <c r="AN29" s="1185"/>
      <c r="AO29" s="1185"/>
      <c r="AP29" s="1185"/>
      <c r="AQ29" s="1185"/>
      <c r="AR29" s="1185"/>
      <c r="AS29" s="1178"/>
      <c r="AT29" s="1178"/>
      <c r="AW29" s="518">
        <v>19</v>
      </c>
      <c r="AX29" s="1174"/>
      <c r="AY29" s="1175"/>
      <c r="AZ29" s="1175"/>
      <c r="BA29" s="1175"/>
      <c r="BB29" s="1175"/>
      <c r="BC29" s="1176"/>
      <c r="BD29" s="1185"/>
      <c r="BE29" s="1185"/>
      <c r="BF29" s="1185"/>
      <c r="BG29" s="1185"/>
      <c r="BH29" s="1185"/>
      <c r="BI29" s="1185"/>
      <c r="BJ29" s="1185"/>
      <c r="BK29" s="1185"/>
      <c r="BL29" s="1185"/>
      <c r="BM29" s="1185"/>
      <c r="BN29" s="1185"/>
      <c r="BO29" s="1185"/>
      <c r="BP29" s="1185"/>
      <c r="BQ29" s="1178"/>
      <c r="BR29" s="1178"/>
      <c r="BT29" s="518">
        <v>11</v>
      </c>
      <c r="BU29" s="1174"/>
      <c r="BV29" s="1175"/>
      <c r="BW29" s="1175"/>
      <c r="BX29" s="1175"/>
      <c r="BY29" s="1175"/>
      <c r="BZ29" s="1176"/>
      <c r="CA29" s="1185"/>
      <c r="CB29" s="1185"/>
      <c r="CC29" s="1185"/>
      <c r="CD29" s="1185"/>
      <c r="CE29" s="1185"/>
      <c r="CF29" s="1185"/>
      <c r="CG29" s="1185"/>
      <c r="CH29" s="1185"/>
      <c r="CI29" s="1185"/>
      <c r="CJ29" s="1185"/>
      <c r="CK29" s="1185"/>
      <c r="CL29" s="1185"/>
      <c r="CM29" s="1185"/>
      <c r="CN29" s="1178"/>
      <c r="CO29" s="1178"/>
      <c r="CR29" s="518">
        <v>19</v>
      </c>
      <c r="CS29" s="1174"/>
      <c r="CT29" s="1175"/>
      <c r="CU29" s="1175"/>
      <c r="CV29" s="1175"/>
      <c r="CW29" s="1175"/>
      <c r="CX29" s="1176"/>
      <c r="CY29" s="1185"/>
      <c r="CZ29" s="1185"/>
      <c r="DA29" s="1185"/>
      <c r="DB29" s="1185"/>
      <c r="DC29" s="1185"/>
      <c r="DD29" s="1185"/>
      <c r="DE29" s="1185"/>
      <c r="DF29" s="1185"/>
      <c r="DG29" s="1185"/>
      <c r="DH29" s="1185"/>
      <c r="DI29" s="1185"/>
      <c r="DJ29" s="1185"/>
      <c r="DK29" s="1185"/>
      <c r="DL29" s="1178"/>
      <c r="DM29" s="1178"/>
      <c r="DO29" s="518">
        <v>11</v>
      </c>
      <c r="DP29" s="1174"/>
      <c r="DQ29" s="1175"/>
      <c r="DR29" s="1175"/>
      <c r="DS29" s="1175"/>
      <c r="DT29" s="1175"/>
      <c r="DU29" s="1176"/>
      <c r="DV29" s="1185"/>
      <c r="DW29" s="1185"/>
      <c r="DX29" s="1185"/>
      <c r="DY29" s="1185"/>
      <c r="DZ29" s="1185"/>
      <c r="EA29" s="1185"/>
      <c r="EB29" s="1185"/>
      <c r="EC29" s="1185"/>
      <c r="ED29" s="1185"/>
      <c r="EE29" s="1185"/>
      <c r="EF29" s="1185"/>
      <c r="EG29" s="1185"/>
      <c r="EH29" s="1185"/>
      <c r="EI29" s="1178"/>
      <c r="EJ29" s="1178"/>
      <c r="EM29" s="518">
        <v>19</v>
      </c>
      <c r="EN29" s="1174"/>
      <c r="EO29" s="1175"/>
      <c r="EP29" s="1175"/>
      <c r="EQ29" s="1175"/>
      <c r="ER29" s="1175"/>
      <c r="ES29" s="1176"/>
      <c r="ET29" s="1185"/>
      <c r="EU29" s="1185"/>
      <c r="EV29" s="1185"/>
      <c r="EW29" s="1185"/>
      <c r="EX29" s="1185"/>
      <c r="EY29" s="1185"/>
      <c r="EZ29" s="1185"/>
      <c r="FA29" s="1185"/>
      <c r="FB29" s="1185"/>
      <c r="FC29" s="1185"/>
      <c r="FD29" s="1185"/>
      <c r="FE29" s="1185"/>
      <c r="FF29" s="1185"/>
      <c r="FG29" s="1178"/>
      <c r="FH29" s="1178"/>
      <c r="FJ29" s="518">
        <v>11</v>
      </c>
      <c r="FK29" s="1174"/>
      <c r="FL29" s="1175"/>
      <c r="FM29" s="1175"/>
      <c r="FN29" s="1175"/>
      <c r="FO29" s="1175"/>
      <c r="FP29" s="1176"/>
      <c r="FQ29" s="1185"/>
      <c r="FR29" s="1185"/>
      <c r="FS29" s="1185"/>
      <c r="FT29" s="1185"/>
      <c r="FU29" s="1185"/>
      <c r="FV29" s="1185"/>
      <c r="FW29" s="1185"/>
      <c r="FX29" s="1185"/>
      <c r="FY29" s="1185"/>
      <c r="FZ29" s="1185"/>
      <c r="GA29" s="1185"/>
      <c r="GB29" s="1185"/>
      <c r="GC29" s="1185"/>
      <c r="GD29" s="1178"/>
      <c r="GE29" s="1178"/>
      <c r="GH29" s="518">
        <v>19</v>
      </c>
      <c r="GI29" s="1174"/>
      <c r="GJ29" s="1175"/>
      <c r="GK29" s="1175"/>
      <c r="GL29" s="1175"/>
      <c r="GM29" s="1175"/>
      <c r="GN29" s="1176"/>
      <c r="GO29" s="1185"/>
      <c r="GP29" s="1185"/>
      <c r="GQ29" s="1185"/>
      <c r="GR29" s="1185"/>
      <c r="GS29" s="1185"/>
      <c r="GT29" s="1185"/>
      <c r="GU29" s="1185"/>
      <c r="GV29" s="1185"/>
      <c r="GW29" s="1185"/>
      <c r="GX29" s="1185"/>
      <c r="GY29" s="1185"/>
      <c r="GZ29" s="1185"/>
      <c r="HA29" s="1185"/>
      <c r="HB29" s="1178"/>
      <c r="HC29" s="1178"/>
      <c r="HE29" s="518">
        <v>11</v>
      </c>
      <c r="HF29" s="1174"/>
      <c r="HG29" s="1175"/>
      <c r="HH29" s="1175"/>
      <c r="HI29" s="1175"/>
      <c r="HJ29" s="1175"/>
      <c r="HK29" s="1176"/>
      <c r="HL29" s="1185"/>
      <c r="HM29" s="1185"/>
      <c r="HN29" s="1185"/>
      <c r="HO29" s="1185"/>
      <c r="HP29" s="1185"/>
      <c r="HQ29" s="1185"/>
      <c r="HR29" s="1185"/>
      <c r="HS29" s="1185"/>
      <c r="HT29" s="1185"/>
      <c r="HU29" s="1185"/>
      <c r="HV29" s="1185"/>
      <c r="HW29" s="1185"/>
      <c r="HX29" s="1185"/>
      <c r="HY29" s="1178"/>
      <c r="HZ29" s="1178"/>
    </row>
    <row r="30" spans="2:234" ht="17.149999999999999" customHeight="1" x14ac:dyDescent="0.25">
      <c r="B30" s="519">
        <v>20</v>
      </c>
      <c r="C30" s="1179"/>
      <c r="D30" s="1180"/>
      <c r="E30" s="1180"/>
      <c r="F30" s="1180"/>
      <c r="G30" s="1180"/>
      <c r="H30" s="1181"/>
      <c r="I30" s="1173"/>
      <c r="J30" s="1173"/>
      <c r="K30" s="1173"/>
      <c r="L30" s="1173"/>
      <c r="M30" s="1173"/>
      <c r="N30" s="1173"/>
      <c r="O30" s="1173"/>
      <c r="P30" s="1173"/>
      <c r="Q30" s="1173"/>
      <c r="R30" s="1173"/>
      <c r="S30" s="1173"/>
      <c r="T30" s="1173"/>
      <c r="U30" s="1173"/>
      <c r="V30" s="1183"/>
      <c r="W30" s="1183"/>
      <c r="Y30" s="519">
        <v>12</v>
      </c>
      <c r="Z30" s="1179"/>
      <c r="AA30" s="1180"/>
      <c r="AB30" s="1180"/>
      <c r="AC30" s="1180"/>
      <c r="AD30" s="1180"/>
      <c r="AE30" s="1181"/>
      <c r="AF30" s="1173"/>
      <c r="AG30" s="1173"/>
      <c r="AH30" s="1173"/>
      <c r="AI30" s="1173"/>
      <c r="AJ30" s="1173"/>
      <c r="AK30" s="1173"/>
      <c r="AL30" s="1173"/>
      <c r="AM30" s="1173"/>
      <c r="AN30" s="1173"/>
      <c r="AO30" s="1173"/>
      <c r="AP30" s="1173"/>
      <c r="AQ30" s="1173"/>
      <c r="AR30" s="1173"/>
      <c r="AS30" s="1183"/>
      <c r="AT30" s="1183"/>
      <c r="AW30" s="519">
        <v>20</v>
      </c>
      <c r="AX30" s="1179"/>
      <c r="AY30" s="1180"/>
      <c r="AZ30" s="1180"/>
      <c r="BA30" s="1180"/>
      <c r="BB30" s="1180"/>
      <c r="BC30" s="1181"/>
      <c r="BD30" s="1173"/>
      <c r="BE30" s="1173"/>
      <c r="BF30" s="1173"/>
      <c r="BG30" s="1173"/>
      <c r="BH30" s="1173"/>
      <c r="BI30" s="1173"/>
      <c r="BJ30" s="1173"/>
      <c r="BK30" s="1173"/>
      <c r="BL30" s="1173"/>
      <c r="BM30" s="1173"/>
      <c r="BN30" s="1173"/>
      <c r="BO30" s="1173"/>
      <c r="BP30" s="1173"/>
      <c r="BQ30" s="1183"/>
      <c r="BR30" s="1183"/>
      <c r="BT30" s="519">
        <v>12</v>
      </c>
      <c r="BU30" s="1179"/>
      <c r="BV30" s="1180"/>
      <c r="BW30" s="1180"/>
      <c r="BX30" s="1180"/>
      <c r="BY30" s="1180"/>
      <c r="BZ30" s="1181"/>
      <c r="CA30" s="1173"/>
      <c r="CB30" s="1173"/>
      <c r="CC30" s="1173"/>
      <c r="CD30" s="1173"/>
      <c r="CE30" s="1173"/>
      <c r="CF30" s="1173"/>
      <c r="CG30" s="1173"/>
      <c r="CH30" s="1173"/>
      <c r="CI30" s="1173"/>
      <c r="CJ30" s="1173"/>
      <c r="CK30" s="1173"/>
      <c r="CL30" s="1173"/>
      <c r="CM30" s="1173"/>
      <c r="CN30" s="1183"/>
      <c r="CO30" s="1183"/>
      <c r="CR30" s="519">
        <v>20</v>
      </c>
      <c r="CS30" s="1179"/>
      <c r="CT30" s="1180"/>
      <c r="CU30" s="1180"/>
      <c r="CV30" s="1180"/>
      <c r="CW30" s="1180"/>
      <c r="CX30" s="1181"/>
      <c r="CY30" s="1173"/>
      <c r="CZ30" s="1173"/>
      <c r="DA30" s="1173"/>
      <c r="DB30" s="1173"/>
      <c r="DC30" s="1173"/>
      <c r="DD30" s="1173"/>
      <c r="DE30" s="1173"/>
      <c r="DF30" s="1173"/>
      <c r="DG30" s="1173"/>
      <c r="DH30" s="1173"/>
      <c r="DI30" s="1173"/>
      <c r="DJ30" s="1173"/>
      <c r="DK30" s="1173"/>
      <c r="DL30" s="1183"/>
      <c r="DM30" s="1183"/>
      <c r="DO30" s="519">
        <v>12</v>
      </c>
      <c r="DP30" s="1179"/>
      <c r="DQ30" s="1180"/>
      <c r="DR30" s="1180"/>
      <c r="DS30" s="1180"/>
      <c r="DT30" s="1180"/>
      <c r="DU30" s="1181"/>
      <c r="DV30" s="1173"/>
      <c r="DW30" s="1173"/>
      <c r="DX30" s="1173"/>
      <c r="DY30" s="1173"/>
      <c r="DZ30" s="1173"/>
      <c r="EA30" s="1173"/>
      <c r="EB30" s="1173"/>
      <c r="EC30" s="1173"/>
      <c r="ED30" s="1173"/>
      <c r="EE30" s="1173"/>
      <c r="EF30" s="1173"/>
      <c r="EG30" s="1173"/>
      <c r="EH30" s="1173"/>
      <c r="EI30" s="1183"/>
      <c r="EJ30" s="1183"/>
      <c r="EM30" s="519">
        <v>20</v>
      </c>
      <c r="EN30" s="1179"/>
      <c r="EO30" s="1180"/>
      <c r="EP30" s="1180"/>
      <c r="EQ30" s="1180"/>
      <c r="ER30" s="1180"/>
      <c r="ES30" s="1181"/>
      <c r="ET30" s="1173"/>
      <c r="EU30" s="1173"/>
      <c r="EV30" s="1173"/>
      <c r="EW30" s="1173"/>
      <c r="EX30" s="1173"/>
      <c r="EY30" s="1173"/>
      <c r="EZ30" s="1173"/>
      <c r="FA30" s="1173"/>
      <c r="FB30" s="1173"/>
      <c r="FC30" s="1173"/>
      <c r="FD30" s="1173"/>
      <c r="FE30" s="1173"/>
      <c r="FF30" s="1173"/>
      <c r="FG30" s="1183"/>
      <c r="FH30" s="1183"/>
      <c r="FJ30" s="519">
        <v>12</v>
      </c>
      <c r="FK30" s="1179"/>
      <c r="FL30" s="1180"/>
      <c r="FM30" s="1180"/>
      <c r="FN30" s="1180"/>
      <c r="FO30" s="1180"/>
      <c r="FP30" s="1181"/>
      <c r="FQ30" s="1173"/>
      <c r="FR30" s="1173"/>
      <c r="FS30" s="1173"/>
      <c r="FT30" s="1173"/>
      <c r="FU30" s="1173"/>
      <c r="FV30" s="1173"/>
      <c r="FW30" s="1173"/>
      <c r="FX30" s="1173"/>
      <c r="FY30" s="1173"/>
      <c r="FZ30" s="1173"/>
      <c r="GA30" s="1173"/>
      <c r="GB30" s="1173"/>
      <c r="GC30" s="1173"/>
      <c r="GD30" s="1183"/>
      <c r="GE30" s="1183"/>
      <c r="GH30" s="519">
        <v>20</v>
      </c>
      <c r="GI30" s="1179"/>
      <c r="GJ30" s="1180"/>
      <c r="GK30" s="1180"/>
      <c r="GL30" s="1180"/>
      <c r="GM30" s="1180"/>
      <c r="GN30" s="1181"/>
      <c r="GO30" s="1173"/>
      <c r="GP30" s="1173"/>
      <c r="GQ30" s="1173"/>
      <c r="GR30" s="1173"/>
      <c r="GS30" s="1173"/>
      <c r="GT30" s="1173"/>
      <c r="GU30" s="1173"/>
      <c r="GV30" s="1173"/>
      <c r="GW30" s="1173"/>
      <c r="GX30" s="1173"/>
      <c r="GY30" s="1173"/>
      <c r="GZ30" s="1173"/>
      <c r="HA30" s="1173"/>
      <c r="HB30" s="1183"/>
      <c r="HC30" s="1183"/>
      <c r="HE30" s="519">
        <v>12</v>
      </c>
      <c r="HF30" s="1179"/>
      <c r="HG30" s="1180"/>
      <c r="HH30" s="1180"/>
      <c r="HI30" s="1180"/>
      <c r="HJ30" s="1180"/>
      <c r="HK30" s="1181"/>
      <c r="HL30" s="1173"/>
      <c r="HM30" s="1173"/>
      <c r="HN30" s="1173"/>
      <c r="HO30" s="1173"/>
      <c r="HP30" s="1173"/>
      <c r="HQ30" s="1173"/>
      <c r="HR30" s="1173"/>
      <c r="HS30" s="1173"/>
      <c r="HT30" s="1173"/>
      <c r="HU30" s="1173"/>
      <c r="HV30" s="1173"/>
      <c r="HW30" s="1173"/>
      <c r="HX30" s="1173"/>
      <c r="HY30" s="1183"/>
      <c r="HZ30" s="1183"/>
    </row>
    <row r="31" spans="2:234" ht="17.149999999999999" customHeight="1" x14ac:dyDescent="0.25">
      <c r="B31" s="518">
        <v>21</v>
      </c>
      <c r="C31" s="1174"/>
      <c r="D31" s="1175"/>
      <c r="E31" s="1175"/>
      <c r="F31" s="1175"/>
      <c r="G31" s="1175"/>
      <c r="H31" s="1176"/>
      <c r="I31" s="1185"/>
      <c r="J31" s="1185"/>
      <c r="K31" s="1185"/>
      <c r="L31" s="1185"/>
      <c r="M31" s="1185"/>
      <c r="N31" s="1185"/>
      <c r="O31" s="1185"/>
      <c r="P31" s="1185"/>
      <c r="Q31" s="1185"/>
      <c r="R31" s="1185"/>
      <c r="S31" s="1185"/>
      <c r="T31" s="1185"/>
      <c r="U31" s="1185"/>
      <c r="V31" s="1178"/>
      <c r="W31" s="1178"/>
      <c r="Y31" s="518">
        <v>13</v>
      </c>
      <c r="Z31" s="1174"/>
      <c r="AA31" s="1175"/>
      <c r="AB31" s="1175"/>
      <c r="AC31" s="1175"/>
      <c r="AD31" s="1175"/>
      <c r="AE31" s="1176"/>
      <c r="AF31" s="1185"/>
      <c r="AG31" s="1185"/>
      <c r="AH31" s="1185"/>
      <c r="AI31" s="1185"/>
      <c r="AJ31" s="1185"/>
      <c r="AK31" s="1185"/>
      <c r="AL31" s="1185"/>
      <c r="AM31" s="1185"/>
      <c r="AN31" s="1185"/>
      <c r="AO31" s="1185"/>
      <c r="AP31" s="1185"/>
      <c r="AQ31" s="1185"/>
      <c r="AR31" s="1185"/>
      <c r="AS31" s="1178"/>
      <c r="AT31" s="1178"/>
      <c r="AW31" s="518">
        <v>21</v>
      </c>
      <c r="AX31" s="1174"/>
      <c r="AY31" s="1175"/>
      <c r="AZ31" s="1175"/>
      <c r="BA31" s="1175"/>
      <c r="BB31" s="1175"/>
      <c r="BC31" s="1176"/>
      <c r="BD31" s="1185"/>
      <c r="BE31" s="1185"/>
      <c r="BF31" s="1185"/>
      <c r="BG31" s="1185"/>
      <c r="BH31" s="1185"/>
      <c r="BI31" s="1185"/>
      <c r="BJ31" s="1185"/>
      <c r="BK31" s="1185"/>
      <c r="BL31" s="1185"/>
      <c r="BM31" s="1185"/>
      <c r="BN31" s="1185"/>
      <c r="BO31" s="1185"/>
      <c r="BP31" s="1185"/>
      <c r="BQ31" s="1178"/>
      <c r="BR31" s="1178"/>
      <c r="BT31" s="518">
        <v>13</v>
      </c>
      <c r="BU31" s="1174"/>
      <c r="BV31" s="1175"/>
      <c r="BW31" s="1175"/>
      <c r="BX31" s="1175"/>
      <c r="BY31" s="1175"/>
      <c r="BZ31" s="1176"/>
      <c r="CA31" s="1185"/>
      <c r="CB31" s="1185"/>
      <c r="CC31" s="1185"/>
      <c r="CD31" s="1185"/>
      <c r="CE31" s="1185"/>
      <c r="CF31" s="1185"/>
      <c r="CG31" s="1185"/>
      <c r="CH31" s="1185"/>
      <c r="CI31" s="1185"/>
      <c r="CJ31" s="1185"/>
      <c r="CK31" s="1185"/>
      <c r="CL31" s="1185"/>
      <c r="CM31" s="1185"/>
      <c r="CN31" s="1178"/>
      <c r="CO31" s="1178"/>
      <c r="CR31" s="518">
        <v>21</v>
      </c>
      <c r="CS31" s="1174"/>
      <c r="CT31" s="1175"/>
      <c r="CU31" s="1175"/>
      <c r="CV31" s="1175"/>
      <c r="CW31" s="1175"/>
      <c r="CX31" s="1176"/>
      <c r="CY31" s="1185"/>
      <c r="CZ31" s="1185"/>
      <c r="DA31" s="1185"/>
      <c r="DB31" s="1185"/>
      <c r="DC31" s="1185"/>
      <c r="DD31" s="1185"/>
      <c r="DE31" s="1185"/>
      <c r="DF31" s="1185"/>
      <c r="DG31" s="1185"/>
      <c r="DH31" s="1185"/>
      <c r="DI31" s="1185"/>
      <c r="DJ31" s="1185"/>
      <c r="DK31" s="1185"/>
      <c r="DL31" s="1178"/>
      <c r="DM31" s="1178"/>
      <c r="DO31" s="518">
        <v>13</v>
      </c>
      <c r="DP31" s="1174"/>
      <c r="DQ31" s="1175"/>
      <c r="DR31" s="1175"/>
      <c r="DS31" s="1175"/>
      <c r="DT31" s="1175"/>
      <c r="DU31" s="1176"/>
      <c r="DV31" s="1185"/>
      <c r="DW31" s="1185"/>
      <c r="DX31" s="1185"/>
      <c r="DY31" s="1185"/>
      <c r="DZ31" s="1185"/>
      <c r="EA31" s="1185"/>
      <c r="EB31" s="1185"/>
      <c r="EC31" s="1185"/>
      <c r="ED31" s="1185"/>
      <c r="EE31" s="1185"/>
      <c r="EF31" s="1185"/>
      <c r="EG31" s="1185"/>
      <c r="EH31" s="1185"/>
      <c r="EI31" s="1178"/>
      <c r="EJ31" s="1178"/>
      <c r="EM31" s="518">
        <v>21</v>
      </c>
      <c r="EN31" s="1174"/>
      <c r="EO31" s="1175"/>
      <c r="EP31" s="1175"/>
      <c r="EQ31" s="1175"/>
      <c r="ER31" s="1175"/>
      <c r="ES31" s="1176"/>
      <c r="ET31" s="1185"/>
      <c r="EU31" s="1185"/>
      <c r="EV31" s="1185"/>
      <c r="EW31" s="1185"/>
      <c r="EX31" s="1185"/>
      <c r="EY31" s="1185"/>
      <c r="EZ31" s="1185"/>
      <c r="FA31" s="1185"/>
      <c r="FB31" s="1185"/>
      <c r="FC31" s="1185"/>
      <c r="FD31" s="1185"/>
      <c r="FE31" s="1185"/>
      <c r="FF31" s="1185"/>
      <c r="FG31" s="1178"/>
      <c r="FH31" s="1178"/>
      <c r="FJ31" s="518">
        <v>13</v>
      </c>
      <c r="FK31" s="1174"/>
      <c r="FL31" s="1175"/>
      <c r="FM31" s="1175"/>
      <c r="FN31" s="1175"/>
      <c r="FO31" s="1175"/>
      <c r="FP31" s="1176"/>
      <c r="FQ31" s="1185"/>
      <c r="FR31" s="1185"/>
      <c r="FS31" s="1185"/>
      <c r="FT31" s="1185"/>
      <c r="FU31" s="1185"/>
      <c r="FV31" s="1185"/>
      <c r="FW31" s="1185"/>
      <c r="FX31" s="1185"/>
      <c r="FY31" s="1185"/>
      <c r="FZ31" s="1185"/>
      <c r="GA31" s="1185"/>
      <c r="GB31" s="1185"/>
      <c r="GC31" s="1185"/>
      <c r="GD31" s="1178"/>
      <c r="GE31" s="1178"/>
      <c r="GH31" s="518">
        <v>21</v>
      </c>
      <c r="GI31" s="1174"/>
      <c r="GJ31" s="1175"/>
      <c r="GK31" s="1175"/>
      <c r="GL31" s="1175"/>
      <c r="GM31" s="1175"/>
      <c r="GN31" s="1176"/>
      <c r="GO31" s="1185"/>
      <c r="GP31" s="1185"/>
      <c r="GQ31" s="1185"/>
      <c r="GR31" s="1185"/>
      <c r="GS31" s="1185"/>
      <c r="GT31" s="1185"/>
      <c r="GU31" s="1185"/>
      <c r="GV31" s="1185"/>
      <c r="GW31" s="1185"/>
      <c r="GX31" s="1185"/>
      <c r="GY31" s="1185"/>
      <c r="GZ31" s="1185"/>
      <c r="HA31" s="1185"/>
      <c r="HB31" s="1178"/>
      <c r="HC31" s="1178"/>
      <c r="HE31" s="518">
        <v>13</v>
      </c>
      <c r="HF31" s="1174"/>
      <c r="HG31" s="1175"/>
      <c r="HH31" s="1175"/>
      <c r="HI31" s="1175"/>
      <c r="HJ31" s="1175"/>
      <c r="HK31" s="1176"/>
      <c r="HL31" s="1185"/>
      <c r="HM31" s="1185"/>
      <c r="HN31" s="1185"/>
      <c r="HO31" s="1185"/>
      <c r="HP31" s="1185"/>
      <c r="HQ31" s="1185"/>
      <c r="HR31" s="1185"/>
      <c r="HS31" s="1185"/>
      <c r="HT31" s="1185"/>
      <c r="HU31" s="1185"/>
      <c r="HV31" s="1185"/>
      <c r="HW31" s="1185"/>
      <c r="HX31" s="1185"/>
      <c r="HY31" s="1178"/>
      <c r="HZ31" s="1178"/>
    </row>
    <row r="32" spans="2:234" ht="17.149999999999999" customHeight="1" x14ac:dyDescent="0.25">
      <c r="B32" s="519">
        <v>22</v>
      </c>
      <c r="C32" s="1179"/>
      <c r="D32" s="1180"/>
      <c r="E32" s="1180"/>
      <c r="F32" s="1180"/>
      <c r="G32" s="1180"/>
      <c r="H32" s="1181"/>
      <c r="I32" s="1173"/>
      <c r="J32" s="1173"/>
      <c r="K32" s="1173"/>
      <c r="L32" s="1173"/>
      <c r="M32" s="1173"/>
      <c r="N32" s="1173"/>
      <c r="O32" s="1173"/>
      <c r="P32" s="1173"/>
      <c r="Q32" s="1173"/>
      <c r="R32" s="1173"/>
      <c r="S32" s="1173"/>
      <c r="T32" s="1173"/>
      <c r="U32" s="1173"/>
      <c r="V32" s="1183"/>
      <c r="W32" s="1183"/>
      <c r="Y32" s="519">
        <v>14</v>
      </c>
      <c r="Z32" s="1179"/>
      <c r="AA32" s="1180"/>
      <c r="AB32" s="1180"/>
      <c r="AC32" s="1180"/>
      <c r="AD32" s="1180"/>
      <c r="AE32" s="1181"/>
      <c r="AF32" s="1173"/>
      <c r="AG32" s="1173"/>
      <c r="AH32" s="1173"/>
      <c r="AI32" s="1173"/>
      <c r="AJ32" s="1173"/>
      <c r="AK32" s="1173"/>
      <c r="AL32" s="1173"/>
      <c r="AM32" s="1173"/>
      <c r="AN32" s="1173"/>
      <c r="AO32" s="1173"/>
      <c r="AP32" s="1173"/>
      <c r="AQ32" s="1173"/>
      <c r="AR32" s="1173"/>
      <c r="AS32" s="1183"/>
      <c r="AT32" s="1183"/>
      <c r="AW32" s="519">
        <v>22</v>
      </c>
      <c r="AX32" s="1179"/>
      <c r="AY32" s="1180"/>
      <c r="AZ32" s="1180"/>
      <c r="BA32" s="1180"/>
      <c r="BB32" s="1180"/>
      <c r="BC32" s="1181"/>
      <c r="BD32" s="1173"/>
      <c r="BE32" s="1173"/>
      <c r="BF32" s="1173"/>
      <c r="BG32" s="1173"/>
      <c r="BH32" s="1173"/>
      <c r="BI32" s="1173"/>
      <c r="BJ32" s="1173"/>
      <c r="BK32" s="1173"/>
      <c r="BL32" s="1173"/>
      <c r="BM32" s="1173"/>
      <c r="BN32" s="1173"/>
      <c r="BO32" s="1173"/>
      <c r="BP32" s="1173"/>
      <c r="BQ32" s="1183"/>
      <c r="BR32" s="1183"/>
      <c r="BT32" s="519">
        <v>14</v>
      </c>
      <c r="BU32" s="1179"/>
      <c r="BV32" s="1180"/>
      <c r="BW32" s="1180"/>
      <c r="BX32" s="1180"/>
      <c r="BY32" s="1180"/>
      <c r="BZ32" s="1181"/>
      <c r="CA32" s="1173"/>
      <c r="CB32" s="1173"/>
      <c r="CC32" s="1173"/>
      <c r="CD32" s="1173"/>
      <c r="CE32" s="1173"/>
      <c r="CF32" s="1173"/>
      <c r="CG32" s="1173"/>
      <c r="CH32" s="1173"/>
      <c r="CI32" s="1173"/>
      <c r="CJ32" s="1173"/>
      <c r="CK32" s="1173"/>
      <c r="CL32" s="1173"/>
      <c r="CM32" s="1173"/>
      <c r="CN32" s="1183"/>
      <c r="CO32" s="1183"/>
      <c r="CR32" s="519">
        <v>22</v>
      </c>
      <c r="CS32" s="1179"/>
      <c r="CT32" s="1180"/>
      <c r="CU32" s="1180"/>
      <c r="CV32" s="1180"/>
      <c r="CW32" s="1180"/>
      <c r="CX32" s="1181"/>
      <c r="CY32" s="1173"/>
      <c r="CZ32" s="1173"/>
      <c r="DA32" s="1173"/>
      <c r="DB32" s="1173"/>
      <c r="DC32" s="1173"/>
      <c r="DD32" s="1173"/>
      <c r="DE32" s="1173"/>
      <c r="DF32" s="1173"/>
      <c r="DG32" s="1173"/>
      <c r="DH32" s="1173"/>
      <c r="DI32" s="1173"/>
      <c r="DJ32" s="1173"/>
      <c r="DK32" s="1173"/>
      <c r="DL32" s="1183"/>
      <c r="DM32" s="1183"/>
      <c r="DO32" s="519">
        <v>14</v>
      </c>
      <c r="DP32" s="1179"/>
      <c r="DQ32" s="1180"/>
      <c r="DR32" s="1180"/>
      <c r="DS32" s="1180"/>
      <c r="DT32" s="1180"/>
      <c r="DU32" s="1181"/>
      <c r="DV32" s="1173"/>
      <c r="DW32" s="1173"/>
      <c r="DX32" s="1173"/>
      <c r="DY32" s="1173"/>
      <c r="DZ32" s="1173"/>
      <c r="EA32" s="1173"/>
      <c r="EB32" s="1173"/>
      <c r="EC32" s="1173"/>
      <c r="ED32" s="1173"/>
      <c r="EE32" s="1173"/>
      <c r="EF32" s="1173"/>
      <c r="EG32" s="1173"/>
      <c r="EH32" s="1173"/>
      <c r="EI32" s="1183"/>
      <c r="EJ32" s="1183"/>
      <c r="EM32" s="519">
        <v>22</v>
      </c>
      <c r="EN32" s="1179"/>
      <c r="EO32" s="1180"/>
      <c r="EP32" s="1180"/>
      <c r="EQ32" s="1180"/>
      <c r="ER32" s="1180"/>
      <c r="ES32" s="1181"/>
      <c r="ET32" s="1173"/>
      <c r="EU32" s="1173"/>
      <c r="EV32" s="1173"/>
      <c r="EW32" s="1173"/>
      <c r="EX32" s="1173"/>
      <c r="EY32" s="1173"/>
      <c r="EZ32" s="1173"/>
      <c r="FA32" s="1173"/>
      <c r="FB32" s="1173"/>
      <c r="FC32" s="1173"/>
      <c r="FD32" s="1173"/>
      <c r="FE32" s="1173"/>
      <c r="FF32" s="1173"/>
      <c r="FG32" s="1183"/>
      <c r="FH32" s="1183"/>
      <c r="FJ32" s="519">
        <v>14</v>
      </c>
      <c r="FK32" s="1179"/>
      <c r="FL32" s="1180"/>
      <c r="FM32" s="1180"/>
      <c r="FN32" s="1180"/>
      <c r="FO32" s="1180"/>
      <c r="FP32" s="1181"/>
      <c r="FQ32" s="1173"/>
      <c r="FR32" s="1173"/>
      <c r="FS32" s="1173"/>
      <c r="FT32" s="1173"/>
      <c r="FU32" s="1173"/>
      <c r="FV32" s="1173"/>
      <c r="FW32" s="1173"/>
      <c r="FX32" s="1173"/>
      <c r="FY32" s="1173"/>
      <c r="FZ32" s="1173"/>
      <c r="GA32" s="1173"/>
      <c r="GB32" s="1173"/>
      <c r="GC32" s="1173"/>
      <c r="GD32" s="1183"/>
      <c r="GE32" s="1183"/>
      <c r="GH32" s="519">
        <v>22</v>
      </c>
      <c r="GI32" s="1179"/>
      <c r="GJ32" s="1180"/>
      <c r="GK32" s="1180"/>
      <c r="GL32" s="1180"/>
      <c r="GM32" s="1180"/>
      <c r="GN32" s="1181"/>
      <c r="GO32" s="1173"/>
      <c r="GP32" s="1173"/>
      <c r="GQ32" s="1173"/>
      <c r="GR32" s="1173"/>
      <c r="GS32" s="1173"/>
      <c r="GT32" s="1173"/>
      <c r="GU32" s="1173"/>
      <c r="GV32" s="1173"/>
      <c r="GW32" s="1173"/>
      <c r="GX32" s="1173"/>
      <c r="GY32" s="1173"/>
      <c r="GZ32" s="1173"/>
      <c r="HA32" s="1173"/>
      <c r="HB32" s="1183"/>
      <c r="HC32" s="1183"/>
      <c r="HE32" s="519">
        <v>14</v>
      </c>
      <c r="HF32" s="1179"/>
      <c r="HG32" s="1180"/>
      <c r="HH32" s="1180"/>
      <c r="HI32" s="1180"/>
      <c r="HJ32" s="1180"/>
      <c r="HK32" s="1181"/>
      <c r="HL32" s="1173"/>
      <c r="HM32" s="1173"/>
      <c r="HN32" s="1173"/>
      <c r="HO32" s="1173"/>
      <c r="HP32" s="1173"/>
      <c r="HQ32" s="1173"/>
      <c r="HR32" s="1173"/>
      <c r="HS32" s="1173"/>
      <c r="HT32" s="1173"/>
      <c r="HU32" s="1173"/>
      <c r="HV32" s="1173"/>
      <c r="HW32" s="1173"/>
      <c r="HX32" s="1173"/>
      <c r="HY32" s="1183"/>
      <c r="HZ32" s="1183"/>
    </row>
    <row r="33" spans="2:234" ht="17.149999999999999" customHeight="1" x14ac:dyDescent="0.25">
      <c r="B33" s="518">
        <v>23</v>
      </c>
      <c r="C33" s="1174"/>
      <c r="D33" s="1175"/>
      <c r="E33" s="1175"/>
      <c r="F33" s="1175"/>
      <c r="G33" s="1175"/>
      <c r="H33" s="1176"/>
      <c r="I33" s="1185"/>
      <c r="J33" s="1185"/>
      <c r="K33" s="1185"/>
      <c r="L33" s="1185"/>
      <c r="M33" s="1185"/>
      <c r="N33" s="1185"/>
      <c r="O33" s="1185"/>
      <c r="P33" s="1185"/>
      <c r="Q33" s="1185"/>
      <c r="R33" s="1185"/>
      <c r="S33" s="1185"/>
      <c r="T33" s="1185"/>
      <c r="U33" s="1185"/>
      <c r="V33" s="1178"/>
      <c r="W33" s="1178"/>
      <c r="Y33" s="518">
        <v>15</v>
      </c>
      <c r="Z33" s="1174"/>
      <c r="AA33" s="1175"/>
      <c r="AB33" s="1175"/>
      <c r="AC33" s="1175"/>
      <c r="AD33" s="1175"/>
      <c r="AE33" s="1176"/>
      <c r="AF33" s="1185"/>
      <c r="AG33" s="1185"/>
      <c r="AH33" s="1185"/>
      <c r="AI33" s="1185"/>
      <c r="AJ33" s="1185"/>
      <c r="AK33" s="1185"/>
      <c r="AL33" s="1185"/>
      <c r="AM33" s="1185"/>
      <c r="AN33" s="1185"/>
      <c r="AO33" s="1185"/>
      <c r="AP33" s="1185"/>
      <c r="AQ33" s="1185"/>
      <c r="AR33" s="1185"/>
      <c r="AS33" s="1178"/>
      <c r="AT33" s="1178"/>
      <c r="AW33" s="518">
        <v>23</v>
      </c>
      <c r="AX33" s="1174"/>
      <c r="AY33" s="1175"/>
      <c r="AZ33" s="1175"/>
      <c r="BA33" s="1175"/>
      <c r="BB33" s="1175"/>
      <c r="BC33" s="1176"/>
      <c r="BD33" s="1185"/>
      <c r="BE33" s="1185"/>
      <c r="BF33" s="1185"/>
      <c r="BG33" s="1185"/>
      <c r="BH33" s="1185"/>
      <c r="BI33" s="1185"/>
      <c r="BJ33" s="1185"/>
      <c r="BK33" s="1185"/>
      <c r="BL33" s="1185"/>
      <c r="BM33" s="1185"/>
      <c r="BN33" s="1185"/>
      <c r="BO33" s="1185"/>
      <c r="BP33" s="1185"/>
      <c r="BQ33" s="1178"/>
      <c r="BR33" s="1178"/>
      <c r="BT33" s="518">
        <v>15</v>
      </c>
      <c r="BU33" s="1174"/>
      <c r="BV33" s="1175"/>
      <c r="BW33" s="1175"/>
      <c r="BX33" s="1175"/>
      <c r="BY33" s="1175"/>
      <c r="BZ33" s="1176"/>
      <c r="CA33" s="1185"/>
      <c r="CB33" s="1185"/>
      <c r="CC33" s="1185"/>
      <c r="CD33" s="1185"/>
      <c r="CE33" s="1185"/>
      <c r="CF33" s="1185"/>
      <c r="CG33" s="1185"/>
      <c r="CH33" s="1185"/>
      <c r="CI33" s="1185"/>
      <c r="CJ33" s="1185"/>
      <c r="CK33" s="1185"/>
      <c r="CL33" s="1185"/>
      <c r="CM33" s="1185"/>
      <c r="CN33" s="1178"/>
      <c r="CO33" s="1178"/>
      <c r="CR33" s="518">
        <v>23</v>
      </c>
      <c r="CS33" s="1174"/>
      <c r="CT33" s="1175"/>
      <c r="CU33" s="1175"/>
      <c r="CV33" s="1175"/>
      <c r="CW33" s="1175"/>
      <c r="CX33" s="1176"/>
      <c r="CY33" s="1185"/>
      <c r="CZ33" s="1185"/>
      <c r="DA33" s="1185"/>
      <c r="DB33" s="1185"/>
      <c r="DC33" s="1185"/>
      <c r="DD33" s="1185"/>
      <c r="DE33" s="1185"/>
      <c r="DF33" s="1185"/>
      <c r="DG33" s="1185"/>
      <c r="DH33" s="1185"/>
      <c r="DI33" s="1185"/>
      <c r="DJ33" s="1185"/>
      <c r="DK33" s="1185"/>
      <c r="DL33" s="1178"/>
      <c r="DM33" s="1178"/>
      <c r="DO33" s="518">
        <v>15</v>
      </c>
      <c r="DP33" s="1174"/>
      <c r="DQ33" s="1175"/>
      <c r="DR33" s="1175"/>
      <c r="DS33" s="1175"/>
      <c r="DT33" s="1175"/>
      <c r="DU33" s="1176"/>
      <c r="DV33" s="1185"/>
      <c r="DW33" s="1185"/>
      <c r="DX33" s="1185"/>
      <c r="DY33" s="1185"/>
      <c r="DZ33" s="1185"/>
      <c r="EA33" s="1185"/>
      <c r="EB33" s="1185"/>
      <c r="EC33" s="1185"/>
      <c r="ED33" s="1185"/>
      <c r="EE33" s="1185"/>
      <c r="EF33" s="1185"/>
      <c r="EG33" s="1185"/>
      <c r="EH33" s="1185"/>
      <c r="EI33" s="1178"/>
      <c r="EJ33" s="1178"/>
      <c r="EM33" s="518">
        <v>23</v>
      </c>
      <c r="EN33" s="1174"/>
      <c r="EO33" s="1175"/>
      <c r="EP33" s="1175"/>
      <c r="EQ33" s="1175"/>
      <c r="ER33" s="1175"/>
      <c r="ES33" s="1176"/>
      <c r="ET33" s="1185"/>
      <c r="EU33" s="1185"/>
      <c r="EV33" s="1185"/>
      <c r="EW33" s="1185"/>
      <c r="EX33" s="1185"/>
      <c r="EY33" s="1185"/>
      <c r="EZ33" s="1185"/>
      <c r="FA33" s="1185"/>
      <c r="FB33" s="1185"/>
      <c r="FC33" s="1185"/>
      <c r="FD33" s="1185"/>
      <c r="FE33" s="1185"/>
      <c r="FF33" s="1185"/>
      <c r="FG33" s="1178"/>
      <c r="FH33" s="1178"/>
      <c r="FJ33" s="518">
        <v>15</v>
      </c>
      <c r="FK33" s="1174"/>
      <c r="FL33" s="1175"/>
      <c r="FM33" s="1175"/>
      <c r="FN33" s="1175"/>
      <c r="FO33" s="1175"/>
      <c r="FP33" s="1176"/>
      <c r="FQ33" s="1185"/>
      <c r="FR33" s="1185"/>
      <c r="FS33" s="1185"/>
      <c r="FT33" s="1185"/>
      <c r="FU33" s="1185"/>
      <c r="FV33" s="1185"/>
      <c r="FW33" s="1185"/>
      <c r="FX33" s="1185"/>
      <c r="FY33" s="1185"/>
      <c r="FZ33" s="1185"/>
      <c r="GA33" s="1185"/>
      <c r="GB33" s="1185"/>
      <c r="GC33" s="1185"/>
      <c r="GD33" s="1178"/>
      <c r="GE33" s="1178"/>
      <c r="GH33" s="518">
        <v>23</v>
      </c>
      <c r="GI33" s="1174"/>
      <c r="GJ33" s="1175"/>
      <c r="GK33" s="1175"/>
      <c r="GL33" s="1175"/>
      <c r="GM33" s="1175"/>
      <c r="GN33" s="1176"/>
      <c r="GO33" s="1185"/>
      <c r="GP33" s="1185"/>
      <c r="GQ33" s="1185"/>
      <c r="GR33" s="1185"/>
      <c r="GS33" s="1185"/>
      <c r="GT33" s="1185"/>
      <c r="GU33" s="1185"/>
      <c r="GV33" s="1185"/>
      <c r="GW33" s="1185"/>
      <c r="GX33" s="1185"/>
      <c r="GY33" s="1185"/>
      <c r="GZ33" s="1185"/>
      <c r="HA33" s="1185"/>
      <c r="HB33" s="1178"/>
      <c r="HC33" s="1178"/>
      <c r="HE33" s="518">
        <v>15</v>
      </c>
      <c r="HF33" s="1174"/>
      <c r="HG33" s="1175"/>
      <c r="HH33" s="1175"/>
      <c r="HI33" s="1175"/>
      <c r="HJ33" s="1175"/>
      <c r="HK33" s="1176"/>
      <c r="HL33" s="1185"/>
      <c r="HM33" s="1185"/>
      <c r="HN33" s="1185"/>
      <c r="HO33" s="1185"/>
      <c r="HP33" s="1185"/>
      <c r="HQ33" s="1185"/>
      <c r="HR33" s="1185"/>
      <c r="HS33" s="1185"/>
      <c r="HT33" s="1185"/>
      <c r="HU33" s="1185"/>
      <c r="HV33" s="1185"/>
      <c r="HW33" s="1185"/>
      <c r="HX33" s="1185"/>
      <c r="HY33" s="1178"/>
      <c r="HZ33" s="1178"/>
    </row>
    <row r="34" spans="2:234" ht="17.149999999999999" customHeight="1" x14ac:dyDescent="0.25">
      <c r="B34" s="519">
        <v>24</v>
      </c>
      <c r="C34" s="1179"/>
      <c r="D34" s="1180"/>
      <c r="E34" s="1180"/>
      <c r="F34" s="1180"/>
      <c r="G34" s="1180"/>
      <c r="H34" s="1181"/>
      <c r="I34" s="1173"/>
      <c r="J34" s="1173"/>
      <c r="K34" s="1173"/>
      <c r="L34" s="1173"/>
      <c r="M34" s="1173"/>
      <c r="N34" s="1173"/>
      <c r="O34" s="1173"/>
      <c r="P34" s="1173"/>
      <c r="Q34" s="1173"/>
      <c r="R34" s="1173"/>
      <c r="S34" s="1173"/>
      <c r="T34" s="1173"/>
      <c r="U34" s="1173"/>
      <c r="V34" s="1183"/>
      <c r="W34" s="1183"/>
      <c r="Y34" s="519">
        <v>16</v>
      </c>
      <c r="Z34" s="1179"/>
      <c r="AA34" s="1180"/>
      <c r="AB34" s="1180"/>
      <c r="AC34" s="1180"/>
      <c r="AD34" s="1180"/>
      <c r="AE34" s="1181"/>
      <c r="AF34" s="1173"/>
      <c r="AG34" s="1173"/>
      <c r="AH34" s="1173"/>
      <c r="AI34" s="1173"/>
      <c r="AJ34" s="1173"/>
      <c r="AK34" s="1173"/>
      <c r="AL34" s="1173"/>
      <c r="AM34" s="1173"/>
      <c r="AN34" s="1173"/>
      <c r="AO34" s="1173"/>
      <c r="AP34" s="1173"/>
      <c r="AQ34" s="1173"/>
      <c r="AR34" s="1173"/>
      <c r="AS34" s="1183"/>
      <c r="AT34" s="1183"/>
      <c r="AW34" s="519">
        <v>24</v>
      </c>
      <c r="AX34" s="1179"/>
      <c r="AY34" s="1180"/>
      <c r="AZ34" s="1180"/>
      <c r="BA34" s="1180"/>
      <c r="BB34" s="1180"/>
      <c r="BC34" s="1181"/>
      <c r="BD34" s="1173"/>
      <c r="BE34" s="1173"/>
      <c r="BF34" s="1173"/>
      <c r="BG34" s="1173"/>
      <c r="BH34" s="1173"/>
      <c r="BI34" s="1173"/>
      <c r="BJ34" s="1173"/>
      <c r="BK34" s="1173"/>
      <c r="BL34" s="1173"/>
      <c r="BM34" s="1173"/>
      <c r="BN34" s="1173"/>
      <c r="BO34" s="1173"/>
      <c r="BP34" s="1173"/>
      <c r="BQ34" s="1183"/>
      <c r="BR34" s="1183"/>
      <c r="BT34" s="519">
        <v>16</v>
      </c>
      <c r="BU34" s="1179"/>
      <c r="BV34" s="1180"/>
      <c r="BW34" s="1180"/>
      <c r="BX34" s="1180"/>
      <c r="BY34" s="1180"/>
      <c r="BZ34" s="1181"/>
      <c r="CA34" s="1173"/>
      <c r="CB34" s="1173"/>
      <c r="CC34" s="1173"/>
      <c r="CD34" s="1173"/>
      <c r="CE34" s="1173"/>
      <c r="CF34" s="1173"/>
      <c r="CG34" s="1173"/>
      <c r="CH34" s="1173"/>
      <c r="CI34" s="1173"/>
      <c r="CJ34" s="1173"/>
      <c r="CK34" s="1173"/>
      <c r="CL34" s="1173"/>
      <c r="CM34" s="1173"/>
      <c r="CN34" s="1183"/>
      <c r="CO34" s="1183"/>
      <c r="CR34" s="519">
        <v>24</v>
      </c>
      <c r="CS34" s="1179"/>
      <c r="CT34" s="1180"/>
      <c r="CU34" s="1180"/>
      <c r="CV34" s="1180"/>
      <c r="CW34" s="1180"/>
      <c r="CX34" s="1181"/>
      <c r="CY34" s="1173"/>
      <c r="CZ34" s="1173"/>
      <c r="DA34" s="1173"/>
      <c r="DB34" s="1173"/>
      <c r="DC34" s="1173"/>
      <c r="DD34" s="1173"/>
      <c r="DE34" s="1173"/>
      <c r="DF34" s="1173"/>
      <c r="DG34" s="1173"/>
      <c r="DH34" s="1173"/>
      <c r="DI34" s="1173"/>
      <c r="DJ34" s="1173"/>
      <c r="DK34" s="1173"/>
      <c r="DL34" s="1183"/>
      <c r="DM34" s="1183"/>
      <c r="DO34" s="519">
        <v>16</v>
      </c>
      <c r="DP34" s="1179"/>
      <c r="DQ34" s="1180"/>
      <c r="DR34" s="1180"/>
      <c r="DS34" s="1180"/>
      <c r="DT34" s="1180"/>
      <c r="DU34" s="1181"/>
      <c r="DV34" s="1173"/>
      <c r="DW34" s="1173"/>
      <c r="DX34" s="1173"/>
      <c r="DY34" s="1173"/>
      <c r="DZ34" s="1173"/>
      <c r="EA34" s="1173"/>
      <c r="EB34" s="1173"/>
      <c r="EC34" s="1173"/>
      <c r="ED34" s="1173"/>
      <c r="EE34" s="1173"/>
      <c r="EF34" s="1173"/>
      <c r="EG34" s="1173"/>
      <c r="EH34" s="1173"/>
      <c r="EI34" s="1183"/>
      <c r="EJ34" s="1183"/>
      <c r="EM34" s="519">
        <v>24</v>
      </c>
      <c r="EN34" s="1179"/>
      <c r="EO34" s="1180"/>
      <c r="EP34" s="1180"/>
      <c r="EQ34" s="1180"/>
      <c r="ER34" s="1180"/>
      <c r="ES34" s="1181"/>
      <c r="ET34" s="1173"/>
      <c r="EU34" s="1173"/>
      <c r="EV34" s="1173"/>
      <c r="EW34" s="1173"/>
      <c r="EX34" s="1173"/>
      <c r="EY34" s="1173"/>
      <c r="EZ34" s="1173"/>
      <c r="FA34" s="1173"/>
      <c r="FB34" s="1173"/>
      <c r="FC34" s="1173"/>
      <c r="FD34" s="1173"/>
      <c r="FE34" s="1173"/>
      <c r="FF34" s="1173"/>
      <c r="FG34" s="1183"/>
      <c r="FH34" s="1183"/>
      <c r="FJ34" s="519">
        <v>16</v>
      </c>
      <c r="FK34" s="1179"/>
      <c r="FL34" s="1180"/>
      <c r="FM34" s="1180"/>
      <c r="FN34" s="1180"/>
      <c r="FO34" s="1180"/>
      <c r="FP34" s="1181"/>
      <c r="FQ34" s="1173"/>
      <c r="FR34" s="1173"/>
      <c r="FS34" s="1173"/>
      <c r="FT34" s="1173"/>
      <c r="FU34" s="1173"/>
      <c r="FV34" s="1173"/>
      <c r="FW34" s="1173"/>
      <c r="FX34" s="1173"/>
      <c r="FY34" s="1173"/>
      <c r="FZ34" s="1173"/>
      <c r="GA34" s="1173"/>
      <c r="GB34" s="1173"/>
      <c r="GC34" s="1173"/>
      <c r="GD34" s="1183"/>
      <c r="GE34" s="1183"/>
      <c r="GH34" s="519">
        <v>24</v>
      </c>
      <c r="GI34" s="1179"/>
      <c r="GJ34" s="1180"/>
      <c r="GK34" s="1180"/>
      <c r="GL34" s="1180"/>
      <c r="GM34" s="1180"/>
      <c r="GN34" s="1181"/>
      <c r="GO34" s="1173"/>
      <c r="GP34" s="1173"/>
      <c r="GQ34" s="1173"/>
      <c r="GR34" s="1173"/>
      <c r="GS34" s="1173"/>
      <c r="GT34" s="1173"/>
      <c r="GU34" s="1173"/>
      <c r="GV34" s="1173"/>
      <c r="GW34" s="1173"/>
      <c r="GX34" s="1173"/>
      <c r="GY34" s="1173"/>
      <c r="GZ34" s="1173"/>
      <c r="HA34" s="1173"/>
      <c r="HB34" s="1183"/>
      <c r="HC34" s="1183"/>
      <c r="HE34" s="519">
        <v>16</v>
      </c>
      <c r="HF34" s="1179"/>
      <c r="HG34" s="1180"/>
      <c r="HH34" s="1180"/>
      <c r="HI34" s="1180"/>
      <c r="HJ34" s="1180"/>
      <c r="HK34" s="1181"/>
      <c r="HL34" s="1173"/>
      <c r="HM34" s="1173"/>
      <c r="HN34" s="1173"/>
      <c r="HO34" s="1173"/>
      <c r="HP34" s="1173"/>
      <c r="HQ34" s="1173"/>
      <c r="HR34" s="1173"/>
      <c r="HS34" s="1173"/>
      <c r="HT34" s="1173"/>
      <c r="HU34" s="1173"/>
      <c r="HV34" s="1173"/>
      <c r="HW34" s="1173"/>
      <c r="HX34" s="1173"/>
      <c r="HY34" s="1183"/>
      <c r="HZ34" s="1183"/>
    </row>
    <row r="35" spans="2:234" ht="17.149999999999999" customHeight="1" x14ac:dyDescent="0.25">
      <c r="B35" s="518">
        <v>25</v>
      </c>
      <c r="C35" s="1174"/>
      <c r="D35" s="1175"/>
      <c r="E35" s="1175"/>
      <c r="F35" s="1175"/>
      <c r="G35" s="1175"/>
      <c r="H35" s="1176"/>
      <c r="I35" s="1185"/>
      <c r="J35" s="1185"/>
      <c r="K35" s="1185"/>
      <c r="L35" s="1185"/>
      <c r="M35" s="1185"/>
      <c r="N35" s="1185"/>
      <c r="O35" s="1185"/>
      <c r="P35" s="1185"/>
      <c r="Q35" s="1185"/>
      <c r="R35" s="1185"/>
      <c r="S35" s="1185"/>
      <c r="T35" s="1185"/>
      <c r="U35" s="1185"/>
      <c r="V35" s="1178"/>
      <c r="W35" s="1178"/>
      <c r="Y35" s="518">
        <v>17</v>
      </c>
      <c r="Z35" s="1174"/>
      <c r="AA35" s="1175"/>
      <c r="AB35" s="1175"/>
      <c r="AC35" s="1175"/>
      <c r="AD35" s="1175"/>
      <c r="AE35" s="1176"/>
      <c r="AF35" s="1185"/>
      <c r="AG35" s="1185"/>
      <c r="AH35" s="1185"/>
      <c r="AI35" s="1185"/>
      <c r="AJ35" s="1185"/>
      <c r="AK35" s="1185"/>
      <c r="AL35" s="1185"/>
      <c r="AM35" s="1185"/>
      <c r="AN35" s="1185"/>
      <c r="AO35" s="1185"/>
      <c r="AP35" s="1185"/>
      <c r="AQ35" s="1185"/>
      <c r="AR35" s="1185"/>
      <c r="AS35" s="1178"/>
      <c r="AT35" s="1178"/>
      <c r="AW35" s="518">
        <v>25</v>
      </c>
      <c r="AX35" s="1174"/>
      <c r="AY35" s="1175"/>
      <c r="AZ35" s="1175"/>
      <c r="BA35" s="1175"/>
      <c r="BB35" s="1175"/>
      <c r="BC35" s="1176"/>
      <c r="BD35" s="1185"/>
      <c r="BE35" s="1185"/>
      <c r="BF35" s="1185"/>
      <c r="BG35" s="1185"/>
      <c r="BH35" s="1185"/>
      <c r="BI35" s="1185"/>
      <c r="BJ35" s="1185"/>
      <c r="BK35" s="1185"/>
      <c r="BL35" s="1185"/>
      <c r="BM35" s="1185"/>
      <c r="BN35" s="1185"/>
      <c r="BO35" s="1185"/>
      <c r="BP35" s="1185"/>
      <c r="BQ35" s="1178"/>
      <c r="BR35" s="1178"/>
      <c r="BT35" s="518">
        <v>17</v>
      </c>
      <c r="BU35" s="1174"/>
      <c r="BV35" s="1175"/>
      <c r="BW35" s="1175"/>
      <c r="BX35" s="1175"/>
      <c r="BY35" s="1175"/>
      <c r="BZ35" s="1176"/>
      <c r="CA35" s="1185"/>
      <c r="CB35" s="1185"/>
      <c r="CC35" s="1185"/>
      <c r="CD35" s="1185"/>
      <c r="CE35" s="1185"/>
      <c r="CF35" s="1185"/>
      <c r="CG35" s="1185"/>
      <c r="CH35" s="1185"/>
      <c r="CI35" s="1185"/>
      <c r="CJ35" s="1185"/>
      <c r="CK35" s="1185"/>
      <c r="CL35" s="1185"/>
      <c r="CM35" s="1185"/>
      <c r="CN35" s="1178"/>
      <c r="CO35" s="1178"/>
      <c r="CR35" s="518">
        <v>25</v>
      </c>
      <c r="CS35" s="1174"/>
      <c r="CT35" s="1175"/>
      <c r="CU35" s="1175"/>
      <c r="CV35" s="1175"/>
      <c r="CW35" s="1175"/>
      <c r="CX35" s="1176"/>
      <c r="CY35" s="1185"/>
      <c r="CZ35" s="1185"/>
      <c r="DA35" s="1185"/>
      <c r="DB35" s="1185"/>
      <c r="DC35" s="1185"/>
      <c r="DD35" s="1185"/>
      <c r="DE35" s="1185"/>
      <c r="DF35" s="1185"/>
      <c r="DG35" s="1185"/>
      <c r="DH35" s="1185"/>
      <c r="DI35" s="1185"/>
      <c r="DJ35" s="1185"/>
      <c r="DK35" s="1185"/>
      <c r="DL35" s="1178"/>
      <c r="DM35" s="1178"/>
      <c r="DO35" s="518">
        <v>17</v>
      </c>
      <c r="DP35" s="1174"/>
      <c r="DQ35" s="1175"/>
      <c r="DR35" s="1175"/>
      <c r="DS35" s="1175"/>
      <c r="DT35" s="1175"/>
      <c r="DU35" s="1176"/>
      <c r="DV35" s="1185"/>
      <c r="DW35" s="1185"/>
      <c r="DX35" s="1185"/>
      <c r="DY35" s="1185"/>
      <c r="DZ35" s="1185"/>
      <c r="EA35" s="1185"/>
      <c r="EB35" s="1185"/>
      <c r="EC35" s="1185"/>
      <c r="ED35" s="1185"/>
      <c r="EE35" s="1185"/>
      <c r="EF35" s="1185"/>
      <c r="EG35" s="1185"/>
      <c r="EH35" s="1185"/>
      <c r="EI35" s="1178"/>
      <c r="EJ35" s="1178"/>
      <c r="EM35" s="518">
        <v>25</v>
      </c>
      <c r="EN35" s="1174"/>
      <c r="EO35" s="1175"/>
      <c r="EP35" s="1175"/>
      <c r="EQ35" s="1175"/>
      <c r="ER35" s="1175"/>
      <c r="ES35" s="1176"/>
      <c r="ET35" s="1185"/>
      <c r="EU35" s="1185"/>
      <c r="EV35" s="1185"/>
      <c r="EW35" s="1185"/>
      <c r="EX35" s="1185"/>
      <c r="EY35" s="1185"/>
      <c r="EZ35" s="1185"/>
      <c r="FA35" s="1185"/>
      <c r="FB35" s="1185"/>
      <c r="FC35" s="1185"/>
      <c r="FD35" s="1185"/>
      <c r="FE35" s="1185"/>
      <c r="FF35" s="1185"/>
      <c r="FG35" s="1178"/>
      <c r="FH35" s="1178"/>
      <c r="FJ35" s="518">
        <v>17</v>
      </c>
      <c r="FK35" s="1174"/>
      <c r="FL35" s="1175"/>
      <c r="FM35" s="1175"/>
      <c r="FN35" s="1175"/>
      <c r="FO35" s="1175"/>
      <c r="FP35" s="1176"/>
      <c r="FQ35" s="1185"/>
      <c r="FR35" s="1185"/>
      <c r="FS35" s="1185"/>
      <c r="FT35" s="1185"/>
      <c r="FU35" s="1185"/>
      <c r="FV35" s="1185"/>
      <c r="FW35" s="1185"/>
      <c r="FX35" s="1185"/>
      <c r="FY35" s="1185"/>
      <c r="FZ35" s="1185"/>
      <c r="GA35" s="1185"/>
      <c r="GB35" s="1185"/>
      <c r="GC35" s="1185"/>
      <c r="GD35" s="1178"/>
      <c r="GE35" s="1178"/>
      <c r="GH35" s="518">
        <v>25</v>
      </c>
      <c r="GI35" s="1174"/>
      <c r="GJ35" s="1175"/>
      <c r="GK35" s="1175"/>
      <c r="GL35" s="1175"/>
      <c r="GM35" s="1175"/>
      <c r="GN35" s="1176"/>
      <c r="GO35" s="1185"/>
      <c r="GP35" s="1185"/>
      <c r="GQ35" s="1185"/>
      <c r="GR35" s="1185"/>
      <c r="GS35" s="1185"/>
      <c r="GT35" s="1185"/>
      <c r="GU35" s="1185"/>
      <c r="GV35" s="1185"/>
      <c r="GW35" s="1185"/>
      <c r="GX35" s="1185"/>
      <c r="GY35" s="1185"/>
      <c r="GZ35" s="1185"/>
      <c r="HA35" s="1185"/>
      <c r="HB35" s="1178"/>
      <c r="HC35" s="1178"/>
      <c r="HE35" s="518">
        <v>17</v>
      </c>
      <c r="HF35" s="1174"/>
      <c r="HG35" s="1175"/>
      <c r="HH35" s="1175"/>
      <c r="HI35" s="1175"/>
      <c r="HJ35" s="1175"/>
      <c r="HK35" s="1176"/>
      <c r="HL35" s="1185"/>
      <c r="HM35" s="1185"/>
      <c r="HN35" s="1185"/>
      <c r="HO35" s="1185"/>
      <c r="HP35" s="1185"/>
      <c r="HQ35" s="1185"/>
      <c r="HR35" s="1185"/>
      <c r="HS35" s="1185"/>
      <c r="HT35" s="1185"/>
      <c r="HU35" s="1185"/>
      <c r="HV35" s="1185"/>
      <c r="HW35" s="1185"/>
      <c r="HX35" s="1185"/>
      <c r="HY35" s="1178"/>
      <c r="HZ35" s="1178"/>
    </row>
    <row r="36" spans="2:234" ht="17.149999999999999" customHeight="1" x14ac:dyDescent="0.25">
      <c r="B36" s="519">
        <v>26</v>
      </c>
      <c r="C36" s="1179"/>
      <c r="D36" s="1180"/>
      <c r="E36" s="1180"/>
      <c r="F36" s="1180"/>
      <c r="G36" s="1180"/>
      <c r="H36" s="1181"/>
      <c r="I36" s="1173"/>
      <c r="J36" s="1173"/>
      <c r="K36" s="1173"/>
      <c r="L36" s="1173"/>
      <c r="M36" s="1173"/>
      <c r="N36" s="1173"/>
      <c r="O36" s="1173"/>
      <c r="P36" s="1173"/>
      <c r="Q36" s="1173"/>
      <c r="R36" s="1173"/>
      <c r="S36" s="1173"/>
      <c r="T36" s="1173"/>
      <c r="U36" s="1173"/>
      <c r="V36" s="1183"/>
      <c r="W36" s="1183"/>
      <c r="Y36" s="519">
        <v>18</v>
      </c>
      <c r="Z36" s="1179"/>
      <c r="AA36" s="1180"/>
      <c r="AB36" s="1180"/>
      <c r="AC36" s="1180"/>
      <c r="AD36" s="1180"/>
      <c r="AE36" s="1181"/>
      <c r="AF36" s="1173"/>
      <c r="AG36" s="1173"/>
      <c r="AH36" s="1173"/>
      <c r="AI36" s="1173"/>
      <c r="AJ36" s="1173"/>
      <c r="AK36" s="1173"/>
      <c r="AL36" s="1173"/>
      <c r="AM36" s="1173"/>
      <c r="AN36" s="1173"/>
      <c r="AO36" s="1173"/>
      <c r="AP36" s="1173"/>
      <c r="AQ36" s="1173"/>
      <c r="AR36" s="1173"/>
      <c r="AS36" s="1183"/>
      <c r="AT36" s="1183"/>
      <c r="AW36" s="519">
        <v>26</v>
      </c>
      <c r="AX36" s="1179"/>
      <c r="AY36" s="1180"/>
      <c r="AZ36" s="1180"/>
      <c r="BA36" s="1180"/>
      <c r="BB36" s="1180"/>
      <c r="BC36" s="1181"/>
      <c r="BD36" s="1173"/>
      <c r="BE36" s="1173"/>
      <c r="BF36" s="1173"/>
      <c r="BG36" s="1173"/>
      <c r="BH36" s="1173"/>
      <c r="BI36" s="1173"/>
      <c r="BJ36" s="1173"/>
      <c r="BK36" s="1173"/>
      <c r="BL36" s="1173"/>
      <c r="BM36" s="1173"/>
      <c r="BN36" s="1173"/>
      <c r="BO36" s="1173"/>
      <c r="BP36" s="1173"/>
      <c r="BQ36" s="1183"/>
      <c r="BR36" s="1183"/>
      <c r="BT36" s="519">
        <v>18</v>
      </c>
      <c r="BU36" s="1179"/>
      <c r="BV36" s="1180"/>
      <c r="BW36" s="1180"/>
      <c r="BX36" s="1180"/>
      <c r="BY36" s="1180"/>
      <c r="BZ36" s="1181"/>
      <c r="CA36" s="1173"/>
      <c r="CB36" s="1173"/>
      <c r="CC36" s="1173"/>
      <c r="CD36" s="1173"/>
      <c r="CE36" s="1173"/>
      <c r="CF36" s="1173"/>
      <c r="CG36" s="1173"/>
      <c r="CH36" s="1173"/>
      <c r="CI36" s="1173"/>
      <c r="CJ36" s="1173"/>
      <c r="CK36" s="1173"/>
      <c r="CL36" s="1173"/>
      <c r="CM36" s="1173"/>
      <c r="CN36" s="1183"/>
      <c r="CO36" s="1183"/>
      <c r="CR36" s="519">
        <v>26</v>
      </c>
      <c r="CS36" s="1179"/>
      <c r="CT36" s="1180"/>
      <c r="CU36" s="1180"/>
      <c r="CV36" s="1180"/>
      <c r="CW36" s="1180"/>
      <c r="CX36" s="1181"/>
      <c r="CY36" s="1173"/>
      <c r="CZ36" s="1173"/>
      <c r="DA36" s="1173"/>
      <c r="DB36" s="1173"/>
      <c r="DC36" s="1173"/>
      <c r="DD36" s="1173"/>
      <c r="DE36" s="1173"/>
      <c r="DF36" s="1173"/>
      <c r="DG36" s="1173"/>
      <c r="DH36" s="1173"/>
      <c r="DI36" s="1173"/>
      <c r="DJ36" s="1173"/>
      <c r="DK36" s="1173"/>
      <c r="DL36" s="1183"/>
      <c r="DM36" s="1183"/>
      <c r="DO36" s="519">
        <v>18</v>
      </c>
      <c r="DP36" s="1179"/>
      <c r="DQ36" s="1180"/>
      <c r="DR36" s="1180"/>
      <c r="DS36" s="1180"/>
      <c r="DT36" s="1180"/>
      <c r="DU36" s="1181"/>
      <c r="DV36" s="1173"/>
      <c r="DW36" s="1173"/>
      <c r="DX36" s="1173"/>
      <c r="DY36" s="1173"/>
      <c r="DZ36" s="1173"/>
      <c r="EA36" s="1173"/>
      <c r="EB36" s="1173"/>
      <c r="EC36" s="1173"/>
      <c r="ED36" s="1173"/>
      <c r="EE36" s="1173"/>
      <c r="EF36" s="1173"/>
      <c r="EG36" s="1173"/>
      <c r="EH36" s="1173"/>
      <c r="EI36" s="1183"/>
      <c r="EJ36" s="1183"/>
      <c r="EM36" s="519">
        <v>26</v>
      </c>
      <c r="EN36" s="1179"/>
      <c r="EO36" s="1180"/>
      <c r="EP36" s="1180"/>
      <c r="EQ36" s="1180"/>
      <c r="ER36" s="1180"/>
      <c r="ES36" s="1181"/>
      <c r="ET36" s="1173"/>
      <c r="EU36" s="1173"/>
      <c r="EV36" s="1173"/>
      <c r="EW36" s="1173"/>
      <c r="EX36" s="1173"/>
      <c r="EY36" s="1173"/>
      <c r="EZ36" s="1173"/>
      <c r="FA36" s="1173"/>
      <c r="FB36" s="1173"/>
      <c r="FC36" s="1173"/>
      <c r="FD36" s="1173"/>
      <c r="FE36" s="1173"/>
      <c r="FF36" s="1173"/>
      <c r="FG36" s="1183"/>
      <c r="FH36" s="1183"/>
      <c r="FJ36" s="519">
        <v>18</v>
      </c>
      <c r="FK36" s="1179"/>
      <c r="FL36" s="1180"/>
      <c r="FM36" s="1180"/>
      <c r="FN36" s="1180"/>
      <c r="FO36" s="1180"/>
      <c r="FP36" s="1181"/>
      <c r="FQ36" s="1173"/>
      <c r="FR36" s="1173"/>
      <c r="FS36" s="1173"/>
      <c r="FT36" s="1173"/>
      <c r="FU36" s="1173"/>
      <c r="FV36" s="1173"/>
      <c r="FW36" s="1173"/>
      <c r="FX36" s="1173"/>
      <c r="FY36" s="1173"/>
      <c r="FZ36" s="1173"/>
      <c r="GA36" s="1173"/>
      <c r="GB36" s="1173"/>
      <c r="GC36" s="1173"/>
      <c r="GD36" s="1183"/>
      <c r="GE36" s="1183"/>
      <c r="GH36" s="519">
        <v>26</v>
      </c>
      <c r="GI36" s="1179"/>
      <c r="GJ36" s="1180"/>
      <c r="GK36" s="1180"/>
      <c r="GL36" s="1180"/>
      <c r="GM36" s="1180"/>
      <c r="GN36" s="1181"/>
      <c r="GO36" s="1173"/>
      <c r="GP36" s="1173"/>
      <c r="GQ36" s="1173"/>
      <c r="GR36" s="1173"/>
      <c r="GS36" s="1173"/>
      <c r="GT36" s="1173"/>
      <c r="GU36" s="1173"/>
      <c r="GV36" s="1173"/>
      <c r="GW36" s="1173"/>
      <c r="GX36" s="1173"/>
      <c r="GY36" s="1173"/>
      <c r="GZ36" s="1173"/>
      <c r="HA36" s="1173"/>
      <c r="HB36" s="1183"/>
      <c r="HC36" s="1183"/>
      <c r="HE36" s="519">
        <v>18</v>
      </c>
      <c r="HF36" s="1179"/>
      <c r="HG36" s="1180"/>
      <c r="HH36" s="1180"/>
      <c r="HI36" s="1180"/>
      <c r="HJ36" s="1180"/>
      <c r="HK36" s="1181"/>
      <c r="HL36" s="1173"/>
      <c r="HM36" s="1173"/>
      <c r="HN36" s="1173"/>
      <c r="HO36" s="1173"/>
      <c r="HP36" s="1173"/>
      <c r="HQ36" s="1173"/>
      <c r="HR36" s="1173"/>
      <c r="HS36" s="1173"/>
      <c r="HT36" s="1173"/>
      <c r="HU36" s="1173"/>
      <c r="HV36" s="1173"/>
      <c r="HW36" s="1173"/>
      <c r="HX36" s="1173"/>
      <c r="HY36" s="1183"/>
      <c r="HZ36" s="1183"/>
    </row>
    <row r="37" spans="2:234" ht="17.149999999999999" customHeight="1" x14ac:dyDescent="0.25">
      <c r="B37" s="518">
        <v>27</v>
      </c>
      <c r="C37" s="1174"/>
      <c r="D37" s="1175"/>
      <c r="E37" s="1175"/>
      <c r="F37" s="1175"/>
      <c r="G37" s="1175"/>
      <c r="H37" s="1176"/>
      <c r="I37" s="1185"/>
      <c r="J37" s="1185"/>
      <c r="K37" s="1185"/>
      <c r="L37" s="1185"/>
      <c r="M37" s="1185"/>
      <c r="N37" s="1185"/>
      <c r="O37" s="1185"/>
      <c r="P37" s="1185"/>
      <c r="Q37" s="1185"/>
      <c r="R37" s="1185"/>
      <c r="S37" s="1185"/>
      <c r="T37" s="1185"/>
      <c r="U37" s="1185"/>
      <c r="V37" s="1178"/>
      <c r="W37" s="1178"/>
      <c r="Y37" s="518">
        <v>19</v>
      </c>
      <c r="Z37" s="1174"/>
      <c r="AA37" s="1175"/>
      <c r="AB37" s="1175"/>
      <c r="AC37" s="1175"/>
      <c r="AD37" s="1175"/>
      <c r="AE37" s="1176"/>
      <c r="AF37" s="1185"/>
      <c r="AG37" s="1185"/>
      <c r="AH37" s="1185"/>
      <c r="AI37" s="1185"/>
      <c r="AJ37" s="1185"/>
      <c r="AK37" s="1185"/>
      <c r="AL37" s="1185"/>
      <c r="AM37" s="1185"/>
      <c r="AN37" s="1185"/>
      <c r="AO37" s="1185"/>
      <c r="AP37" s="1185"/>
      <c r="AQ37" s="1185"/>
      <c r="AR37" s="1185"/>
      <c r="AS37" s="1178"/>
      <c r="AT37" s="1178"/>
      <c r="AW37" s="518">
        <v>27</v>
      </c>
      <c r="AX37" s="1174"/>
      <c r="AY37" s="1175"/>
      <c r="AZ37" s="1175"/>
      <c r="BA37" s="1175"/>
      <c r="BB37" s="1175"/>
      <c r="BC37" s="1176"/>
      <c r="BD37" s="1185"/>
      <c r="BE37" s="1185"/>
      <c r="BF37" s="1185"/>
      <c r="BG37" s="1185"/>
      <c r="BH37" s="1185"/>
      <c r="BI37" s="1185"/>
      <c r="BJ37" s="1185"/>
      <c r="BK37" s="1185"/>
      <c r="BL37" s="1185"/>
      <c r="BM37" s="1185"/>
      <c r="BN37" s="1185"/>
      <c r="BO37" s="1185"/>
      <c r="BP37" s="1185"/>
      <c r="BQ37" s="1178"/>
      <c r="BR37" s="1178"/>
      <c r="BT37" s="518">
        <v>19</v>
      </c>
      <c r="BU37" s="1174"/>
      <c r="BV37" s="1175"/>
      <c r="BW37" s="1175"/>
      <c r="BX37" s="1175"/>
      <c r="BY37" s="1175"/>
      <c r="BZ37" s="1176"/>
      <c r="CA37" s="1185"/>
      <c r="CB37" s="1185"/>
      <c r="CC37" s="1185"/>
      <c r="CD37" s="1185"/>
      <c r="CE37" s="1185"/>
      <c r="CF37" s="1185"/>
      <c r="CG37" s="1185"/>
      <c r="CH37" s="1185"/>
      <c r="CI37" s="1185"/>
      <c r="CJ37" s="1185"/>
      <c r="CK37" s="1185"/>
      <c r="CL37" s="1185"/>
      <c r="CM37" s="1185"/>
      <c r="CN37" s="1178"/>
      <c r="CO37" s="1178"/>
      <c r="CR37" s="518">
        <v>27</v>
      </c>
      <c r="CS37" s="1174"/>
      <c r="CT37" s="1175"/>
      <c r="CU37" s="1175"/>
      <c r="CV37" s="1175"/>
      <c r="CW37" s="1175"/>
      <c r="CX37" s="1176"/>
      <c r="CY37" s="1185"/>
      <c r="CZ37" s="1185"/>
      <c r="DA37" s="1185"/>
      <c r="DB37" s="1185"/>
      <c r="DC37" s="1185"/>
      <c r="DD37" s="1185"/>
      <c r="DE37" s="1185"/>
      <c r="DF37" s="1185"/>
      <c r="DG37" s="1185"/>
      <c r="DH37" s="1185"/>
      <c r="DI37" s="1185"/>
      <c r="DJ37" s="1185"/>
      <c r="DK37" s="1185"/>
      <c r="DL37" s="1178"/>
      <c r="DM37" s="1178"/>
      <c r="DO37" s="518">
        <v>19</v>
      </c>
      <c r="DP37" s="1174"/>
      <c r="DQ37" s="1175"/>
      <c r="DR37" s="1175"/>
      <c r="DS37" s="1175"/>
      <c r="DT37" s="1175"/>
      <c r="DU37" s="1176"/>
      <c r="DV37" s="1185"/>
      <c r="DW37" s="1185"/>
      <c r="DX37" s="1185"/>
      <c r="DY37" s="1185"/>
      <c r="DZ37" s="1185"/>
      <c r="EA37" s="1185"/>
      <c r="EB37" s="1185"/>
      <c r="EC37" s="1185"/>
      <c r="ED37" s="1185"/>
      <c r="EE37" s="1185"/>
      <c r="EF37" s="1185"/>
      <c r="EG37" s="1185"/>
      <c r="EH37" s="1185"/>
      <c r="EI37" s="1178"/>
      <c r="EJ37" s="1178"/>
      <c r="EM37" s="518">
        <v>27</v>
      </c>
      <c r="EN37" s="1174"/>
      <c r="EO37" s="1175"/>
      <c r="EP37" s="1175"/>
      <c r="EQ37" s="1175"/>
      <c r="ER37" s="1175"/>
      <c r="ES37" s="1176"/>
      <c r="ET37" s="1185"/>
      <c r="EU37" s="1185"/>
      <c r="EV37" s="1185"/>
      <c r="EW37" s="1185"/>
      <c r="EX37" s="1185"/>
      <c r="EY37" s="1185"/>
      <c r="EZ37" s="1185"/>
      <c r="FA37" s="1185"/>
      <c r="FB37" s="1185"/>
      <c r="FC37" s="1185"/>
      <c r="FD37" s="1185"/>
      <c r="FE37" s="1185"/>
      <c r="FF37" s="1185"/>
      <c r="FG37" s="1178"/>
      <c r="FH37" s="1178"/>
      <c r="FJ37" s="518">
        <v>19</v>
      </c>
      <c r="FK37" s="1174"/>
      <c r="FL37" s="1175"/>
      <c r="FM37" s="1175"/>
      <c r="FN37" s="1175"/>
      <c r="FO37" s="1175"/>
      <c r="FP37" s="1176"/>
      <c r="FQ37" s="1185"/>
      <c r="FR37" s="1185"/>
      <c r="FS37" s="1185"/>
      <c r="FT37" s="1185"/>
      <c r="FU37" s="1185"/>
      <c r="FV37" s="1185"/>
      <c r="FW37" s="1185"/>
      <c r="FX37" s="1185"/>
      <c r="FY37" s="1185"/>
      <c r="FZ37" s="1185"/>
      <c r="GA37" s="1185"/>
      <c r="GB37" s="1185"/>
      <c r="GC37" s="1185"/>
      <c r="GD37" s="1178"/>
      <c r="GE37" s="1178"/>
      <c r="GH37" s="518">
        <v>27</v>
      </c>
      <c r="GI37" s="1174"/>
      <c r="GJ37" s="1175"/>
      <c r="GK37" s="1175"/>
      <c r="GL37" s="1175"/>
      <c r="GM37" s="1175"/>
      <c r="GN37" s="1176"/>
      <c r="GO37" s="1185"/>
      <c r="GP37" s="1185"/>
      <c r="GQ37" s="1185"/>
      <c r="GR37" s="1185"/>
      <c r="GS37" s="1185"/>
      <c r="GT37" s="1185"/>
      <c r="GU37" s="1185"/>
      <c r="GV37" s="1185"/>
      <c r="GW37" s="1185"/>
      <c r="GX37" s="1185"/>
      <c r="GY37" s="1185"/>
      <c r="GZ37" s="1185"/>
      <c r="HA37" s="1185"/>
      <c r="HB37" s="1178"/>
      <c r="HC37" s="1178"/>
      <c r="HE37" s="518">
        <v>19</v>
      </c>
      <c r="HF37" s="1174"/>
      <c r="HG37" s="1175"/>
      <c r="HH37" s="1175"/>
      <c r="HI37" s="1175"/>
      <c r="HJ37" s="1175"/>
      <c r="HK37" s="1176"/>
      <c r="HL37" s="1185"/>
      <c r="HM37" s="1185"/>
      <c r="HN37" s="1185"/>
      <c r="HO37" s="1185"/>
      <c r="HP37" s="1185"/>
      <c r="HQ37" s="1185"/>
      <c r="HR37" s="1185"/>
      <c r="HS37" s="1185"/>
      <c r="HT37" s="1185"/>
      <c r="HU37" s="1185"/>
      <c r="HV37" s="1185"/>
      <c r="HW37" s="1185"/>
      <c r="HX37" s="1185"/>
      <c r="HY37" s="1178"/>
      <c r="HZ37" s="1178"/>
    </row>
    <row r="38" spans="2:234" ht="17.149999999999999" customHeight="1" x14ac:dyDescent="0.25">
      <c r="B38" s="519">
        <v>28</v>
      </c>
      <c r="C38" s="1179"/>
      <c r="D38" s="1180"/>
      <c r="E38" s="1180"/>
      <c r="F38" s="1180"/>
      <c r="G38" s="1180"/>
      <c r="H38" s="1181"/>
      <c r="I38" s="1173"/>
      <c r="J38" s="1173"/>
      <c r="K38" s="1173"/>
      <c r="L38" s="1173"/>
      <c r="M38" s="1173"/>
      <c r="N38" s="1173"/>
      <c r="O38" s="1173"/>
      <c r="P38" s="1173"/>
      <c r="Q38" s="1173"/>
      <c r="R38" s="1173"/>
      <c r="S38" s="1173"/>
      <c r="T38" s="1173"/>
      <c r="U38" s="1173"/>
      <c r="V38" s="1183"/>
      <c r="W38" s="1183"/>
      <c r="Y38" s="519">
        <v>20</v>
      </c>
      <c r="Z38" s="1179"/>
      <c r="AA38" s="1180"/>
      <c r="AB38" s="1180"/>
      <c r="AC38" s="1180"/>
      <c r="AD38" s="1180"/>
      <c r="AE38" s="1181"/>
      <c r="AF38" s="1173"/>
      <c r="AG38" s="1173"/>
      <c r="AH38" s="1173"/>
      <c r="AI38" s="1173"/>
      <c r="AJ38" s="1173"/>
      <c r="AK38" s="1173"/>
      <c r="AL38" s="1173"/>
      <c r="AM38" s="1173"/>
      <c r="AN38" s="1173"/>
      <c r="AO38" s="1173"/>
      <c r="AP38" s="1173"/>
      <c r="AQ38" s="1173"/>
      <c r="AR38" s="1173"/>
      <c r="AS38" s="1183"/>
      <c r="AT38" s="1183"/>
      <c r="AW38" s="519">
        <v>28</v>
      </c>
      <c r="AX38" s="1179"/>
      <c r="AY38" s="1180"/>
      <c r="AZ38" s="1180"/>
      <c r="BA38" s="1180"/>
      <c r="BB38" s="1180"/>
      <c r="BC38" s="1181"/>
      <c r="BD38" s="1173"/>
      <c r="BE38" s="1173"/>
      <c r="BF38" s="1173"/>
      <c r="BG38" s="1173"/>
      <c r="BH38" s="1173"/>
      <c r="BI38" s="1173"/>
      <c r="BJ38" s="1173"/>
      <c r="BK38" s="1173"/>
      <c r="BL38" s="1173"/>
      <c r="BM38" s="1173"/>
      <c r="BN38" s="1173"/>
      <c r="BO38" s="1173"/>
      <c r="BP38" s="1173"/>
      <c r="BQ38" s="1183"/>
      <c r="BR38" s="1183"/>
      <c r="BT38" s="519">
        <v>20</v>
      </c>
      <c r="BU38" s="1179"/>
      <c r="BV38" s="1180"/>
      <c r="BW38" s="1180"/>
      <c r="BX38" s="1180"/>
      <c r="BY38" s="1180"/>
      <c r="BZ38" s="1181"/>
      <c r="CA38" s="1173"/>
      <c r="CB38" s="1173"/>
      <c r="CC38" s="1173"/>
      <c r="CD38" s="1173"/>
      <c r="CE38" s="1173"/>
      <c r="CF38" s="1173"/>
      <c r="CG38" s="1173"/>
      <c r="CH38" s="1173"/>
      <c r="CI38" s="1173"/>
      <c r="CJ38" s="1173"/>
      <c r="CK38" s="1173"/>
      <c r="CL38" s="1173"/>
      <c r="CM38" s="1173"/>
      <c r="CN38" s="1183"/>
      <c r="CO38" s="1183"/>
      <c r="CR38" s="519">
        <v>28</v>
      </c>
      <c r="CS38" s="1179"/>
      <c r="CT38" s="1180"/>
      <c r="CU38" s="1180"/>
      <c r="CV38" s="1180"/>
      <c r="CW38" s="1180"/>
      <c r="CX38" s="1181"/>
      <c r="CY38" s="1173"/>
      <c r="CZ38" s="1173"/>
      <c r="DA38" s="1173"/>
      <c r="DB38" s="1173"/>
      <c r="DC38" s="1173"/>
      <c r="DD38" s="1173"/>
      <c r="DE38" s="1173"/>
      <c r="DF38" s="1173"/>
      <c r="DG38" s="1173"/>
      <c r="DH38" s="1173"/>
      <c r="DI38" s="1173"/>
      <c r="DJ38" s="1173"/>
      <c r="DK38" s="1173"/>
      <c r="DL38" s="1183"/>
      <c r="DM38" s="1183"/>
      <c r="DO38" s="519">
        <v>20</v>
      </c>
      <c r="DP38" s="1179"/>
      <c r="DQ38" s="1180"/>
      <c r="DR38" s="1180"/>
      <c r="DS38" s="1180"/>
      <c r="DT38" s="1180"/>
      <c r="DU38" s="1181"/>
      <c r="DV38" s="1173"/>
      <c r="DW38" s="1173"/>
      <c r="DX38" s="1173"/>
      <c r="DY38" s="1173"/>
      <c r="DZ38" s="1173"/>
      <c r="EA38" s="1173"/>
      <c r="EB38" s="1173"/>
      <c r="EC38" s="1173"/>
      <c r="ED38" s="1173"/>
      <c r="EE38" s="1173"/>
      <c r="EF38" s="1173"/>
      <c r="EG38" s="1173"/>
      <c r="EH38" s="1173"/>
      <c r="EI38" s="1183"/>
      <c r="EJ38" s="1183"/>
      <c r="EM38" s="519">
        <v>28</v>
      </c>
      <c r="EN38" s="1179"/>
      <c r="EO38" s="1180"/>
      <c r="EP38" s="1180"/>
      <c r="EQ38" s="1180"/>
      <c r="ER38" s="1180"/>
      <c r="ES38" s="1181"/>
      <c r="ET38" s="1173"/>
      <c r="EU38" s="1173"/>
      <c r="EV38" s="1173"/>
      <c r="EW38" s="1173"/>
      <c r="EX38" s="1173"/>
      <c r="EY38" s="1173"/>
      <c r="EZ38" s="1173"/>
      <c r="FA38" s="1173"/>
      <c r="FB38" s="1173"/>
      <c r="FC38" s="1173"/>
      <c r="FD38" s="1173"/>
      <c r="FE38" s="1173"/>
      <c r="FF38" s="1173"/>
      <c r="FG38" s="1183"/>
      <c r="FH38" s="1183"/>
      <c r="FJ38" s="519">
        <v>20</v>
      </c>
      <c r="FK38" s="1179"/>
      <c r="FL38" s="1180"/>
      <c r="FM38" s="1180"/>
      <c r="FN38" s="1180"/>
      <c r="FO38" s="1180"/>
      <c r="FP38" s="1181"/>
      <c r="FQ38" s="1173"/>
      <c r="FR38" s="1173"/>
      <c r="FS38" s="1173"/>
      <c r="FT38" s="1173"/>
      <c r="FU38" s="1173"/>
      <c r="FV38" s="1173"/>
      <c r="FW38" s="1173"/>
      <c r="FX38" s="1173"/>
      <c r="FY38" s="1173"/>
      <c r="FZ38" s="1173"/>
      <c r="GA38" s="1173"/>
      <c r="GB38" s="1173"/>
      <c r="GC38" s="1173"/>
      <c r="GD38" s="1183"/>
      <c r="GE38" s="1183"/>
      <c r="GH38" s="519">
        <v>28</v>
      </c>
      <c r="GI38" s="1179"/>
      <c r="GJ38" s="1180"/>
      <c r="GK38" s="1180"/>
      <c r="GL38" s="1180"/>
      <c r="GM38" s="1180"/>
      <c r="GN38" s="1181"/>
      <c r="GO38" s="1173"/>
      <c r="GP38" s="1173"/>
      <c r="GQ38" s="1173"/>
      <c r="GR38" s="1173"/>
      <c r="GS38" s="1173"/>
      <c r="GT38" s="1173"/>
      <c r="GU38" s="1173"/>
      <c r="GV38" s="1173"/>
      <c r="GW38" s="1173"/>
      <c r="GX38" s="1173"/>
      <c r="GY38" s="1173"/>
      <c r="GZ38" s="1173"/>
      <c r="HA38" s="1173"/>
      <c r="HB38" s="1183"/>
      <c r="HC38" s="1183"/>
      <c r="HE38" s="519">
        <v>20</v>
      </c>
      <c r="HF38" s="1179"/>
      <c r="HG38" s="1180"/>
      <c r="HH38" s="1180"/>
      <c r="HI38" s="1180"/>
      <c r="HJ38" s="1180"/>
      <c r="HK38" s="1181"/>
      <c r="HL38" s="1173"/>
      <c r="HM38" s="1173"/>
      <c r="HN38" s="1173"/>
      <c r="HO38" s="1173"/>
      <c r="HP38" s="1173"/>
      <c r="HQ38" s="1173"/>
      <c r="HR38" s="1173"/>
      <c r="HS38" s="1173"/>
      <c r="HT38" s="1173"/>
      <c r="HU38" s="1173"/>
      <c r="HV38" s="1173"/>
      <c r="HW38" s="1173"/>
      <c r="HX38" s="1173"/>
      <c r="HY38" s="1183"/>
      <c r="HZ38" s="1183"/>
    </row>
    <row r="39" spans="2:234" ht="17.149999999999999" customHeight="1" x14ac:dyDescent="0.25">
      <c r="B39" s="518">
        <v>29</v>
      </c>
      <c r="C39" s="1174"/>
      <c r="D39" s="1175"/>
      <c r="E39" s="1175"/>
      <c r="F39" s="1175"/>
      <c r="G39" s="1175"/>
      <c r="H39" s="1176"/>
      <c r="I39" s="1185"/>
      <c r="J39" s="1185"/>
      <c r="K39" s="1185"/>
      <c r="L39" s="1185"/>
      <c r="M39" s="1185"/>
      <c r="N39" s="1185"/>
      <c r="O39" s="1185"/>
      <c r="P39" s="1185"/>
      <c r="Q39" s="1185"/>
      <c r="R39" s="1185"/>
      <c r="S39" s="1185"/>
      <c r="T39" s="1185"/>
      <c r="U39" s="1185"/>
      <c r="V39" s="1178"/>
      <c r="W39" s="1178"/>
      <c r="Y39" s="518">
        <v>21</v>
      </c>
      <c r="Z39" s="1174"/>
      <c r="AA39" s="1175"/>
      <c r="AB39" s="1175"/>
      <c r="AC39" s="1175"/>
      <c r="AD39" s="1175"/>
      <c r="AE39" s="1176"/>
      <c r="AF39" s="1185"/>
      <c r="AG39" s="1185"/>
      <c r="AH39" s="1185"/>
      <c r="AI39" s="1185"/>
      <c r="AJ39" s="1185"/>
      <c r="AK39" s="1185"/>
      <c r="AL39" s="1185"/>
      <c r="AM39" s="1185"/>
      <c r="AN39" s="1185"/>
      <c r="AO39" s="1185"/>
      <c r="AP39" s="1185"/>
      <c r="AQ39" s="1185"/>
      <c r="AR39" s="1185"/>
      <c r="AS39" s="1178"/>
      <c r="AT39" s="1178"/>
      <c r="AW39" s="518">
        <v>29</v>
      </c>
      <c r="AX39" s="1174"/>
      <c r="AY39" s="1175"/>
      <c r="AZ39" s="1175"/>
      <c r="BA39" s="1175"/>
      <c r="BB39" s="1175"/>
      <c r="BC39" s="1176"/>
      <c r="BD39" s="1185"/>
      <c r="BE39" s="1185"/>
      <c r="BF39" s="1185"/>
      <c r="BG39" s="1185"/>
      <c r="BH39" s="1185"/>
      <c r="BI39" s="1185"/>
      <c r="BJ39" s="1185"/>
      <c r="BK39" s="1185"/>
      <c r="BL39" s="1185"/>
      <c r="BM39" s="1185"/>
      <c r="BN39" s="1185"/>
      <c r="BO39" s="1185"/>
      <c r="BP39" s="1185"/>
      <c r="BQ39" s="1178"/>
      <c r="BR39" s="1178"/>
      <c r="BT39" s="518">
        <v>21</v>
      </c>
      <c r="BU39" s="1174"/>
      <c r="BV39" s="1175"/>
      <c r="BW39" s="1175"/>
      <c r="BX39" s="1175"/>
      <c r="BY39" s="1175"/>
      <c r="BZ39" s="1176"/>
      <c r="CA39" s="1185"/>
      <c r="CB39" s="1185"/>
      <c r="CC39" s="1185"/>
      <c r="CD39" s="1185"/>
      <c r="CE39" s="1185"/>
      <c r="CF39" s="1185"/>
      <c r="CG39" s="1185"/>
      <c r="CH39" s="1185"/>
      <c r="CI39" s="1185"/>
      <c r="CJ39" s="1185"/>
      <c r="CK39" s="1185"/>
      <c r="CL39" s="1185"/>
      <c r="CM39" s="1185"/>
      <c r="CN39" s="1178"/>
      <c r="CO39" s="1178"/>
      <c r="CR39" s="518">
        <v>29</v>
      </c>
      <c r="CS39" s="1174"/>
      <c r="CT39" s="1175"/>
      <c r="CU39" s="1175"/>
      <c r="CV39" s="1175"/>
      <c r="CW39" s="1175"/>
      <c r="CX39" s="1176"/>
      <c r="CY39" s="1185"/>
      <c r="CZ39" s="1185"/>
      <c r="DA39" s="1185"/>
      <c r="DB39" s="1185"/>
      <c r="DC39" s="1185"/>
      <c r="DD39" s="1185"/>
      <c r="DE39" s="1185"/>
      <c r="DF39" s="1185"/>
      <c r="DG39" s="1185"/>
      <c r="DH39" s="1185"/>
      <c r="DI39" s="1185"/>
      <c r="DJ39" s="1185"/>
      <c r="DK39" s="1185"/>
      <c r="DL39" s="1178"/>
      <c r="DM39" s="1178"/>
      <c r="DO39" s="518">
        <v>21</v>
      </c>
      <c r="DP39" s="1174"/>
      <c r="DQ39" s="1175"/>
      <c r="DR39" s="1175"/>
      <c r="DS39" s="1175"/>
      <c r="DT39" s="1175"/>
      <c r="DU39" s="1176"/>
      <c r="DV39" s="1185"/>
      <c r="DW39" s="1185"/>
      <c r="DX39" s="1185"/>
      <c r="DY39" s="1185"/>
      <c r="DZ39" s="1185"/>
      <c r="EA39" s="1185"/>
      <c r="EB39" s="1185"/>
      <c r="EC39" s="1185"/>
      <c r="ED39" s="1185"/>
      <c r="EE39" s="1185"/>
      <c r="EF39" s="1185"/>
      <c r="EG39" s="1185"/>
      <c r="EH39" s="1185"/>
      <c r="EI39" s="1178"/>
      <c r="EJ39" s="1178"/>
      <c r="EM39" s="518">
        <v>29</v>
      </c>
      <c r="EN39" s="1174"/>
      <c r="EO39" s="1175"/>
      <c r="EP39" s="1175"/>
      <c r="EQ39" s="1175"/>
      <c r="ER39" s="1175"/>
      <c r="ES39" s="1176"/>
      <c r="ET39" s="1185"/>
      <c r="EU39" s="1185"/>
      <c r="EV39" s="1185"/>
      <c r="EW39" s="1185"/>
      <c r="EX39" s="1185"/>
      <c r="EY39" s="1185"/>
      <c r="EZ39" s="1185"/>
      <c r="FA39" s="1185"/>
      <c r="FB39" s="1185"/>
      <c r="FC39" s="1185"/>
      <c r="FD39" s="1185"/>
      <c r="FE39" s="1185"/>
      <c r="FF39" s="1185"/>
      <c r="FG39" s="1178"/>
      <c r="FH39" s="1178"/>
      <c r="FJ39" s="518">
        <v>21</v>
      </c>
      <c r="FK39" s="1174"/>
      <c r="FL39" s="1175"/>
      <c r="FM39" s="1175"/>
      <c r="FN39" s="1175"/>
      <c r="FO39" s="1175"/>
      <c r="FP39" s="1176"/>
      <c r="FQ39" s="1185"/>
      <c r="FR39" s="1185"/>
      <c r="FS39" s="1185"/>
      <c r="FT39" s="1185"/>
      <c r="FU39" s="1185"/>
      <c r="FV39" s="1185"/>
      <c r="FW39" s="1185"/>
      <c r="FX39" s="1185"/>
      <c r="FY39" s="1185"/>
      <c r="FZ39" s="1185"/>
      <c r="GA39" s="1185"/>
      <c r="GB39" s="1185"/>
      <c r="GC39" s="1185"/>
      <c r="GD39" s="1178"/>
      <c r="GE39" s="1178"/>
      <c r="GH39" s="518">
        <v>29</v>
      </c>
      <c r="GI39" s="1174"/>
      <c r="GJ39" s="1175"/>
      <c r="GK39" s="1175"/>
      <c r="GL39" s="1175"/>
      <c r="GM39" s="1175"/>
      <c r="GN39" s="1176"/>
      <c r="GO39" s="1185"/>
      <c r="GP39" s="1185"/>
      <c r="GQ39" s="1185"/>
      <c r="GR39" s="1185"/>
      <c r="GS39" s="1185"/>
      <c r="GT39" s="1185"/>
      <c r="GU39" s="1185"/>
      <c r="GV39" s="1185"/>
      <c r="GW39" s="1185"/>
      <c r="GX39" s="1185"/>
      <c r="GY39" s="1185"/>
      <c r="GZ39" s="1185"/>
      <c r="HA39" s="1185"/>
      <c r="HB39" s="1178"/>
      <c r="HC39" s="1178"/>
      <c r="HE39" s="518">
        <v>21</v>
      </c>
      <c r="HF39" s="1174"/>
      <c r="HG39" s="1175"/>
      <c r="HH39" s="1175"/>
      <c r="HI39" s="1175"/>
      <c r="HJ39" s="1175"/>
      <c r="HK39" s="1176"/>
      <c r="HL39" s="1185"/>
      <c r="HM39" s="1185"/>
      <c r="HN39" s="1185"/>
      <c r="HO39" s="1185"/>
      <c r="HP39" s="1185"/>
      <c r="HQ39" s="1185"/>
      <c r="HR39" s="1185"/>
      <c r="HS39" s="1185"/>
      <c r="HT39" s="1185"/>
      <c r="HU39" s="1185"/>
      <c r="HV39" s="1185"/>
      <c r="HW39" s="1185"/>
      <c r="HX39" s="1185"/>
      <c r="HY39" s="1178"/>
      <c r="HZ39" s="1178"/>
    </row>
    <row r="40" spans="2:234" ht="17.149999999999999" customHeight="1" x14ac:dyDescent="0.25">
      <c r="B40" s="519">
        <v>30</v>
      </c>
      <c r="C40" s="1179"/>
      <c r="D40" s="1180"/>
      <c r="E40" s="1180"/>
      <c r="F40" s="1180"/>
      <c r="G40" s="1180"/>
      <c r="H40" s="1181"/>
      <c r="I40" s="1173"/>
      <c r="J40" s="1173"/>
      <c r="K40" s="1173"/>
      <c r="L40" s="1173"/>
      <c r="M40" s="1173"/>
      <c r="N40" s="1173"/>
      <c r="O40" s="1173"/>
      <c r="P40" s="1173"/>
      <c r="Q40" s="1173"/>
      <c r="R40" s="1173"/>
      <c r="S40" s="1173"/>
      <c r="T40" s="1173"/>
      <c r="U40" s="1173"/>
      <c r="V40" s="1183"/>
      <c r="W40" s="1183"/>
      <c r="Y40" s="519">
        <v>22</v>
      </c>
      <c r="Z40" s="1179"/>
      <c r="AA40" s="1180"/>
      <c r="AB40" s="1180"/>
      <c r="AC40" s="1180"/>
      <c r="AD40" s="1180"/>
      <c r="AE40" s="1181"/>
      <c r="AF40" s="1173"/>
      <c r="AG40" s="1173"/>
      <c r="AH40" s="1173"/>
      <c r="AI40" s="1173"/>
      <c r="AJ40" s="1173"/>
      <c r="AK40" s="1173"/>
      <c r="AL40" s="1173"/>
      <c r="AM40" s="1173"/>
      <c r="AN40" s="1173"/>
      <c r="AO40" s="1173"/>
      <c r="AP40" s="1173"/>
      <c r="AQ40" s="1173"/>
      <c r="AR40" s="1173"/>
      <c r="AS40" s="1183"/>
      <c r="AT40" s="1183"/>
      <c r="AW40" s="519">
        <v>30</v>
      </c>
      <c r="AX40" s="1179"/>
      <c r="AY40" s="1180"/>
      <c r="AZ40" s="1180"/>
      <c r="BA40" s="1180"/>
      <c r="BB40" s="1180"/>
      <c r="BC40" s="1181"/>
      <c r="BD40" s="1173"/>
      <c r="BE40" s="1173"/>
      <c r="BF40" s="1173"/>
      <c r="BG40" s="1173"/>
      <c r="BH40" s="1173"/>
      <c r="BI40" s="1173"/>
      <c r="BJ40" s="1173"/>
      <c r="BK40" s="1173"/>
      <c r="BL40" s="1173"/>
      <c r="BM40" s="1173"/>
      <c r="BN40" s="1173"/>
      <c r="BO40" s="1173"/>
      <c r="BP40" s="1173"/>
      <c r="BQ40" s="1183"/>
      <c r="BR40" s="1183"/>
      <c r="BT40" s="519">
        <v>22</v>
      </c>
      <c r="BU40" s="1179"/>
      <c r="BV40" s="1180"/>
      <c r="BW40" s="1180"/>
      <c r="BX40" s="1180"/>
      <c r="BY40" s="1180"/>
      <c r="BZ40" s="1181"/>
      <c r="CA40" s="1173"/>
      <c r="CB40" s="1173"/>
      <c r="CC40" s="1173"/>
      <c r="CD40" s="1173"/>
      <c r="CE40" s="1173"/>
      <c r="CF40" s="1173"/>
      <c r="CG40" s="1173"/>
      <c r="CH40" s="1173"/>
      <c r="CI40" s="1173"/>
      <c r="CJ40" s="1173"/>
      <c r="CK40" s="1173"/>
      <c r="CL40" s="1173"/>
      <c r="CM40" s="1173"/>
      <c r="CN40" s="1183"/>
      <c r="CO40" s="1183"/>
      <c r="CR40" s="519">
        <v>30</v>
      </c>
      <c r="CS40" s="1179"/>
      <c r="CT40" s="1180"/>
      <c r="CU40" s="1180"/>
      <c r="CV40" s="1180"/>
      <c r="CW40" s="1180"/>
      <c r="CX40" s="1181"/>
      <c r="CY40" s="1173"/>
      <c r="CZ40" s="1173"/>
      <c r="DA40" s="1173"/>
      <c r="DB40" s="1173"/>
      <c r="DC40" s="1173"/>
      <c r="DD40" s="1173"/>
      <c r="DE40" s="1173"/>
      <c r="DF40" s="1173"/>
      <c r="DG40" s="1173"/>
      <c r="DH40" s="1173"/>
      <c r="DI40" s="1173"/>
      <c r="DJ40" s="1173"/>
      <c r="DK40" s="1173"/>
      <c r="DL40" s="1183"/>
      <c r="DM40" s="1183"/>
      <c r="DO40" s="519">
        <v>22</v>
      </c>
      <c r="DP40" s="1179"/>
      <c r="DQ40" s="1180"/>
      <c r="DR40" s="1180"/>
      <c r="DS40" s="1180"/>
      <c r="DT40" s="1180"/>
      <c r="DU40" s="1181"/>
      <c r="DV40" s="1173"/>
      <c r="DW40" s="1173"/>
      <c r="DX40" s="1173"/>
      <c r="DY40" s="1173"/>
      <c r="DZ40" s="1173"/>
      <c r="EA40" s="1173"/>
      <c r="EB40" s="1173"/>
      <c r="EC40" s="1173"/>
      <c r="ED40" s="1173"/>
      <c r="EE40" s="1173"/>
      <c r="EF40" s="1173"/>
      <c r="EG40" s="1173"/>
      <c r="EH40" s="1173"/>
      <c r="EI40" s="1183"/>
      <c r="EJ40" s="1183"/>
      <c r="EM40" s="519">
        <v>30</v>
      </c>
      <c r="EN40" s="1179"/>
      <c r="EO40" s="1180"/>
      <c r="EP40" s="1180"/>
      <c r="EQ40" s="1180"/>
      <c r="ER40" s="1180"/>
      <c r="ES40" s="1181"/>
      <c r="ET40" s="1173"/>
      <c r="EU40" s="1173"/>
      <c r="EV40" s="1173"/>
      <c r="EW40" s="1173"/>
      <c r="EX40" s="1173"/>
      <c r="EY40" s="1173"/>
      <c r="EZ40" s="1173"/>
      <c r="FA40" s="1173"/>
      <c r="FB40" s="1173"/>
      <c r="FC40" s="1173"/>
      <c r="FD40" s="1173"/>
      <c r="FE40" s="1173"/>
      <c r="FF40" s="1173"/>
      <c r="FG40" s="1183"/>
      <c r="FH40" s="1183"/>
      <c r="FJ40" s="519">
        <v>22</v>
      </c>
      <c r="FK40" s="1179"/>
      <c r="FL40" s="1180"/>
      <c r="FM40" s="1180"/>
      <c r="FN40" s="1180"/>
      <c r="FO40" s="1180"/>
      <c r="FP40" s="1181"/>
      <c r="FQ40" s="1173"/>
      <c r="FR40" s="1173"/>
      <c r="FS40" s="1173"/>
      <c r="FT40" s="1173"/>
      <c r="FU40" s="1173"/>
      <c r="FV40" s="1173"/>
      <c r="FW40" s="1173"/>
      <c r="FX40" s="1173"/>
      <c r="FY40" s="1173"/>
      <c r="FZ40" s="1173"/>
      <c r="GA40" s="1173"/>
      <c r="GB40" s="1173"/>
      <c r="GC40" s="1173"/>
      <c r="GD40" s="1183"/>
      <c r="GE40" s="1183"/>
      <c r="GH40" s="519">
        <v>30</v>
      </c>
      <c r="GI40" s="1179"/>
      <c r="GJ40" s="1180"/>
      <c r="GK40" s="1180"/>
      <c r="GL40" s="1180"/>
      <c r="GM40" s="1180"/>
      <c r="GN40" s="1181"/>
      <c r="GO40" s="1173"/>
      <c r="GP40" s="1173"/>
      <c r="GQ40" s="1173"/>
      <c r="GR40" s="1173"/>
      <c r="GS40" s="1173"/>
      <c r="GT40" s="1173"/>
      <c r="GU40" s="1173"/>
      <c r="GV40" s="1173"/>
      <c r="GW40" s="1173"/>
      <c r="GX40" s="1173"/>
      <c r="GY40" s="1173"/>
      <c r="GZ40" s="1173"/>
      <c r="HA40" s="1173"/>
      <c r="HB40" s="1183"/>
      <c r="HC40" s="1183"/>
      <c r="HE40" s="519">
        <v>22</v>
      </c>
      <c r="HF40" s="1179"/>
      <c r="HG40" s="1180"/>
      <c r="HH40" s="1180"/>
      <c r="HI40" s="1180"/>
      <c r="HJ40" s="1180"/>
      <c r="HK40" s="1181"/>
      <c r="HL40" s="1173"/>
      <c r="HM40" s="1173"/>
      <c r="HN40" s="1173"/>
      <c r="HO40" s="1173"/>
      <c r="HP40" s="1173"/>
      <c r="HQ40" s="1173"/>
      <c r="HR40" s="1173"/>
      <c r="HS40" s="1173"/>
      <c r="HT40" s="1173"/>
      <c r="HU40" s="1173"/>
      <c r="HV40" s="1173"/>
      <c r="HW40" s="1173"/>
      <c r="HX40" s="1173"/>
      <c r="HY40" s="1183"/>
      <c r="HZ40" s="1183"/>
    </row>
    <row r="41" spans="2:234" ht="17.149999999999999" customHeight="1" x14ac:dyDescent="0.25">
      <c r="B41" s="518">
        <v>31</v>
      </c>
      <c r="C41" s="1174"/>
      <c r="D41" s="1175"/>
      <c r="E41" s="1175"/>
      <c r="F41" s="1175"/>
      <c r="G41" s="1175"/>
      <c r="H41" s="1176"/>
      <c r="I41" s="1185"/>
      <c r="J41" s="1185"/>
      <c r="K41" s="1185"/>
      <c r="L41" s="1185"/>
      <c r="M41" s="1185"/>
      <c r="N41" s="1185"/>
      <c r="O41" s="1185"/>
      <c r="P41" s="1185"/>
      <c r="Q41" s="1185"/>
      <c r="R41" s="1185"/>
      <c r="S41" s="1185"/>
      <c r="T41" s="1185"/>
      <c r="U41" s="1185"/>
      <c r="V41" s="1178"/>
      <c r="W41" s="1178"/>
      <c r="Y41" s="518">
        <v>23</v>
      </c>
      <c r="Z41" s="1174"/>
      <c r="AA41" s="1175"/>
      <c r="AB41" s="1175"/>
      <c r="AC41" s="1175"/>
      <c r="AD41" s="1175"/>
      <c r="AE41" s="1176"/>
      <c r="AF41" s="1185"/>
      <c r="AG41" s="1185"/>
      <c r="AH41" s="1185"/>
      <c r="AI41" s="1185"/>
      <c r="AJ41" s="1185"/>
      <c r="AK41" s="1185"/>
      <c r="AL41" s="1185"/>
      <c r="AM41" s="1185"/>
      <c r="AN41" s="1185"/>
      <c r="AO41" s="1185"/>
      <c r="AP41" s="1185"/>
      <c r="AQ41" s="1185"/>
      <c r="AR41" s="1185"/>
      <c r="AS41" s="1178"/>
      <c r="AT41" s="1178"/>
      <c r="AW41" s="518">
        <v>31</v>
      </c>
      <c r="AX41" s="1174"/>
      <c r="AY41" s="1175"/>
      <c r="AZ41" s="1175"/>
      <c r="BA41" s="1175"/>
      <c r="BB41" s="1175"/>
      <c r="BC41" s="1176"/>
      <c r="BD41" s="1185"/>
      <c r="BE41" s="1185"/>
      <c r="BF41" s="1185"/>
      <c r="BG41" s="1185"/>
      <c r="BH41" s="1185"/>
      <c r="BI41" s="1185"/>
      <c r="BJ41" s="1185"/>
      <c r="BK41" s="1185"/>
      <c r="BL41" s="1185"/>
      <c r="BM41" s="1185"/>
      <c r="BN41" s="1185"/>
      <c r="BO41" s="1185"/>
      <c r="BP41" s="1185"/>
      <c r="BQ41" s="1178"/>
      <c r="BR41" s="1178"/>
      <c r="BT41" s="518">
        <v>23</v>
      </c>
      <c r="BU41" s="1174"/>
      <c r="BV41" s="1175"/>
      <c r="BW41" s="1175"/>
      <c r="BX41" s="1175"/>
      <c r="BY41" s="1175"/>
      <c r="BZ41" s="1176"/>
      <c r="CA41" s="1185"/>
      <c r="CB41" s="1185"/>
      <c r="CC41" s="1185"/>
      <c r="CD41" s="1185"/>
      <c r="CE41" s="1185"/>
      <c r="CF41" s="1185"/>
      <c r="CG41" s="1185"/>
      <c r="CH41" s="1185"/>
      <c r="CI41" s="1185"/>
      <c r="CJ41" s="1185"/>
      <c r="CK41" s="1185"/>
      <c r="CL41" s="1185"/>
      <c r="CM41" s="1185"/>
      <c r="CN41" s="1178"/>
      <c r="CO41" s="1178"/>
      <c r="CR41" s="518">
        <v>31</v>
      </c>
      <c r="CS41" s="1174"/>
      <c r="CT41" s="1175"/>
      <c r="CU41" s="1175"/>
      <c r="CV41" s="1175"/>
      <c r="CW41" s="1175"/>
      <c r="CX41" s="1176"/>
      <c r="CY41" s="1185"/>
      <c r="CZ41" s="1185"/>
      <c r="DA41" s="1185"/>
      <c r="DB41" s="1185"/>
      <c r="DC41" s="1185"/>
      <c r="DD41" s="1185"/>
      <c r="DE41" s="1185"/>
      <c r="DF41" s="1185"/>
      <c r="DG41" s="1185"/>
      <c r="DH41" s="1185"/>
      <c r="DI41" s="1185"/>
      <c r="DJ41" s="1185"/>
      <c r="DK41" s="1185"/>
      <c r="DL41" s="1178"/>
      <c r="DM41" s="1178"/>
      <c r="DO41" s="518">
        <v>23</v>
      </c>
      <c r="DP41" s="1174"/>
      <c r="DQ41" s="1175"/>
      <c r="DR41" s="1175"/>
      <c r="DS41" s="1175"/>
      <c r="DT41" s="1175"/>
      <c r="DU41" s="1176"/>
      <c r="DV41" s="1185"/>
      <c r="DW41" s="1185"/>
      <c r="DX41" s="1185"/>
      <c r="DY41" s="1185"/>
      <c r="DZ41" s="1185"/>
      <c r="EA41" s="1185"/>
      <c r="EB41" s="1185"/>
      <c r="EC41" s="1185"/>
      <c r="ED41" s="1185"/>
      <c r="EE41" s="1185"/>
      <c r="EF41" s="1185"/>
      <c r="EG41" s="1185"/>
      <c r="EH41" s="1185"/>
      <c r="EI41" s="1178"/>
      <c r="EJ41" s="1178"/>
      <c r="EM41" s="518">
        <v>31</v>
      </c>
      <c r="EN41" s="1174"/>
      <c r="EO41" s="1175"/>
      <c r="EP41" s="1175"/>
      <c r="EQ41" s="1175"/>
      <c r="ER41" s="1175"/>
      <c r="ES41" s="1176"/>
      <c r="ET41" s="1185"/>
      <c r="EU41" s="1185"/>
      <c r="EV41" s="1185"/>
      <c r="EW41" s="1185"/>
      <c r="EX41" s="1185"/>
      <c r="EY41" s="1185"/>
      <c r="EZ41" s="1185"/>
      <c r="FA41" s="1185"/>
      <c r="FB41" s="1185"/>
      <c r="FC41" s="1185"/>
      <c r="FD41" s="1185"/>
      <c r="FE41" s="1185"/>
      <c r="FF41" s="1185"/>
      <c r="FG41" s="1178"/>
      <c r="FH41" s="1178"/>
      <c r="FJ41" s="518">
        <v>23</v>
      </c>
      <c r="FK41" s="1174"/>
      <c r="FL41" s="1175"/>
      <c r="FM41" s="1175"/>
      <c r="FN41" s="1175"/>
      <c r="FO41" s="1175"/>
      <c r="FP41" s="1176"/>
      <c r="FQ41" s="1185"/>
      <c r="FR41" s="1185"/>
      <c r="FS41" s="1185"/>
      <c r="FT41" s="1185"/>
      <c r="FU41" s="1185"/>
      <c r="FV41" s="1185"/>
      <c r="FW41" s="1185"/>
      <c r="FX41" s="1185"/>
      <c r="FY41" s="1185"/>
      <c r="FZ41" s="1185"/>
      <c r="GA41" s="1185"/>
      <c r="GB41" s="1185"/>
      <c r="GC41" s="1185"/>
      <c r="GD41" s="1178"/>
      <c r="GE41" s="1178"/>
      <c r="GH41" s="518">
        <v>31</v>
      </c>
      <c r="GI41" s="1174"/>
      <c r="GJ41" s="1175"/>
      <c r="GK41" s="1175"/>
      <c r="GL41" s="1175"/>
      <c r="GM41" s="1175"/>
      <c r="GN41" s="1176"/>
      <c r="GO41" s="1185"/>
      <c r="GP41" s="1185"/>
      <c r="GQ41" s="1185"/>
      <c r="GR41" s="1185"/>
      <c r="GS41" s="1185"/>
      <c r="GT41" s="1185"/>
      <c r="GU41" s="1185"/>
      <c r="GV41" s="1185"/>
      <c r="GW41" s="1185"/>
      <c r="GX41" s="1185"/>
      <c r="GY41" s="1185"/>
      <c r="GZ41" s="1185"/>
      <c r="HA41" s="1185"/>
      <c r="HB41" s="1178"/>
      <c r="HC41" s="1178"/>
      <c r="HE41" s="518">
        <v>23</v>
      </c>
      <c r="HF41" s="1174"/>
      <c r="HG41" s="1175"/>
      <c r="HH41" s="1175"/>
      <c r="HI41" s="1175"/>
      <c r="HJ41" s="1175"/>
      <c r="HK41" s="1176"/>
      <c r="HL41" s="1185"/>
      <c r="HM41" s="1185"/>
      <c r="HN41" s="1185"/>
      <c r="HO41" s="1185"/>
      <c r="HP41" s="1185"/>
      <c r="HQ41" s="1185"/>
      <c r="HR41" s="1185"/>
      <c r="HS41" s="1185"/>
      <c r="HT41" s="1185"/>
      <c r="HU41" s="1185"/>
      <c r="HV41" s="1185"/>
      <c r="HW41" s="1185"/>
      <c r="HX41" s="1185"/>
      <c r="HY41" s="1178"/>
      <c r="HZ41" s="1178"/>
    </row>
    <row r="42" spans="2:234" ht="17.149999999999999" customHeight="1" x14ac:dyDescent="0.25">
      <c r="B42" s="519">
        <v>32</v>
      </c>
      <c r="C42" s="1179"/>
      <c r="D42" s="1180"/>
      <c r="E42" s="1180"/>
      <c r="F42" s="1180"/>
      <c r="G42" s="1180"/>
      <c r="H42" s="1181"/>
      <c r="I42" s="1173"/>
      <c r="J42" s="1173"/>
      <c r="K42" s="1173"/>
      <c r="L42" s="1173"/>
      <c r="M42" s="1173"/>
      <c r="N42" s="1173"/>
      <c r="O42" s="1173"/>
      <c r="P42" s="1173"/>
      <c r="Q42" s="1173"/>
      <c r="R42" s="1173"/>
      <c r="S42" s="1173"/>
      <c r="T42" s="1173"/>
      <c r="U42" s="1173"/>
      <c r="V42" s="1183"/>
      <c r="W42" s="1183"/>
      <c r="Y42" s="519">
        <v>24</v>
      </c>
      <c r="Z42" s="1179"/>
      <c r="AA42" s="1180"/>
      <c r="AB42" s="1180"/>
      <c r="AC42" s="1180"/>
      <c r="AD42" s="1180"/>
      <c r="AE42" s="1181"/>
      <c r="AF42" s="1173"/>
      <c r="AG42" s="1173"/>
      <c r="AH42" s="1173"/>
      <c r="AI42" s="1173"/>
      <c r="AJ42" s="1173"/>
      <c r="AK42" s="1173"/>
      <c r="AL42" s="1173"/>
      <c r="AM42" s="1173"/>
      <c r="AN42" s="1173"/>
      <c r="AO42" s="1173"/>
      <c r="AP42" s="1173"/>
      <c r="AQ42" s="1173"/>
      <c r="AR42" s="1173"/>
      <c r="AS42" s="1183"/>
      <c r="AT42" s="1183"/>
      <c r="AW42" s="519">
        <v>32</v>
      </c>
      <c r="AX42" s="1179"/>
      <c r="AY42" s="1180"/>
      <c r="AZ42" s="1180"/>
      <c r="BA42" s="1180"/>
      <c r="BB42" s="1180"/>
      <c r="BC42" s="1181"/>
      <c r="BD42" s="1173"/>
      <c r="BE42" s="1173"/>
      <c r="BF42" s="1173"/>
      <c r="BG42" s="1173"/>
      <c r="BH42" s="1173"/>
      <c r="BI42" s="1173"/>
      <c r="BJ42" s="1173"/>
      <c r="BK42" s="1173"/>
      <c r="BL42" s="1173"/>
      <c r="BM42" s="1173"/>
      <c r="BN42" s="1173"/>
      <c r="BO42" s="1173"/>
      <c r="BP42" s="1173"/>
      <c r="BQ42" s="1183"/>
      <c r="BR42" s="1183"/>
      <c r="BT42" s="519">
        <v>24</v>
      </c>
      <c r="BU42" s="1179"/>
      <c r="BV42" s="1180"/>
      <c r="BW42" s="1180"/>
      <c r="BX42" s="1180"/>
      <c r="BY42" s="1180"/>
      <c r="BZ42" s="1181"/>
      <c r="CA42" s="1173"/>
      <c r="CB42" s="1173"/>
      <c r="CC42" s="1173"/>
      <c r="CD42" s="1173"/>
      <c r="CE42" s="1173"/>
      <c r="CF42" s="1173"/>
      <c r="CG42" s="1173"/>
      <c r="CH42" s="1173"/>
      <c r="CI42" s="1173"/>
      <c r="CJ42" s="1173"/>
      <c r="CK42" s="1173"/>
      <c r="CL42" s="1173"/>
      <c r="CM42" s="1173"/>
      <c r="CN42" s="1183"/>
      <c r="CO42" s="1183"/>
      <c r="CR42" s="519">
        <v>32</v>
      </c>
      <c r="CS42" s="1179"/>
      <c r="CT42" s="1180"/>
      <c r="CU42" s="1180"/>
      <c r="CV42" s="1180"/>
      <c r="CW42" s="1180"/>
      <c r="CX42" s="1181"/>
      <c r="CY42" s="1173"/>
      <c r="CZ42" s="1173"/>
      <c r="DA42" s="1173"/>
      <c r="DB42" s="1173"/>
      <c r="DC42" s="1173"/>
      <c r="DD42" s="1173"/>
      <c r="DE42" s="1173"/>
      <c r="DF42" s="1173"/>
      <c r="DG42" s="1173"/>
      <c r="DH42" s="1173"/>
      <c r="DI42" s="1173"/>
      <c r="DJ42" s="1173"/>
      <c r="DK42" s="1173"/>
      <c r="DL42" s="1183"/>
      <c r="DM42" s="1183"/>
      <c r="DO42" s="519">
        <v>24</v>
      </c>
      <c r="DP42" s="1179"/>
      <c r="DQ42" s="1180"/>
      <c r="DR42" s="1180"/>
      <c r="DS42" s="1180"/>
      <c r="DT42" s="1180"/>
      <c r="DU42" s="1181"/>
      <c r="DV42" s="1173"/>
      <c r="DW42" s="1173"/>
      <c r="DX42" s="1173"/>
      <c r="DY42" s="1173"/>
      <c r="DZ42" s="1173"/>
      <c r="EA42" s="1173"/>
      <c r="EB42" s="1173"/>
      <c r="EC42" s="1173"/>
      <c r="ED42" s="1173"/>
      <c r="EE42" s="1173"/>
      <c r="EF42" s="1173"/>
      <c r="EG42" s="1173"/>
      <c r="EH42" s="1173"/>
      <c r="EI42" s="1183"/>
      <c r="EJ42" s="1183"/>
      <c r="EM42" s="519">
        <v>32</v>
      </c>
      <c r="EN42" s="1179"/>
      <c r="EO42" s="1180"/>
      <c r="EP42" s="1180"/>
      <c r="EQ42" s="1180"/>
      <c r="ER42" s="1180"/>
      <c r="ES42" s="1181"/>
      <c r="ET42" s="1173"/>
      <c r="EU42" s="1173"/>
      <c r="EV42" s="1173"/>
      <c r="EW42" s="1173"/>
      <c r="EX42" s="1173"/>
      <c r="EY42" s="1173"/>
      <c r="EZ42" s="1173"/>
      <c r="FA42" s="1173"/>
      <c r="FB42" s="1173"/>
      <c r="FC42" s="1173"/>
      <c r="FD42" s="1173"/>
      <c r="FE42" s="1173"/>
      <c r="FF42" s="1173"/>
      <c r="FG42" s="1183"/>
      <c r="FH42" s="1183"/>
      <c r="FJ42" s="519">
        <v>24</v>
      </c>
      <c r="FK42" s="1179"/>
      <c r="FL42" s="1180"/>
      <c r="FM42" s="1180"/>
      <c r="FN42" s="1180"/>
      <c r="FO42" s="1180"/>
      <c r="FP42" s="1181"/>
      <c r="FQ42" s="1173"/>
      <c r="FR42" s="1173"/>
      <c r="FS42" s="1173"/>
      <c r="FT42" s="1173"/>
      <c r="FU42" s="1173"/>
      <c r="FV42" s="1173"/>
      <c r="FW42" s="1173"/>
      <c r="FX42" s="1173"/>
      <c r="FY42" s="1173"/>
      <c r="FZ42" s="1173"/>
      <c r="GA42" s="1173"/>
      <c r="GB42" s="1173"/>
      <c r="GC42" s="1173"/>
      <c r="GD42" s="1183"/>
      <c r="GE42" s="1183"/>
      <c r="GH42" s="519">
        <v>32</v>
      </c>
      <c r="GI42" s="1179"/>
      <c r="GJ42" s="1180"/>
      <c r="GK42" s="1180"/>
      <c r="GL42" s="1180"/>
      <c r="GM42" s="1180"/>
      <c r="GN42" s="1181"/>
      <c r="GO42" s="1173"/>
      <c r="GP42" s="1173"/>
      <c r="GQ42" s="1173"/>
      <c r="GR42" s="1173"/>
      <c r="GS42" s="1173"/>
      <c r="GT42" s="1173"/>
      <c r="GU42" s="1173"/>
      <c r="GV42" s="1173"/>
      <c r="GW42" s="1173"/>
      <c r="GX42" s="1173"/>
      <c r="GY42" s="1173"/>
      <c r="GZ42" s="1173"/>
      <c r="HA42" s="1173"/>
      <c r="HB42" s="1183"/>
      <c r="HC42" s="1183"/>
      <c r="HE42" s="519">
        <v>24</v>
      </c>
      <c r="HF42" s="1179"/>
      <c r="HG42" s="1180"/>
      <c r="HH42" s="1180"/>
      <c r="HI42" s="1180"/>
      <c r="HJ42" s="1180"/>
      <c r="HK42" s="1181"/>
      <c r="HL42" s="1173"/>
      <c r="HM42" s="1173"/>
      <c r="HN42" s="1173"/>
      <c r="HO42" s="1173"/>
      <c r="HP42" s="1173"/>
      <c r="HQ42" s="1173"/>
      <c r="HR42" s="1173"/>
      <c r="HS42" s="1173"/>
      <c r="HT42" s="1173"/>
      <c r="HU42" s="1173"/>
      <c r="HV42" s="1173"/>
      <c r="HW42" s="1173"/>
      <c r="HX42" s="1173"/>
      <c r="HY42" s="1183"/>
      <c r="HZ42" s="1183"/>
    </row>
    <row r="43" spans="2:234" ht="17.149999999999999" customHeight="1" x14ac:dyDescent="0.25">
      <c r="B43" s="518">
        <v>33</v>
      </c>
      <c r="C43" s="1174"/>
      <c r="D43" s="1175"/>
      <c r="E43" s="1175"/>
      <c r="F43" s="1175"/>
      <c r="G43" s="1175"/>
      <c r="H43" s="1176"/>
      <c r="I43" s="1185"/>
      <c r="J43" s="1185"/>
      <c r="K43" s="1185"/>
      <c r="L43" s="1185"/>
      <c r="M43" s="1185"/>
      <c r="N43" s="1185"/>
      <c r="O43" s="1185"/>
      <c r="P43" s="1185"/>
      <c r="Q43" s="1185"/>
      <c r="R43" s="1185"/>
      <c r="S43" s="1185"/>
      <c r="T43" s="1185"/>
      <c r="U43" s="1185"/>
      <c r="V43" s="1178"/>
      <c r="W43" s="1178"/>
      <c r="Y43" s="518">
        <v>25</v>
      </c>
      <c r="Z43" s="1174"/>
      <c r="AA43" s="1175"/>
      <c r="AB43" s="1175"/>
      <c r="AC43" s="1175"/>
      <c r="AD43" s="1175"/>
      <c r="AE43" s="1176"/>
      <c r="AF43" s="1185"/>
      <c r="AG43" s="1185"/>
      <c r="AH43" s="1185"/>
      <c r="AI43" s="1185"/>
      <c r="AJ43" s="1185"/>
      <c r="AK43" s="1185"/>
      <c r="AL43" s="1185"/>
      <c r="AM43" s="1185"/>
      <c r="AN43" s="1185"/>
      <c r="AO43" s="1185"/>
      <c r="AP43" s="1185"/>
      <c r="AQ43" s="1185"/>
      <c r="AR43" s="1185"/>
      <c r="AS43" s="1178"/>
      <c r="AT43" s="1178"/>
      <c r="AW43" s="518">
        <v>33</v>
      </c>
      <c r="AX43" s="1174"/>
      <c r="AY43" s="1175"/>
      <c r="AZ43" s="1175"/>
      <c r="BA43" s="1175"/>
      <c r="BB43" s="1175"/>
      <c r="BC43" s="1176"/>
      <c r="BD43" s="1185"/>
      <c r="BE43" s="1185"/>
      <c r="BF43" s="1185"/>
      <c r="BG43" s="1185"/>
      <c r="BH43" s="1185"/>
      <c r="BI43" s="1185"/>
      <c r="BJ43" s="1185"/>
      <c r="BK43" s="1185"/>
      <c r="BL43" s="1185"/>
      <c r="BM43" s="1185"/>
      <c r="BN43" s="1185"/>
      <c r="BO43" s="1185"/>
      <c r="BP43" s="1185"/>
      <c r="BQ43" s="1178"/>
      <c r="BR43" s="1178"/>
      <c r="BT43" s="518">
        <v>25</v>
      </c>
      <c r="BU43" s="1174"/>
      <c r="BV43" s="1175"/>
      <c r="BW43" s="1175"/>
      <c r="BX43" s="1175"/>
      <c r="BY43" s="1175"/>
      <c r="BZ43" s="1176"/>
      <c r="CA43" s="1185"/>
      <c r="CB43" s="1185"/>
      <c r="CC43" s="1185"/>
      <c r="CD43" s="1185"/>
      <c r="CE43" s="1185"/>
      <c r="CF43" s="1185"/>
      <c r="CG43" s="1185"/>
      <c r="CH43" s="1185"/>
      <c r="CI43" s="1185"/>
      <c r="CJ43" s="1185"/>
      <c r="CK43" s="1185"/>
      <c r="CL43" s="1185"/>
      <c r="CM43" s="1185"/>
      <c r="CN43" s="1178"/>
      <c r="CO43" s="1178"/>
      <c r="CR43" s="518">
        <v>33</v>
      </c>
      <c r="CS43" s="1174"/>
      <c r="CT43" s="1175"/>
      <c r="CU43" s="1175"/>
      <c r="CV43" s="1175"/>
      <c r="CW43" s="1175"/>
      <c r="CX43" s="1176"/>
      <c r="CY43" s="1185"/>
      <c r="CZ43" s="1185"/>
      <c r="DA43" s="1185"/>
      <c r="DB43" s="1185"/>
      <c r="DC43" s="1185"/>
      <c r="DD43" s="1185"/>
      <c r="DE43" s="1185"/>
      <c r="DF43" s="1185"/>
      <c r="DG43" s="1185"/>
      <c r="DH43" s="1185"/>
      <c r="DI43" s="1185"/>
      <c r="DJ43" s="1185"/>
      <c r="DK43" s="1185"/>
      <c r="DL43" s="1178"/>
      <c r="DM43" s="1178"/>
      <c r="DO43" s="518">
        <v>25</v>
      </c>
      <c r="DP43" s="1174"/>
      <c r="DQ43" s="1175"/>
      <c r="DR43" s="1175"/>
      <c r="DS43" s="1175"/>
      <c r="DT43" s="1175"/>
      <c r="DU43" s="1176"/>
      <c r="DV43" s="1185"/>
      <c r="DW43" s="1185"/>
      <c r="DX43" s="1185"/>
      <c r="DY43" s="1185"/>
      <c r="DZ43" s="1185"/>
      <c r="EA43" s="1185"/>
      <c r="EB43" s="1185"/>
      <c r="EC43" s="1185"/>
      <c r="ED43" s="1185"/>
      <c r="EE43" s="1185"/>
      <c r="EF43" s="1185"/>
      <c r="EG43" s="1185"/>
      <c r="EH43" s="1185"/>
      <c r="EI43" s="1178"/>
      <c r="EJ43" s="1178"/>
      <c r="EM43" s="518">
        <v>33</v>
      </c>
      <c r="EN43" s="1174"/>
      <c r="EO43" s="1175"/>
      <c r="EP43" s="1175"/>
      <c r="EQ43" s="1175"/>
      <c r="ER43" s="1175"/>
      <c r="ES43" s="1176"/>
      <c r="ET43" s="1185"/>
      <c r="EU43" s="1185"/>
      <c r="EV43" s="1185"/>
      <c r="EW43" s="1185"/>
      <c r="EX43" s="1185"/>
      <c r="EY43" s="1185"/>
      <c r="EZ43" s="1185"/>
      <c r="FA43" s="1185"/>
      <c r="FB43" s="1185"/>
      <c r="FC43" s="1185"/>
      <c r="FD43" s="1185"/>
      <c r="FE43" s="1185"/>
      <c r="FF43" s="1185"/>
      <c r="FG43" s="1178"/>
      <c r="FH43" s="1178"/>
      <c r="FJ43" s="518">
        <v>25</v>
      </c>
      <c r="FK43" s="1174"/>
      <c r="FL43" s="1175"/>
      <c r="FM43" s="1175"/>
      <c r="FN43" s="1175"/>
      <c r="FO43" s="1175"/>
      <c r="FP43" s="1176"/>
      <c r="FQ43" s="1185"/>
      <c r="FR43" s="1185"/>
      <c r="FS43" s="1185"/>
      <c r="FT43" s="1185"/>
      <c r="FU43" s="1185"/>
      <c r="FV43" s="1185"/>
      <c r="FW43" s="1185"/>
      <c r="FX43" s="1185"/>
      <c r="FY43" s="1185"/>
      <c r="FZ43" s="1185"/>
      <c r="GA43" s="1185"/>
      <c r="GB43" s="1185"/>
      <c r="GC43" s="1185"/>
      <c r="GD43" s="1178"/>
      <c r="GE43" s="1178"/>
      <c r="GH43" s="518">
        <v>33</v>
      </c>
      <c r="GI43" s="1174"/>
      <c r="GJ43" s="1175"/>
      <c r="GK43" s="1175"/>
      <c r="GL43" s="1175"/>
      <c r="GM43" s="1175"/>
      <c r="GN43" s="1176"/>
      <c r="GO43" s="1185"/>
      <c r="GP43" s="1185"/>
      <c r="GQ43" s="1185"/>
      <c r="GR43" s="1185"/>
      <c r="GS43" s="1185"/>
      <c r="GT43" s="1185"/>
      <c r="GU43" s="1185"/>
      <c r="GV43" s="1185"/>
      <c r="GW43" s="1185"/>
      <c r="GX43" s="1185"/>
      <c r="GY43" s="1185"/>
      <c r="GZ43" s="1185"/>
      <c r="HA43" s="1185"/>
      <c r="HB43" s="1178"/>
      <c r="HC43" s="1178"/>
      <c r="HE43" s="518">
        <v>25</v>
      </c>
      <c r="HF43" s="1174"/>
      <c r="HG43" s="1175"/>
      <c r="HH43" s="1175"/>
      <c r="HI43" s="1175"/>
      <c r="HJ43" s="1175"/>
      <c r="HK43" s="1176"/>
      <c r="HL43" s="1185"/>
      <c r="HM43" s="1185"/>
      <c r="HN43" s="1185"/>
      <c r="HO43" s="1185"/>
      <c r="HP43" s="1185"/>
      <c r="HQ43" s="1185"/>
      <c r="HR43" s="1185"/>
      <c r="HS43" s="1185"/>
      <c r="HT43" s="1185"/>
      <c r="HU43" s="1185"/>
      <c r="HV43" s="1185"/>
      <c r="HW43" s="1185"/>
      <c r="HX43" s="1185"/>
      <c r="HY43" s="1178"/>
      <c r="HZ43" s="1178"/>
    </row>
    <row r="44" spans="2:234" ht="17.149999999999999" customHeight="1" x14ac:dyDescent="0.25">
      <c r="B44" s="519">
        <v>34</v>
      </c>
      <c r="C44" s="1179"/>
      <c r="D44" s="1180"/>
      <c r="E44" s="1180"/>
      <c r="F44" s="1180"/>
      <c r="G44" s="1180"/>
      <c r="H44" s="1181"/>
      <c r="I44" s="1173"/>
      <c r="J44" s="1173"/>
      <c r="K44" s="1173"/>
      <c r="L44" s="1173"/>
      <c r="M44" s="1173"/>
      <c r="N44" s="1173"/>
      <c r="O44" s="1173"/>
      <c r="P44" s="1173"/>
      <c r="Q44" s="1173"/>
      <c r="R44" s="1173"/>
      <c r="S44" s="1173"/>
      <c r="T44" s="1173"/>
      <c r="U44" s="1173"/>
      <c r="V44" s="1183"/>
      <c r="W44" s="1183"/>
      <c r="Y44" s="519">
        <v>26</v>
      </c>
      <c r="Z44" s="1179"/>
      <c r="AA44" s="1180"/>
      <c r="AB44" s="1180"/>
      <c r="AC44" s="1180"/>
      <c r="AD44" s="1180"/>
      <c r="AE44" s="1181"/>
      <c r="AF44" s="1173"/>
      <c r="AG44" s="1173"/>
      <c r="AH44" s="1173"/>
      <c r="AI44" s="1173"/>
      <c r="AJ44" s="1173"/>
      <c r="AK44" s="1173"/>
      <c r="AL44" s="1173"/>
      <c r="AM44" s="1173"/>
      <c r="AN44" s="1173"/>
      <c r="AO44" s="1173"/>
      <c r="AP44" s="1173"/>
      <c r="AQ44" s="1173"/>
      <c r="AR44" s="1173"/>
      <c r="AS44" s="1183"/>
      <c r="AT44" s="1183"/>
      <c r="AW44" s="519">
        <v>34</v>
      </c>
      <c r="AX44" s="1179"/>
      <c r="AY44" s="1180"/>
      <c r="AZ44" s="1180"/>
      <c r="BA44" s="1180"/>
      <c r="BB44" s="1180"/>
      <c r="BC44" s="1181"/>
      <c r="BD44" s="1173"/>
      <c r="BE44" s="1173"/>
      <c r="BF44" s="1173"/>
      <c r="BG44" s="1173"/>
      <c r="BH44" s="1173"/>
      <c r="BI44" s="1173"/>
      <c r="BJ44" s="1173"/>
      <c r="BK44" s="1173"/>
      <c r="BL44" s="1173"/>
      <c r="BM44" s="1173"/>
      <c r="BN44" s="1173"/>
      <c r="BO44" s="1173"/>
      <c r="BP44" s="1173"/>
      <c r="BQ44" s="1183"/>
      <c r="BR44" s="1183"/>
      <c r="BT44" s="519">
        <v>26</v>
      </c>
      <c r="BU44" s="1179"/>
      <c r="BV44" s="1180"/>
      <c r="BW44" s="1180"/>
      <c r="BX44" s="1180"/>
      <c r="BY44" s="1180"/>
      <c r="BZ44" s="1181"/>
      <c r="CA44" s="1173"/>
      <c r="CB44" s="1173"/>
      <c r="CC44" s="1173"/>
      <c r="CD44" s="1173"/>
      <c r="CE44" s="1173"/>
      <c r="CF44" s="1173"/>
      <c r="CG44" s="1173"/>
      <c r="CH44" s="1173"/>
      <c r="CI44" s="1173"/>
      <c r="CJ44" s="1173"/>
      <c r="CK44" s="1173"/>
      <c r="CL44" s="1173"/>
      <c r="CM44" s="1173"/>
      <c r="CN44" s="1183"/>
      <c r="CO44" s="1183"/>
      <c r="CR44" s="519">
        <v>34</v>
      </c>
      <c r="CS44" s="1179"/>
      <c r="CT44" s="1180"/>
      <c r="CU44" s="1180"/>
      <c r="CV44" s="1180"/>
      <c r="CW44" s="1180"/>
      <c r="CX44" s="1181"/>
      <c r="CY44" s="1173"/>
      <c r="CZ44" s="1173"/>
      <c r="DA44" s="1173"/>
      <c r="DB44" s="1173"/>
      <c r="DC44" s="1173"/>
      <c r="DD44" s="1173"/>
      <c r="DE44" s="1173"/>
      <c r="DF44" s="1173"/>
      <c r="DG44" s="1173"/>
      <c r="DH44" s="1173"/>
      <c r="DI44" s="1173"/>
      <c r="DJ44" s="1173"/>
      <c r="DK44" s="1173"/>
      <c r="DL44" s="1183"/>
      <c r="DM44" s="1183"/>
      <c r="DO44" s="519">
        <v>26</v>
      </c>
      <c r="DP44" s="1179"/>
      <c r="DQ44" s="1180"/>
      <c r="DR44" s="1180"/>
      <c r="DS44" s="1180"/>
      <c r="DT44" s="1180"/>
      <c r="DU44" s="1181"/>
      <c r="DV44" s="1173"/>
      <c r="DW44" s="1173"/>
      <c r="DX44" s="1173"/>
      <c r="DY44" s="1173"/>
      <c r="DZ44" s="1173"/>
      <c r="EA44" s="1173"/>
      <c r="EB44" s="1173"/>
      <c r="EC44" s="1173"/>
      <c r="ED44" s="1173"/>
      <c r="EE44" s="1173"/>
      <c r="EF44" s="1173"/>
      <c r="EG44" s="1173"/>
      <c r="EH44" s="1173"/>
      <c r="EI44" s="1183"/>
      <c r="EJ44" s="1183"/>
      <c r="EM44" s="519">
        <v>34</v>
      </c>
      <c r="EN44" s="1179"/>
      <c r="EO44" s="1180"/>
      <c r="EP44" s="1180"/>
      <c r="EQ44" s="1180"/>
      <c r="ER44" s="1180"/>
      <c r="ES44" s="1181"/>
      <c r="ET44" s="1173"/>
      <c r="EU44" s="1173"/>
      <c r="EV44" s="1173"/>
      <c r="EW44" s="1173"/>
      <c r="EX44" s="1173"/>
      <c r="EY44" s="1173"/>
      <c r="EZ44" s="1173"/>
      <c r="FA44" s="1173"/>
      <c r="FB44" s="1173"/>
      <c r="FC44" s="1173"/>
      <c r="FD44" s="1173"/>
      <c r="FE44" s="1173"/>
      <c r="FF44" s="1173"/>
      <c r="FG44" s="1183"/>
      <c r="FH44" s="1183"/>
      <c r="FJ44" s="519">
        <v>26</v>
      </c>
      <c r="FK44" s="1179"/>
      <c r="FL44" s="1180"/>
      <c r="FM44" s="1180"/>
      <c r="FN44" s="1180"/>
      <c r="FO44" s="1180"/>
      <c r="FP44" s="1181"/>
      <c r="FQ44" s="1173"/>
      <c r="FR44" s="1173"/>
      <c r="FS44" s="1173"/>
      <c r="FT44" s="1173"/>
      <c r="FU44" s="1173"/>
      <c r="FV44" s="1173"/>
      <c r="FW44" s="1173"/>
      <c r="FX44" s="1173"/>
      <c r="FY44" s="1173"/>
      <c r="FZ44" s="1173"/>
      <c r="GA44" s="1173"/>
      <c r="GB44" s="1173"/>
      <c r="GC44" s="1173"/>
      <c r="GD44" s="1183"/>
      <c r="GE44" s="1183"/>
      <c r="GH44" s="519">
        <v>34</v>
      </c>
      <c r="GI44" s="1179"/>
      <c r="GJ44" s="1180"/>
      <c r="GK44" s="1180"/>
      <c r="GL44" s="1180"/>
      <c r="GM44" s="1180"/>
      <c r="GN44" s="1181"/>
      <c r="GO44" s="1173"/>
      <c r="GP44" s="1173"/>
      <c r="GQ44" s="1173"/>
      <c r="GR44" s="1173"/>
      <c r="GS44" s="1173"/>
      <c r="GT44" s="1173"/>
      <c r="GU44" s="1173"/>
      <c r="GV44" s="1173"/>
      <c r="GW44" s="1173"/>
      <c r="GX44" s="1173"/>
      <c r="GY44" s="1173"/>
      <c r="GZ44" s="1173"/>
      <c r="HA44" s="1173"/>
      <c r="HB44" s="1183"/>
      <c r="HC44" s="1183"/>
      <c r="HE44" s="519">
        <v>26</v>
      </c>
      <c r="HF44" s="1179"/>
      <c r="HG44" s="1180"/>
      <c r="HH44" s="1180"/>
      <c r="HI44" s="1180"/>
      <c r="HJ44" s="1180"/>
      <c r="HK44" s="1181"/>
      <c r="HL44" s="1173"/>
      <c r="HM44" s="1173"/>
      <c r="HN44" s="1173"/>
      <c r="HO44" s="1173"/>
      <c r="HP44" s="1173"/>
      <c r="HQ44" s="1173"/>
      <c r="HR44" s="1173"/>
      <c r="HS44" s="1173"/>
      <c r="HT44" s="1173"/>
      <c r="HU44" s="1173"/>
      <c r="HV44" s="1173"/>
      <c r="HW44" s="1173"/>
      <c r="HX44" s="1173"/>
      <c r="HY44" s="1183"/>
      <c r="HZ44" s="1183"/>
    </row>
    <row r="45" spans="2:234" ht="17.149999999999999" customHeight="1" x14ac:dyDescent="0.25">
      <c r="B45" s="518">
        <v>35</v>
      </c>
      <c r="C45" s="1174"/>
      <c r="D45" s="1175"/>
      <c r="E45" s="1175"/>
      <c r="F45" s="1175"/>
      <c r="G45" s="1175"/>
      <c r="H45" s="1176"/>
      <c r="I45" s="1185"/>
      <c r="J45" s="1185"/>
      <c r="K45" s="1185"/>
      <c r="L45" s="1185"/>
      <c r="M45" s="1185"/>
      <c r="N45" s="1185"/>
      <c r="O45" s="1185"/>
      <c r="P45" s="1185"/>
      <c r="Q45" s="1185"/>
      <c r="R45" s="1185"/>
      <c r="S45" s="1185"/>
      <c r="T45" s="1185"/>
      <c r="U45" s="1185"/>
      <c r="V45" s="1178"/>
      <c r="W45" s="1178"/>
      <c r="Y45" s="518">
        <v>27</v>
      </c>
      <c r="Z45" s="1174"/>
      <c r="AA45" s="1175"/>
      <c r="AB45" s="1175"/>
      <c r="AC45" s="1175"/>
      <c r="AD45" s="1175"/>
      <c r="AE45" s="1176"/>
      <c r="AF45" s="1185"/>
      <c r="AG45" s="1185"/>
      <c r="AH45" s="1185"/>
      <c r="AI45" s="1185"/>
      <c r="AJ45" s="1185"/>
      <c r="AK45" s="1185"/>
      <c r="AL45" s="1185"/>
      <c r="AM45" s="1185"/>
      <c r="AN45" s="1185"/>
      <c r="AO45" s="1185"/>
      <c r="AP45" s="1185"/>
      <c r="AQ45" s="1185"/>
      <c r="AR45" s="1185"/>
      <c r="AS45" s="1178"/>
      <c r="AT45" s="1178"/>
      <c r="AW45" s="518">
        <v>35</v>
      </c>
      <c r="AX45" s="1174"/>
      <c r="AY45" s="1175"/>
      <c r="AZ45" s="1175"/>
      <c r="BA45" s="1175"/>
      <c r="BB45" s="1175"/>
      <c r="BC45" s="1176"/>
      <c r="BD45" s="1185"/>
      <c r="BE45" s="1185"/>
      <c r="BF45" s="1185"/>
      <c r="BG45" s="1185"/>
      <c r="BH45" s="1185"/>
      <c r="BI45" s="1185"/>
      <c r="BJ45" s="1185"/>
      <c r="BK45" s="1185"/>
      <c r="BL45" s="1185"/>
      <c r="BM45" s="1185"/>
      <c r="BN45" s="1185"/>
      <c r="BO45" s="1185"/>
      <c r="BP45" s="1185"/>
      <c r="BQ45" s="1178"/>
      <c r="BR45" s="1178"/>
      <c r="BT45" s="518">
        <v>27</v>
      </c>
      <c r="BU45" s="1174"/>
      <c r="BV45" s="1175"/>
      <c r="BW45" s="1175"/>
      <c r="BX45" s="1175"/>
      <c r="BY45" s="1175"/>
      <c r="BZ45" s="1176"/>
      <c r="CA45" s="1185"/>
      <c r="CB45" s="1185"/>
      <c r="CC45" s="1185"/>
      <c r="CD45" s="1185"/>
      <c r="CE45" s="1185"/>
      <c r="CF45" s="1185"/>
      <c r="CG45" s="1185"/>
      <c r="CH45" s="1185"/>
      <c r="CI45" s="1185"/>
      <c r="CJ45" s="1185"/>
      <c r="CK45" s="1185"/>
      <c r="CL45" s="1185"/>
      <c r="CM45" s="1185"/>
      <c r="CN45" s="1178"/>
      <c r="CO45" s="1178"/>
      <c r="CR45" s="518">
        <v>35</v>
      </c>
      <c r="CS45" s="1174"/>
      <c r="CT45" s="1175"/>
      <c r="CU45" s="1175"/>
      <c r="CV45" s="1175"/>
      <c r="CW45" s="1175"/>
      <c r="CX45" s="1176"/>
      <c r="CY45" s="1185"/>
      <c r="CZ45" s="1185"/>
      <c r="DA45" s="1185"/>
      <c r="DB45" s="1185"/>
      <c r="DC45" s="1185"/>
      <c r="DD45" s="1185"/>
      <c r="DE45" s="1185"/>
      <c r="DF45" s="1185"/>
      <c r="DG45" s="1185"/>
      <c r="DH45" s="1185"/>
      <c r="DI45" s="1185"/>
      <c r="DJ45" s="1185"/>
      <c r="DK45" s="1185"/>
      <c r="DL45" s="1178"/>
      <c r="DM45" s="1178"/>
      <c r="DO45" s="518">
        <v>27</v>
      </c>
      <c r="DP45" s="1174"/>
      <c r="DQ45" s="1175"/>
      <c r="DR45" s="1175"/>
      <c r="DS45" s="1175"/>
      <c r="DT45" s="1175"/>
      <c r="DU45" s="1176"/>
      <c r="DV45" s="1185"/>
      <c r="DW45" s="1185"/>
      <c r="DX45" s="1185"/>
      <c r="DY45" s="1185"/>
      <c r="DZ45" s="1185"/>
      <c r="EA45" s="1185"/>
      <c r="EB45" s="1185"/>
      <c r="EC45" s="1185"/>
      <c r="ED45" s="1185"/>
      <c r="EE45" s="1185"/>
      <c r="EF45" s="1185"/>
      <c r="EG45" s="1185"/>
      <c r="EH45" s="1185"/>
      <c r="EI45" s="1178"/>
      <c r="EJ45" s="1178"/>
      <c r="EM45" s="518">
        <v>35</v>
      </c>
      <c r="EN45" s="1174"/>
      <c r="EO45" s="1175"/>
      <c r="EP45" s="1175"/>
      <c r="EQ45" s="1175"/>
      <c r="ER45" s="1175"/>
      <c r="ES45" s="1176"/>
      <c r="ET45" s="1185"/>
      <c r="EU45" s="1185"/>
      <c r="EV45" s="1185"/>
      <c r="EW45" s="1185"/>
      <c r="EX45" s="1185"/>
      <c r="EY45" s="1185"/>
      <c r="EZ45" s="1185"/>
      <c r="FA45" s="1185"/>
      <c r="FB45" s="1185"/>
      <c r="FC45" s="1185"/>
      <c r="FD45" s="1185"/>
      <c r="FE45" s="1185"/>
      <c r="FF45" s="1185"/>
      <c r="FG45" s="1178"/>
      <c r="FH45" s="1178"/>
      <c r="FJ45" s="518">
        <v>27</v>
      </c>
      <c r="FK45" s="1174"/>
      <c r="FL45" s="1175"/>
      <c r="FM45" s="1175"/>
      <c r="FN45" s="1175"/>
      <c r="FO45" s="1175"/>
      <c r="FP45" s="1176"/>
      <c r="FQ45" s="1185"/>
      <c r="FR45" s="1185"/>
      <c r="FS45" s="1185"/>
      <c r="FT45" s="1185"/>
      <c r="FU45" s="1185"/>
      <c r="FV45" s="1185"/>
      <c r="FW45" s="1185"/>
      <c r="FX45" s="1185"/>
      <c r="FY45" s="1185"/>
      <c r="FZ45" s="1185"/>
      <c r="GA45" s="1185"/>
      <c r="GB45" s="1185"/>
      <c r="GC45" s="1185"/>
      <c r="GD45" s="1178"/>
      <c r="GE45" s="1178"/>
      <c r="GH45" s="518">
        <v>35</v>
      </c>
      <c r="GI45" s="1174"/>
      <c r="GJ45" s="1175"/>
      <c r="GK45" s="1175"/>
      <c r="GL45" s="1175"/>
      <c r="GM45" s="1175"/>
      <c r="GN45" s="1176"/>
      <c r="GO45" s="1185"/>
      <c r="GP45" s="1185"/>
      <c r="GQ45" s="1185"/>
      <c r="GR45" s="1185"/>
      <c r="GS45" s="1185"/>
      <c r="GT45" s="1185"/>
      <c r="GU45" s="1185"/>
      <c r="GV45" s="1185"/>
      <c r="GW45" s="1185"/>
      <c r="GX45" s="1185"/>
      <c r="GY45" s="1185"/>
      <c r="GZ45" s="1185"/>
      <c r="HA45" s="1185"/>
      <c r="HB45" s="1178"/>
      <c r="HC45" s="1178"/>
      <c r="HE45" s="518">
        <v>27</v>
      </c>
      <c r="HF45" s="1174"/>
      <c r="HG45" s="1175"/>
      <c r="HH45" s="1175"/>
      <c r="HI45" s="1175"/>
      <c r="HJ45" s="1175"/>
      <c r="HK45" s="1176"/>
      <c r="HL45" s="1185"/>
      <c r="HM45" s="1185"/>
      <c r="HN45" s="1185"/>
      <c r="HO45" s="1185"/>
      <c r="HP45" s="1185"/>
      <c r="HQ45" s="1185"/>
      <c r="HR45" s="1185"/>
      <c r="HS45" s="1185"/>
      <c r="HT45" s="1185"/>
      <c r="HU45" s="1185"/>
      <c r="HV45" s="1185"/>
      <c r="HW45" s="1185"/>
      <c r="HX45" s="1185"/>
      <c r="HY45" s="1178"/>
      <c r="HZ45" s="1178"/>
    </row>
    <row r="46" spans="2:234" ht="17.149999999999999" customHeight="1" x14ac:dyDescent="0.25">
      <c r="B46" s="519">
        <v>36</v>
      </c>
      <c r="C46" s="1179"/>
      <c r="D46" s="1180"/>
      <c r="E46" s="1180"/>
      <c r="F46" s="1180"/>
      <c r="G46" s="1180"/>
      <c r="H46" s="1181"/>
      <c r="I46" s="1173"/>
      <c r="J46" s="1173"/>
      <c r="K46" s="1173"/>
      <c r="L46" s="1173"/>
      <c r="M46" s="1173"/>
      <c r="N46" s="1173"/>
      <c r="O46" s="1173"/>
      <c r="P46" s="1173"/>
      <c r="Q46" s="1173"/>
      <c r="R46" s="1173"/>
      <c r="S46" s="1173"/>
      <c r="T46" s="1173"/>
      <c r="U46" s="1173"/>
      <c r="V46" s="1183"/>
      <c r="W46" s="1183"/>
      <c r="Y46" s="519">
        <v>28</v>
      </c>
      <c r="Z46" s="1179"/>
      <c r="AA46" s="1180"/>
      <c r="AB46" s="1180"/>
      <c r="AC46" s="1180"/>
      <c r="AD46" s="1180"/>
      <c r="AE46" s="1181"/>
      <c r="AF46" s="1173"/>
      <c r="AG46" s="1173"/>
      <c r="AH46" s="1173"/>
      <c r="AI46" s="1173"/>
      <c r="AJ46" s="1173"/>
      <c r="AK46" s="1173"/>
      <c r="AL46" s="1173"/>
      <c r="AM46" s="1173"/>
      <c r="AN46" s="1173"/>
      <c r="AO46" s="1173"/>
      <c r="AP46" s="1173"/>
      <c r="AQ46" s="1173"/>
      <c r="AR46" s="1173"/>
      <c r="AS46" s="1183"/>
      <c r="AT46" s="1183"/>
      <c r="AW46" s="519">
        <v>36</v>
      </c>
      <c r="AX46" s="1179"/>
      <c r="AY46" s="1180"/>
      <c r="AZ46" s="1180"/>
      <c r="BA46" s="1180"/>
      <c r="BB46" s="1180"/>
      <c r="BC46" s="1181"/>
      <c r="BD46" s="1173"/>
      <c r="BE46" s="1173"/>
      <c r="BF46" s="1173"/>
      <c r="BG46" s="1173"/>
      <c r="BH46" s="1173"/>
      <c r="BI46" s="1173"/>
      <c r="BJ46" s="1173"/>
      <c r="BK46" s="1173"/>
      <c r="BL46" s="1173"/>
      <c r="BM46" s="1173"/>
      <c r="BN46" s="1173"/>
      <c r="BO46" s="1173"/>
      <c r="BP46" s="1173"/>
      <c r="BQ46" s="1183"/>
      <c r="BR46" s="1183"/>
      <c r="BT46" s="519">
        <v>28</v>
      </c>
      <c r="BU46" s="1179"/>
      <c r="BV46" s="1180"/>
      <c r="BW46" s="1180"/>
      <c r="BX46" s="1180"/>
      <c r="BY46" s="1180"/>
      <c r="BZ46" s="1181"/>
      <c r="CA46" s="1173"/>
      <c r="CB46" s="1173"/>
      <c r="CC46" s="1173"/>
      <c r="CD46" s="1173"/>
      <c r="CE46" s="1173"/>
      <c r="CF46" s="1173"/>
      <c r="CG46" s="1173"/>
      <c r="CH46" s="1173"/>
      <c r="CI46" s="1173"/>
      <c r="CJ46" s="1173"/>
      <c r="CK46" s="1173"/>
      <c r="CL46" s="1173"/>
      <c r="CM46" s="1173"/>
      <c r="CN46" s="1183"/>
      <c r="CO46" s="1183"/>
      <c r="CR46" s="519">
        <v>36</v>
      </c>
      <c r="CS46" s="1179"/>
      <c r="CT46" s="1180"/>
      <c r="CU46" s="1180"/>
      <c r="CV46" s="1180"/>
      <c r="CW46" s="1180"/>
      <c r="CX46" s="1181"/>
      <c r="CY46" s="1173"/>
      <c r="CZ46" s="1173"/>
      <c r="DA46" s="1173"/>
      <c r="DB46" s="1173"/>
      <c r="DC46" s="1173"/>
      <c r="DD46" s="1173"/>
      <c r="DE46" s="1173"/>
      <c r="DF46" s="1173"/>
      <c r="DG46" s="1173"/>
      <c r="DH46" s="1173"/>
      <c r="DI46" s="1173"/>
      <c r="DJ46" s="1173"/>
      <c r="DK46" s="1173"/>
      <c r="DL46" s="1183"/>
      <c r="DM46" s="1183"/>
      <c r="DO46" s="519">
        <v>28</v>
      </c>
      <c r="DP46" s="1179"/>
      <c r="DQ46" s="1180"/>
      <c r="DR46" s="1180"/>
      <c r="DS46" s="1180"/>
      <c r="DT46" s="1180"/>
      <c r="DU46" s="1181"/>
      <c r="DV46" s="1173"/>
      <c r="DW46" s="1173"/>
      <c r="DX46" s="1173"/>
      <c r="DY46" s="1173"/>
      <c r="DZ46" s="1173"/>
      <c r="EA46" s="1173"/>
      <c r="EB46" s="1173"/>
      <c r="EC46" s="1173"/>
      <c r="ED46" s="1173"/>
      <c r="EE46" s="1173"/>
      <c r="EF46" s="1173"/>
      <c r="EG46" s="1173"/>
      <c r="EH46" s="1173"/>
      <c r="EI46" s="1183"/>
      <c r="EJ46" s="1183"/>
      <c r="EM46" s="519">
        <v>36</v>
      </c>
      <c r="EN46" s="1179"/>
      <c r="EO46" s="1180"/>
      <c r="EP46" s="1180"/>
      <c r="EQ46" s="1180"/>
      <c r="ER46" s="1180"/>
      <c r="ES46" s="1181"/>
      <c r="ET46" s="1173"/>
      <c r="EU46" s="1173"/>
      <c r="EV46" s="1173"/>
      <c r="EW46" s="1173"/>
      <c r="EX46" s="1173"/>
      <c r="EY46" s="1173"/>
      <c r="EZ46" s="1173"/>
      <c r="FA46" s="1173"/>
      <c r="FB46" s="1173"/>
      <c r="FC46" s="1173"/>
      <c r="FD46" s="1173"/>
      <c r="FE46" s="1173"/>
      <c r="FF46" s="1173"/>
      <c r="FG46" s="1183"/>
      <c r="FH46" s="1183"/>
      <c r="FJ46" s="519">
        <v>28</v>
      </c>
      <c r="FK46" s="1179"/>
      <c r="FL46" s="1180"/>
      <c r="FM46" s="1180"/>
      <c r="FN46" s="1180"/>
      <c r="FO46" s="1180"/>
      <c r="FP46" s="1181"/>
      <c r="FQ46" s="1173"/>
      <c r="FR46" s="1173"/>
      <c r="FS46" s="1173"/>
      <c r="FT46" s="1173"/>
      <c r="FU46" s="1173"/>
      <c r="FV46" s="1173"/>
      <c r="FW46" s="1173"/>
      <c r="FX46" s="1173"/>
      <c r="FY46" s="1173"/>
      <c r="FZ46" s="1173"/>
      <c r="GA46" s="1173"/>
      <c r="GB46" s="1173"/>
      <c r="GC46" s="1173"/>
      <c r="GD46" s="1183"/>
      <c r="GE46" s="1183"/>
      <c r="GH46" s="519">
        <v>36</v>
      </c>
      <c r="GI46" s="1179"/>
      <c r="GJ46" s="1180"/>
      <c r="GK46" s="1180"/>
      <c r="GL46" s="1180"/>
      <c r="GM46" s="1180"/>
      <c r="GN46" s="1181"/>
      <c r="GO46" s="1173"/>
      <c r="GP46" s="1173"/>
      <c r="GQ46" s="1173"/>
      <c r="GR46" s="1173"/>
      <c r="GS46" s="1173"/>
      <c r="GT46" s="1173"/>
      <c r="GU46" s="1173"/>
      <c r="GV46" s="1173"/>
      <c r="GW46" s="1173"/>
      <c r="GX46" s="1173"/>
      <c r="GY46" s="1173"/>
      <c r="GZ46" s="1173"/>
      <c r="HA46" s="1173"/>
      <c r="HB46" s="1183"/>
      <c r="HC46" s="1183"/>
      <c r="HE46" s="519">
        <v>28</v>
      </c>
      <c r="HF46" s="1179"/>
      <c r="HG46" s="1180"/>
      <c r="HH46" s="1180"/>
      <c r="HI46" s="1180"/>
      <c r="HJ46" s="1180"/>
      <c r="HK46" s="1181"/>
      <c r="HL46" s="1173"/>
      <c r="HM46" s="1173"/>
      <c r="HN46" s="1173"/>
      <c r="HO46" s="1173"/>
      <c r="HP46" s="1173"/>
      <c r="HQ46" s="1173"/>
      <c r="HR46" s="1173"/>
      <c r="HS46" s="1173"/>
      <c r="HT46" s="1173"/>
      <c r="HU46" s="1173"/>
      <c r="HV46" s="1173"/>
      <c r="HW46" s="1173"/>
      <c r="HX46" s="1173"/>
      <c r="HY46" s="1183"/>
      <c r="HZ46" s="1183"/>
    </row>
    <row r="47" spans="2:234" ht="17.149999999999999" customHeight="1" x14ac:dyDescent="0.25">
      <c r="B47" s="518">
        <v>37</v>
      </c>
      <c r="C47" s="1174"/>
      <c r="D47" s="1175"/>
      <c r="E47" s="1175"/>
      <c r="F47" s="1175"/>
      <c r="G47" s="1175"/>
      <c r="H47" s="1176"/>
      <c r="I47" s="1185"/>
      <c r="J47" s="1185"/>
      <c r="K47" s="1185"/>
      <c r="L47" s="1185"/>
      <c r="M47" s="1185"/>
      <c r="N47" s="1185"/>
      <c r="O47" s="1185"/>
      <c r="P47" s="1185"/>
      <c r="Q47" s="1185"/>
      <c r="R47" s="1185"/>
      <c r="S47" s="1185"/>
      <c r="T47" s="1185"/>
      <c r="U47" s="1185"/>
      <c r="V47" s="1178"/>
      <c r="W47" s="1178"/>
      <c r="Y47" s="518">
        <v>29</v>
      </c>
      <c r="Z47" s="1174"/>
      <c r="AA47" s="1175"/>
      <c r="AB47" s="1175"/>
      <c r="AC47" s="1175"/>
      <c r="AD47" s="1175"/>
      <c r="AE47" s="1176"/>
      <c r="AF47" s="1185"/>
      <c r="AG47" s="1185"/>
      <c r="AH47" s="1185"/>
      <c r="AI47" s="1185"/>
      <c r="AJ47" s="1185"/>
      <c r="AK47" s="1185"/>
      <c r="AL47" s="1185"/>
      <c r="AM47" s="1185"/>
      <c r="AN47" s="1185"/>
      <c r="AO47" s="1185"/>
      <c r="AP47" s="1185"/>
      <c r="AQ47" s="1185"/>
      <c r="AR47" s="1185"/>
      <c r="AS47" s="1178"/>
      <c r="AT47" s="1178"/>
      <c r="AW47" s="518">
        <v>37</v>
      </c>
      <c r="AX47" s="1174"/>
      <c r="AY47" s="1175"/>
      <c r="AZ47" s="1175"/>
      <c r="BA47" s="1175"/>
      <c r="BB47" s="1175"/>
      <c r="BC47" s="1176"/>
      <c r="BD47" s="1185"/>
      <c r="BE47" s="1185"/>
      <c r="BF47" s="1185"/>
      <c r="BG47" s="1185"/>
      <c r="BH47" s="1185"/>
      <c r="BI47" s="1185"/>
      <c r="BJ47" s="1185"/>
      <c r="BK47" s="1185"/>
      <c r="BL47" s="1185"/>
      <c r="BM47" s="1185"/>
      <c r="BN47" s="1185"/>
      <c r="BO47" s="1185"/>
      <c r="BP47" s="1185"/>
      <c r="BQ47" s="1178"/>
      <c r="BR47" s="1178"/>
      <c r="BT47" s="518">
        <v>29</v>
      </c>
      <c r="BU47" s="1174"/>
      <c r="BV47" s="1175"/>
      <c r="BW47" s="1175"/>
      <c r="BX47" s="1175"/>
      <c r="BY47" s="1175"/>
      <c r="BZ47" s="1176"/>
      <c r="CA47" s="1185"/>
      <c r="CB47" s="1185"/>
      <c r="CC47" s="1185"/>
      <c r="CD47" s="1185"/>
      <c r="CE47" s="1185"/>
      <c r="CF47" s="1185"/>
      <c r="CG47" s="1185"/>
      <c r="CH47" s="1185"/>
      <c r="CI47" s="1185"/>
      <c r="CJ47" s="1185"/>
      <c r="CK47" s="1185"/>
      <c r="CL47" s="1185"/>
      <c r="CM47" s="1185"/>
      <c r="CN47" s="1178"/>
      <c r="CO47" s="1178"/>
      <c r="CR47" s="518">
        <v>37</v>
      </c>
      <c r="CS47" s="1174"/>
      <c r="CT47" s="1175"/>
      <c r="CU47" s="1175"/>
      <c r="CV47" s="1175"/>
      <c r="CW47" s="1175"/>
      <c r="CX47" s="1176"/>
      <c r="CY47" s="1185"/>
      <c r="CZ47" s="1185"/>
      <c r="DA47" s="1185"/>
      <c r="DB47" s="1185"/>
      <c r="DC47" s="1185"/>
      <c r="DD47" s="1185"/>
      <c r="DE47" s="1185"/>
      <c r="DF47" s="1185"/>
      <c r="DG47" s="1185"/>
      <c r="DH47" s="1185"/>
      <c r="DI47" s="1185"/>
      <c r="DJ47" s="1185"/>
      <c r="DK47" s="1185"/>
      <c r="DL47" s="1178"/>
      <c r="DM47" s="1178"/>
      <c r="DO47" s="518">
        <v>29</v>
      </c>
      <c r="DP47" s="1174"/>
      <c r="DQ47" s="1175"/>
      <c r="DR47" s="1175"/>
      <c r="DS47" s="1175"/>
      <c r="DT47" s="1175"/>
      <c r="DU47" s="1176"/>
      <c r="DV47" s="1185"/>
      <c r="DW47" s="1185"/>
      <c r="DX47" s="1185"/>
      <c r="DY47" s="1185"/>
      <c r="DZ47" s="1185"/>
      <c r="EA47" s="1185"/>
      <c r="EB47" s="1185"/>
      <c r="EC47" s="1185"/>
      <c r="ED47" s="1185"/>
      <c r="EE47" s="1185"/>
      <c r="EF47" s="1185"/>
      <c r="EG47" s="1185"/>
      <c r="EH47" s="1185"/>
      <c r="EI47" s="1178"/>
      <c r="EJ47" s="1178"/>
      <c r="EM47" s="518">
        <v>37</v>
      </c>
      <c r="EN47" s="1174"/>
      <c r="EO47" s="1175"/>
      <c r="EP47" s="1175"/>
      <c r="EQ47" s="1175"/>
      <c r="ER47" s="1175"/>
      <c r="ES47" s="1176"/>
      <c r="ET47" s="1185"/>
      <c r="EU47" s="1185"/>
      <c r="EV47" s="1185"/>
      <c r="EW47" s="1185"/>
      <c r="EX47" s="1185"/>
      <c r="EY47" s="1185"/>
      <c r="EZ47" s="1185"/>
      <c r="FA47" s="1185"/>
      <c r="FB47" s="1185"/>
      <c r="FC47" s="1185"/>
      <c r="FD47" s="1185"/>
      <c r="FE47" s="1185"/>
      <c r="FF47" s="1185"/>
      <c r="FG47" s="1178"/>
      <c r="FH47" s="1178"/>
      <c r="FJ47" s="518">
        <v>29</v>
      </c>
      <c r="FK47" s="1174"/>
      <c r="FL47" s="1175"/>
      <c r="FM47" s="1175"/>
      <c r="FN47" s="1175"/>
      <c r="FO47" s="1175"/>
      <c r="FP47" s="1176"/>
      <c r="FQ47" s="1185"/>
      <c r="FR47" s="1185"/>
      <c r="FS47" s="1185"/>
      <c r="FT47" s="1185"/>
      <c r="FU47" s="1185"/>
      <c r="FV47" s="1185"/>
      <c r="FW47" s="1185"/>
      <c r="FX47" s="1185"/>
      <c r="FY47" s="1185"/>
      <c r="FZ47" s="1185"/>
      <c r="GA47" s="1185"/>
      <c r="GB47" s="1185"/>
      <c r="GC47" s="1185"/>
      <c r="GD47" s="1178"/>
      <c r="GE47" s="1178"/>
      <c r="GH47" s="518">
        <v>37</v>
      </c>
      <c r="GI47" s="1174"/>
      <c r="GJ47" s="1175"/>
      <c r="GK47" s="1175"/>
      <c r="GL47" s="1175"/>
      <c r="GM47" s="1175"/>
      <c r="GN47" s="1176"/>
      <c r="GO47" s="1185"/>
      <c r="GP47" s="1185"/>
      <c r="GQ47" s="1185"/>
      <c r="GR47" s="1185"/>
      <c r="GS47" s="1185"/>
      <c r="GT47" s="1185"/>
      <c r="GU47" s="1185"/>
      <c r="GV47" s="1185"/>
      <c r="GW47" s="1185"/>
      <c r="GX47" s="1185"/>
      <c r="GY47" s="1185"/>
      <c r="GZ47" s="1185"/>
      <c r="HA47" s="1185"/>
      <c r="HB47" s="1178"/>
      <c r="HC47" s="1178"/>
      <c r="HE47" s="518">
        <v>29</v>
      </c>
      <c r="HF47" s="1174"/>
      <c r="HG47" s="1175"/>
      <c r="HH47" s="1175"/>
      <c r="HI47" s="1175"/>
      <c r="HJ47" s="1175"/>
      <c r="HK47" s="1176"/>
      <c r="HL47" s="1185"/>
      <c r="HM47" s="1185"/>
      <c r="HN47" s="1185"/>
      <c r="HO47" s="1185"/>
      <c r="HP47" s="1185"/>
      <c r="HQ47" s="1185"/>
      <c r="HR47" s="1185"/>
      <c r="HS47" s="1185"/>
      <c r="HT47" s="1185"/>
      <c r="HU47" s="1185"/>
      <c r="HV47" s="1185"/>
      <c r="HW47" s="1185"/>
      <c r="HX47" s="1185"/>
      <c r="HY47" s="1178"/>
      <c r="HZ47" s="1178"/>
    </row>
    <row r="48" spans="2:234" ht="17.149999999999999" customHeight="1" x14ac:dyDescent="0.25">
      <c r="B48" s="519">
        <v>38</v>
      </c>
      <c r="C48" s="1179"/>
      <c r="D48" s="1180"/>
      <c r="E48" s="1180"/>
      <c r="F48" s="1180"/>
      <c r="G48" s="1180"/>
      <c r="H48" s="1181"/>
      <c r="I48" s="1173"/>
      <c r="J48" s="1173"/>
      <c r="K48" s="1173"/>
      <c r="L48" s="1173"/>
      <c r="M48" s="1173"/>
      <c r="N48" s="1173"/>
      <c r="O48" s="1173"/>
      <c r="P48" s="1173"/>
      <c r="Q48" s="1173"/>
      <c r="R48" s="1173"/>
      <c r="S48" s="1173"/>
      <c r="T48" s="1173"/>
      <c r="U48" s="1173"/>
      <c r="V48" s="1183"/>
      <c r="W48" s="1183"/>
      <c r="Y48" s="519">
        <v>30</v>
      </c>
      <c r="Z48" s="1179"/>
      <c r="AA48" s="1180"/>
      <c r="AB48" s="1180"/>
      <c r="AC48" s="1180"/>
      <c r="AD48" s="1180"/>
      <c r="AE48" s="1181"/>
      <c r="AF48" s="1173"/>
      <c r="AG48" s="1173"/>
      <c r="AH48" s="1173"/>
      <c r="AI48" s="1173"/>
      <c r="AJ48" s="1173"/>
      <c r="AK48" s="1173"/>
      <c r="AL48" s="1173"/>
      <c r="AM48" s="1173"/>
      <c r="AN48" s="1173"/>
      <c r="AO48" s="1173"/>
      <c r="AP48" s="1173"/>
      <c r="AQ48" s="1173"/>
      <c r="AR48" s="1173"/>
      <c r="AS48" s="1183"/>
      <c r="AT48" s="1183"/>
      <c r="AW48" s="519">
        <v>38</v>
      </c>
      <c r="AX48" s="1179"/>
      <c r="AY48" s="1180"/>
      <c r="AZ48" s="1180"/>
      <c r="BA48" s="1180"/>
      <c r="BB48" s="1180"/>
      <c r="BC48" s="1181"/>
      <c r="BD48" s="1173"/>
      <c r="BE48" s="1173"/>
      <c r="BF48" s="1173"/>
      <c r="BG48" s="1173"/>
      <c r="BH48" s="1173"/>
      <c r="BI48" s="1173"/>
      <c r="BJ48" s="1173"/>
      <c r="BK48" s="1173"/>
      <c r="BL48" s="1173"/>
      <c r="BM48" s="1173"/>
      <c r="BN48" s="1173"/>
      <c r="BO48" s="1173"/>
      <c r="BP48" s="1173"/>
      <c r="BQ48" s="1183"/>
      <c r="BR48" s="1183"/>
      <c r="BT48" s="519">
        <v>30</v>
      </c>
      <c r="BU48" s="1179"/>
      <c r="BV48" s="1180"/>
      <c r="BW48" s="1180"/>
      <c r="BX48" s="1180"/>
      <c r="BY48" s="1180"/>
      <c r="BZ48" s="1181"/>
      <c r="CA48" s="1173"/>
      <c r="CB48" s="1173"/>
      <c r="CC48" s="1173"/>
      <c r="CD48" s="1173"/>
      <c r="CE48" s="1173"/>
      <c r="CF48" s="1173"/>
      <c r="CG48" s="1173"/>
      <c r="CH48" s="1173"/>
      <c r="CI48" s="1173"/>
      <c r="CJ48" s="1173"/>
      <c r="CK48" s="1173"/>
      <c r="CL48" s="1173"/>
      <c r="CM48" s="1173"/>
      <c r="CN48" s="1183"/>
      <c r="CO48" s="1183"/>
      <c r="CR48" s="519">
        <v>38</v>
      </c>
      <c r="CS48" s="1179"/>
      <c r="CT48" s="1180"/>
      <c r="CU48" s="1180"/>
      <c r="CV48" s="1180"/>
      <c r="CW48" s="1180"/>
      <c r="CX48" s="1181"/>
      <c r="CY48" s="1173"/>
      <c r="CZ48" s="1173"/>
      <c r="DA48" s="1173"/>
      <c r="DB48" s="1173"/>
      <c r="DC48" s="1173"/>
      <c r="DD48" s="1173"/>
      <c r="DE48" s="1173"/>
      <c r="DF48" s="1173"/>
      <c r="DG48" s="1173"/>
      <c r="DH48" s="1173"/>
      <c r="DI48" s="1173"/>
      <c r="DJ48" s="1173"/>
      <c r="DK48" s="1173"/>
      <c r="DL48" s="1183"/>
      <c r="DM48" s="1183"/>
      <c r="DO48" s="519">
        <v>30</v>
      </c>
      <c r="DP48" s="1179"/>
      <c r="DQ48" s="1180"/>
      <c r="DR48" s="1180"/>
      <c r="DS48" s="1180"/>
      <c r="DT48" s="1180"/>
      <c r="DU48" s="1181"/>
      <c r="DV48" s="1173"/>
      <c r="DW48" s="1173"/>
      <c r="DX48" s="1173"/>
      <c r="DY48" s="1173"/>
      <c r="DZ48" s="1173"/>
      <c r="EA48" s="1173"/>
      <c r="EB48" s="1173"/>
      <c r="EC48" s="1173"/>
      <c r="ED48" s="1173"/>
      <c r="EE48" s="1173"/>
      <c r="EF48" s="1173"/>
      <c r="EG48" s="1173"/>
      <c r="EH48" s="1173"/>
      <c r="EI48" s="1183"/>
      <c r="EJ48" s="1183"/>
      <c r="EM48" s="519">
        <v>38</v>
      </c>
      <c r="EN48" s="1179"/>
      <c r="EO48" s="1180"/>
      <c r="EP48" s="1180"/>
      <c r="EQ48" s="1180"/>
      <c r="ER48" s="1180"/>
      <c r="ES48" s="1181"/>
      <c r="ET48" s="1173"/>
      <c r="EU48" s="1173"/>
      <c r="EV48" s="1173"/>
      <c r="EW48" s="1173"/>
      <c r="EX48" s="1173"/>
      <c r="EY48" s="1173"/>
      <c r="EZ48" s="1173"/>
      <c r="FA48" s="1173"/>
      <c r="FB48" s="1173"/>
      <c r="FC48" s="1173"/>
      <c r="FD48" s="1173"/>
      <c r="FE48" s="1173"/>
      <c r="FF48" s="1173"/>
      <c r="FG48" s="1183"/>
      <c r="FH48" s="1183"/>
      <c r="FJ48" s="519">
        <v>30</v>
      </c>
      <c r="FK48" s="1179"/>
      <c r="FL48" s="1180"/>
      <c r="FM48" s="1180"/>
      <c r="FN48" s="1180"/>
      <c r="FO48" s="1180"/>
      <c r="FP48" s="1181"/>
      <c r="FQ48" s="1173"/>
      <c r="FR48" s="1173"/>
      <c r="FS48" s="1173"/>
      <c r="FT48" s="1173"/>
      <c r="FU48" s="1173"/>
      <c r="FV48" s="1173"/>
      <c r="FW48" s="1173"/>
      <c r="FX48" s="1173"/>
      <c r="FY48" s="1173"/>
      <c r="FZ48" s="1173"/>
      <c r="GA48" s="1173"/>
      <c r="GB48" s="1173"/>
      <c r="GC48" s="1173"/>
      <c r="GD48" s="1183"/>
      <c r="GE48" s="1183"/>
      <c r="GH48" s="519">
        <v>38</v>
      </c>
      <c r="GI48" s="1179"/>
      <c r="GJ48" s="1180"/>
      <c r="GK48" s="1180"/>
      <c r="GL48" s="1180"/>
      <c r="GM48" s="1180"/>
      <c r="GN48" s="1181"/>
      <c r="GO48" s="1173"/>
      <c r="GP48" s="1173"/>
      <c r="GQ48" s="1173"/>
      <c r="GR48" s="1173"/>
      <c r="GS48" s="1173"/>
      <c r="GT48" s="1173"/>
      <c r="GU48" s="1173"/>
      <c r="GV48" s="1173"/>
      <c r="GW48" s="1173"/>
      <c r="GX48" s="1173"/>
      <c r="GY48" s="1173"/>
      <c r="GZ48" s="1173"/>
      <c r="HA48" s="1173"/>
      <c r="HB48" s="1183"/>
      <c r="HC48" s="1183"/>
      <c r="HE48" s="519">
        <v>30</v>
      </c>
      <c r="HF48" s="1179"/>
      <c r="HG48" s="1180"/>
      <c r="HH48" s="1180"/>
      <c r="HI48" s="1180"/>
      <c r="HJ48" s="1180"/>
      <c r="HK48" s="1181"/>
      <c r="HL48" s="1173"/>
      <c r="HM48" s="1173"/>
      <c r="HN48" s="1173"/>
      <c r="HO48" s="1173"/>
      <c r="HP48" s="1173"/>
      <c r="HQ48" s="1173"/>
      <c r="HR48" s="1173"/>
      <c r="HS48" s="1173"/>
      <c r="HT48" s="1173"/>
      <c r="HU48" s="1173"/>
      <c r="HV48" s="1173"/>
      <c r="HW48" s="1173"/>
      <c r="HX48" s="1173"/>
      <c r="HY48" s="1183"/>
      <c r="HZ48" s="1183"/>
    </row>
    <row r="49" spans="2:234" ht="17.149999999999999" customHeight="1" x14ac:dyDescent="0.25">
      <c r="B49" s="518">
        <v>39</v>
      </c>
      <c r="C49" s="1174"/>
      <c r="D49" s="1175"/>
      <c r="E49" s="1175"/>
      <c r="F49" s="1175"/>
      <c r="G49" s="1175"/>
      <c r="H49" s="1176"/>
      <c r="I49" s="1185"/>
      <c r="J49" s="1185"/>
      <c r="K49" s="1185"/>
      <c r="L49" s="1185"/>
      <c r="M49" s="1185"/>
      <c r="N49" s="1185"/>
      <c r="O49" s="1185"/>
      <c r="P49" s="1185"/>
      <c r="Q49" s="1185"/>
      <c r="R49" s="1185"/>
      <c r="S49" s="1185"/>
      <c r="T49" s="1185"/>
      <c r="U49" s="1185"/>
      <c r="V49" s="1178"/>
      <c r="W49" s="1178"/>
      <c r="Y49" s="518">
        <v>31</v>
      </c>
      <c r="Z49" s="1174"/>
      <c r="AA49" s="1175"/>
      <c r="AB49" s="1175"/>
      <c r="AC49" s="1175"/>
      <c r="AD49" s="1175"/>
      <c r="AE49" s="1176"/>
      <c r="AF49" s="1185"/>
      <c r="AG49" s="1185"/>
      <c r="AH49" s="1185"/>
      <c r="AI49" s="1185"/>
      <c r="AJ49" s="1185"/>
      <c r="AK49" s="1185"/>
      <c r="AL49" s="1185"/>
      <c r="AM49" s="1185"/>
      <c r="AN49" s="1185"/>
      <c r="AO49" s="1185"/>
      <c r="AP49" s="1185"/>
      <c r="AQ49" s="1185"/>
      <c r="AR49" s="1185"/>
      <c r="AS49" s="1178"/>
      <c r="AT49" s="1178"/>
      <c r="AW49" s="518">
        <v>39</v>
      </c>
      <c r="AX49" s="1174"/>
      <c r="AY49" s="1175"/>
      <c r="AZ49" s="1175"/>
      <c r="BA49" s="1175"/>
      <c r="BB49" s="1175"/>
      <c r="BC49" s="1176"/>
      <c r="BD49" s="1185"/>
      <c r="BE49" s="1185"/>
      <c r="BF49" s="1185"/>
      <c r="BG49" s="1185"/>
      <c r="BH49" s="1185"/>
      <c r="BI49" s="1185"/>
      <c r="BJ49" s="1185"/>
      <c r="BK49" s="1185"/>
      <c r="BL49" s="1185"/>
      <c r="BM49" s="1185"/>
      <c r="BN49" s="1185"/>
      <c r="BO49" s="1185"/>
      <c r="BP49" s="1185"/>
      <c r="BQ49" s="1178"/>
      <c r="BR49" s="1178"/>
      <c r="BT49" s="518">
        <v>31</v>
      </c>
      <c r="BU49" s="1174"/>
      <c r="BV49" s="1175"/>
      <c r="BW49" s="1175"/>
      <c r="BX49" s="1175"/>
      <c r="BY49" s="1175"/>
      <c r="BZ49" s="1176"/>
      <c r="CA49" s="1185"/>
      <c r="CB49" s="1185"/>
      <c r="CC49" s="1185"/>
      <c r="CD49" s="1185"/>
      <c r="CE49" s="1185"/>
      <c r="CF49" s="1185"/>
      <c r="CG49" s="1185"/>
      <c r="CH49" s="1185"/>
      <c r="CI49" s="1185"/>
      <c r="CJ49" s="1185"/>
      <c r="CK49" s="1185"/>
      <c r="CL49" s="1185"/>
      <c r="CM49" s="1185"/>
      <c r="CN49" s="1178"/>
      <c r="CO49" s="1178"/>
      <c r="CR49" s="518">
        <v>39</v>
      </c>
      <c r="CS49" s="1174"/>
      <c r="CT49" s="1175"/>
      <c r="CU49" s="1175"/>
      <c r="CV49" s="1175"/>
      <c r="CW49" s="1175"/>
      <c r="CX49" s="1176"/>
      <c r="CY49" s="1185"/>
      <c r="CZ49" s="1185"/>
      <c r="DA49" s="1185"/>
      <c r="DB49" s="1185"/>
      <c r="DC49" s="1185"/>
      <c r="DD49" s="1185"/>
      <c r="DE49" s="1185"/>
      <c r="DF49" s="1185"/>
      <c r="DG49" s="1185"/>
      <c r="DH49" s="1185"/>
      <c r="DI49" s="1185"/>
      <c r="DJ49" s="1185"/>
      <c r="DK49" s="1185"/>
      <c r="DL49" s="1178"/>
      <c r="DM49" s="1178"/>
      <c r="DO49" s="518">
        <v>31</v>
      </c>
      <c r="DP49" s="1174"/>
      <c r="DQ49" s="1175"/>
      <c r="DR49" s="1175"/>
      <c r="DS49" s="1175"/>
      <c r="DT49" s="1175"/>
      <c r="DU49" s="1176"/>
      <c r="DV49" s="1185"/>
      <c r="DW49" s="1185"/>
      <c r="DX49" s="1185"/>
      <c r="DY49" s="1185"/>
      <c r="DZ49" s="1185"/>
      <c r="EA49" s="1185"/>
      <c r="EB49" s="1185"/>
      <c r="EC49" s="1185"/>
      <c r="ED49" s="1185"/>
      <c r="EE49" s="1185"/>
      <c r="EF49" s="1185"/>
      <c r="EG49" s="1185"/>
      <c r="EH49" s="1185"/>
      <c r="EI49" s="1178"/>
      <c r="EJ49" s="1178"/>
      <c r="EM49" s="518">
        <v>39</v>
      </c>
      <c r="EN49" s="1174"/>
      <c r="EO49" s="1175"/>
      <c r="EP49" s="1175"/>
      <c r="EQ49" s="1175"/>
      <c r="ER49" s="1175"/>
      <c r="ES49" s="1176"/>
      <c r="ET49" s="1185"/>
      <c r="EU49" s="1185"/>
      <c r="EV49" s="1185"/>
      <c r="EW49" s="1185"/>
      <c r="EX49" s="1185"/>
      <c r="EY49" s="1185"/>
      <c r="EZ49" s="1185"/>
      <c r="FA49" s="1185"/>
      <c r="FB49" s="1185"/>
      <c r="FC49" s="1185"/>
      <c r="FD49" s="1185"/>
      <c r="FE49" s="1185"/>
      <c r="FF49" s="1185"/>
      <c r="FG49" s="1178"/>
      <c r="FH49" s="1178"/>
      <c r="FJ49" s="518">
        <v>31</v>
      </c>
      <c r="FK49" s="1174"/>
      <c r="FL49" s="1175"/>
      <c r="FM49" s="1175"/>
      <c r="FN49" s="1175"/>
      <c r="FO49" s="1175"/>
      <c r="FP49" s="1176"/>
      <c r="FQ49" s="1185"/>
      <c r="FR49" s="1185"/>
      <c r="FS49" s="1185"/>
      <c r="FT49" s="1185"/>
      <c r="FU49" s="1185"/>
      <c r="FV49" s="1185"/>
      <c r="FW49" s="1185"/>
      <c r="FX49" s="1185"/>
      <c r="FY49" s="1185"/>
      <c r="FZ49" s="1185"/>
      <c r="GA49" s="1185"/>
      <c r="GB49" s="1185"/>
      <c r="GC49" s="1185"/>
      <c r="GD49" s="1178"/>
      <c r="GE49" s="1178"/>
      <c r="GH49" s="518">
        <v>39</v>
      </c>
      <c r="GI49" s="1174"/>
      <c r="GJ49" s="1175"/>
      <c r="GK49" s="1175"/>
      <c r="GL49" s="1175"/>
      <c r="GM49" s="1175"/>
      <c r="GN49" s="1176"/>
      <c r="GO49" s="1185"/>
      <c r="GP49" s="1185"/>
      <c r="GQ49" s="1185"/>
      <c r="GR49" s="1185"/>
      <c r="GS49" s="1185"/>
      <c r="GT49" s="1185"/>
      <c r="GU49" s="1185"/>
      <c r="GV49" s="1185"/>
      <c r="GW49" s="1185"/>
      <c r="GX49" s="1185"/>
      <c r="GY49" s="1185"/>
      <c r="GZ49" s="1185"/>
      <c r="HA49" s="1185"/>
      <c r="HB49" s="1178"/>
      <c r="HC49" s="1178"/>
      <c r="HE49" s="518">
        <v>31</v>
      </c>
      <c r="HF49" s="1174"/>
      <c r="HG49" s="1175"/>
      <c r="HH49" s="1175"/>
      <c r="HI49" s="1175"/>
      <c r="HJ49" s="1175"/>
      <c r="HK49" s="1176"/>
      <c r="HL49" s="1185"/>
      <c r="HM49" s="1185"/>
      <c r="HN49" s="1185"/>
      <c r="HO49" s="1185"/>
      <c r="HP49" s="1185"/>
      <c r="HQ49" s="1185"/>
      <c r="HR49" s="1185"/>
      <c r="HS49" s="1185"/>
      <c r="HT49" s="1185"/>
      <c r="HU49" s="1185"/>
      <c r="HV49" s="1185"/>
      <c r="HW49" s="1185"/>
      <c r="HX49" s="1185"/>
      <c r="HY49" s="1178"/>
      <c r="HZ49" s="1178"/>
    </row>
    <row r="50" spans="2:234" ht="17.149999999999999" customHeight="1" x14ac:dyDescent="0.25">
      <c r="B50" s="519">
        <v>40</v>
      </c>
      <c r="C50" s="1179"/>
      <c r="D50" s="1180"/>
      <c r="E50" s="1180"/>
      <c r="F50" s="1180"/>
      <c r="G50" s="1180"/>
      <c r="H50" s="1181"/>
      <c r="I50" s="1173"/>
      <c r="J50" s="1173"/>
      <c r="K50" s="1173"/>
      <c r="L50" s="1173"/>
      <c r="M50" s="1173"/>
      <c r="N50" s="1173"/>
      <c r="O50" s="1173"/>
      <c r="P50" s="1173"/>
      <c r="Q50" s="1173"/>
      <c r="R50" s="1173"/>
      <c r="S50" s="1173"/>
      <c r="T50" s="1173"/>
      <c r="U50" s="1173"/>
      <c r="V50" s="1183"/>
      <c r="W50" s="1183"/>
      <c r="Y50" s="519">
        <v>32</v>
      </c>
      <c r="Z50" s="1179"/>
      <c r="AA50" s="1180"/>
      <c r="AB50" s="1180"/>
      <c r="AC50" s="1180"/>
      <c r="AD50" s="1180"/>
      <c r="AE50" s="1181"/>
      <c r="AF50" s="1173"/>
      <c r="AG50" s="1173"/>
      <c r="AH50" s="1173"/>
      <c r="AI50" s="1173"/>
      <c r="AJ50" s="1173"/>
      <c r="AK50" s="1173"/>
      <c r="AL50" s="1173"/>
      <c r="AM50" s="1173"/>
      <c r="AN50" s="1173"/>
      <c r="AO50" s="1173"/>
      <c r="AP50" s="1173"/>
      <c r="AQ50" s="1173"/>
      <c r="AR50" s="1173"/>
      <c r="AS50" s="1183"/>
      <c r="AT50" s="1183"/>
      <c r="AW50" s="519">
        <v>40</v>
      </c>
      <c r="AX50" s="1179"/>
      <c r="AY50" s="1180"/>
      <c r="AZ50" s="1180"/>
      <c r="BA50" s="1180"/>
      <c r="BB50" s="1180"/>
      <c r="BC50" s="1181"/>
      <c r="BD50" s="1173"/>
      <c r="BE50" s="1173"/>
      <c r="BF50" s="1173"/>
      <c r="BG50" s="1173"/>
      <c r="BH50" s="1173"/>
      <c r="BI50" s="1173"/>
      <c r="BJ50" s="1173"/>
      <c r="BK50" s="1173"/>
      <c r="BL50" s="1173"/>
      <c r="BM50" s="1173"/>
      <c r="BN50" s="1173"/>
      <c r="BO50" s="1173"/>
      <c r="BP50" s="1173"/>
      <c r="BQ50" s="1183"/>
      <c r="BR50" s="1183"/>
      <c r="BT50" s="519">
        <v>32</v>
      </c>
      <c r="BU50" s="1179"/>
      <c r="BV50" s="1180"/>
      <c r="BW50" s="1180"/>
      <c r="BX50" s="1180"/>
      <c r="BY50" s="1180"/>
      <c r="BZ50" s="1181"/>
      <c r="CA50" s="1173"/>
      <c r="CB50" s="1173"/>
      <c r="CC50" s="1173"/>
      <c r="CD50" s="1173"/>
      <c r="CE50" s="1173"/>
      <c r="CF50" s="1173"/>
      <c r="CG50" s="1173"/>
      <c r="CH50" s="1173"/>
      <c r="CI50" s="1173"/>
      <c r="CJ50" s="1173"/>
      <c r="CK50" s="1173"/>
      <c r="CL50" s="1173"/>
      <c r="CM50" s="1173"/>
      <c r="CN50" s="1183"/>
      <c r="CO50" s="1183"/>
      <c r="CR50" s="519">
        <v>40</v>
      </c>
      <c r="CS50" s="1179"/>
      <c r="CT50" s="1180"/>
      <c r="CU50" s="1180"/>
      <c r="CV50" s="1180"/>
      <c r="CW50" s="1180"/>
      <c r="CX50" s="1181"/>
      <c r="CY50" s="1173"/>
      <c r="CZ50" s="1173"/>
      <c r="DA50" s="1173"/>
      <c r="DB50" s="1173"/>
      <c r="DC50" s="1173"/>
      <c r="DD50" s="1173"/>
      <c r="DE50" s="1173"/>
      <c r="DF50" s="1173"/>
      <c r="DG50" s="1173"/>
      <c r="DH50" s="1173"/>
      <c r="DI50" s="1173"/>
      <c r="DJ50" s="1173"/>
      <c r="DK50" s="1173"/>
      <c r="DL50" s="1183"/>
      <c r="DM50" s="1183"/>
      <c r="DO50" s="519">
        <v>32</v>
      </c>
      <c r="DP50" s="1179"/>
      <c r="DQ50" s="1180"/>
      <c r="DR50" s="1180"/>
      <c r="DS50" s="1180"/>
      <c r="DT50" s="1180"/>
      <c r="DU50" s="1181"/>
      <c r="DV50" s="1173"/>
      <c r="DW50" s="1173"/>
      <c r="DX50" s="1173"/>
      <c r="DY50" s="1173"/>
      <c r="DZ50" s="1173"/>
      <c r="EA50" s="1173"/>
      <c r="EB50" s="1173"/>
      <c r="EC50" s="1173"/>
      <c r="ED50" s="1173"/>
      <c r="EE50" s="1173"/>
      <c r="EF50" s="1173"/>
      <c r="EG50" s="1173"/>
      <c r="EH50" s="1173"/>
      <c r="EI50" s="1183"/>
      <c r="EJ50" s="1183"/>
      <c r="EM50" s="519">
        <v>40</v>
      </c>
      <c r="EN50" s="1179"/>
      <c r="EO50" s="1180"/>
      <c r="EP50" s="1180"/>
      <c r="EQ50" s="1180"/>
      <c r="ER50" s="1180"/>
      <c r="ES50" s="1181"/>
      <c r="ET50" s="1173"/>
      <c r="EU50" s="1173"/>
      <c r="EV50" s="1173"/>
      <c r="EW50" s="1173"/>
      <c r="EX50" s="1173"/>
      <c r="EY50" s="1173"/>
      <c r="EZ50" s="1173"/>
      <c r="FA50" s="1173"/>
      <c r="FB50" s="1173"/>
      <c r="FC50" s="1173"/>
      <c r="FD50" s="1173"/>
      <c r="FE50" s="1173"/>
      <c r="FF50" s="1173"/>
      <c r="FG50" s="1183"/>
      <c r="FH50" s="1183"/>
      <c r="FJ50" s="519">
        <v>32</v>
      </c>
      <c r="FK50" s="1179"/>
      <c r="FL50" s="1180"/>
      <c r="FM50" s="1180"/>
      <c r="FN50" s="1180"/>
      <c r="FO50" s="1180"/>
      <c r="FP50" s="1181"/>
      <c r="FQ50" s="1173"/>
      <c r="FR50" s="1173"/>
      <c r="FS50" s="1173"/>
      <c r="FT50" s="1173"/>
      <c r="FU50" s="1173"/>
      <c r="FV50" s="1173"/>
      <c r="FW50" s="1173"/>
      <c r="FX50" s="1173"/>
      <c r="FY50" s="1173"/>
      <c r="FZ50" s="1173"/>
      <c r="GA50" s="1173"/>
      <c r="GB50" s="1173"/>
      <c r="GC50" s="1173"/>
      <c r="GD50" s="1183"/>
      <c r="GE50" s="1183"/>
      <c r="GH50" s="519">
        <v>40</v>
      </c>
      <c r="GI50" s="1179"/>
      <c r="GJ50" s="1180"/>
      <c r="GK50" s="1180"/>
      <c r="GL50" s="1180"/>
      <c r="GM50" s="1180"/>
      <c r="GN50" s="1181"/>
      <c r="GO50" s="1173"/>
      <c r="GP50" s="1173"/>
      <c r="GQ50" s="1173"/>
      <c r="GR50" s="1173"/>
      <c r="GS50" s="1173"/>
      <c r="GT50" s="1173"/>
      <c r="GU50" s="1173"/>
      <c r="GV50" s="1173"/>
      <c r="GW50" s="1173"/>
      <c r="GX50" s="1173"/>
      <c r="GY50" s="1173"/>
      <c r="GZ50" s="1173"/>
      <c r="HA50" s="1173"/>
      <c r="HB50" s="1183"/>
      <c r="HC50" s="1183"/>
      <c r="HE50" s="519">
        <v>32</v>
      </c>
      <c r="HF50" s="1179"/>
      <c r="HG50" s="1180"/>
      <c r="HH50" s="1180"/>
      <c r="HI50" s="1180"/>
      <c r="HJ50" s="1180"/>
      <c r="HK50" s="1181"/>
      <c r="HL50" s="1173"/>
      <c r="HM50" s="1173"/>
      <c r="HN50" s="1173"/>
      <c r="HO50" s="1173"/>
      <c r="HP50" s="1173"/>
      <c r="HQ50" s="1173"/>
      <c r="HR50" s="1173"/>
      <c r="HS50" s="1173"/>
      <c r="HT50" s="1173"/>
      <c r="HU50" s="1173"/>
      <c r="HV50" s="1173"/>
      <c r="HW50" s="1173"/>
      <c r="HX50" s="1173"/>
      <c r="HY50" s="1183"/>
      <c r="HZ50" s="1183"/>
    </row>
    <row r="51" spans="2:234" ht="17.149999999999999" customHeight="1" x14ac:dyDescent="0.25">
      <c r="B51" s="518">
        <v>41</v>
      </c>
      <c r="C51" s="1174"/>
      <c r="D51" s="1175"/>
      <c r="E51" s="1175"/>
      <c r="F51" s="1175"/>
      <c r="G51" s="1175"/>
      <c r="H51" s="1176"/>
      <c r="I51" s="1185"/>
      <c r="J51" s="1185"/>
      <c r="K51" s="1185"/>
      <c r="L51" s="1185"/>
      <c r="M51" s="1185"/>
      <c r="N51" s="1185"/>
      <c r="O51" s="1185"/>
      <c r="P51" s="1185"/>
      <c r="Q51" s="1185"/>
      <c r="R51" s="1185"/>
      <c r="S51" s="1185"/>
      <c r="T51" s="1185"/>
      <c r="U51" s="1185"/>
      <c r="V51" s="1178"/>
      <c r="W51" s="1178"/>
      <c r="Y51" s="518">
        <v>33</v>
      </c>
      <c r="Z51" s="1174"/>
      <c r="AA51" s="1175"/>
      <c r="AB51" s="1175"/>
      <c r="AC51" s="1175"/>
      <c r="AD51" s="1175"/>
      <c r="AE51" s="1176"/>
      <c r="AF51" s="1185"/>
      <c r="AG51" s="1185"/>
      <c r="AH51" s="1185"/>
      <c r="AI51" s="1185"/>
      <c r="AJ51" s="1185"/>
      <c r="AK51" s="1185"/>
      <c r="AL51" s="1185"/>
      <c r="AM51" s="1185"/>
      <c r="AN51" s="1185"/>
      <c r="AO51" s="1185"/>
      <c r="AP51" s="1185"/>
      <c r="AQ51" s="1185"/>
      <c r="AR51" s="1185"/>
      <c r="AS51" s="1178"/>
      <c r="AT51" s="1178"/>
      <c r="AW51" s="518">
        <v>41</v>
      </c>
      <c r="AX51" s="1174"/>
      <c r="AY51" s="1175"/>
      <c r="AZ51" s="1175"/>
      <c r="BA51" s="1175"/>
      <c r="BB51" s="1175"/>
      <c r="BC51" s="1176"/>
      <c r="BD51" s="1185"/>
      <c r="BE51" s="1185"/>
      <c r="BF51" s="1185"/>
      <c r="BG51" s="1185"/>
      <c r="BH51" s="1185"/>
      <c r="BI51" s="1185"/>
      <c r="BJ51" s="1185"/>
      <c r="BK51" s="1185"/>
      <c r="BL51" s="1185"/>
      <c r="BM51" s="1185"/>
      <c r="BN51" s="1185"/>
      <c r="BO51" s="1185"/>
      <c r="BP51" s="1185"/>
      <c r="BQ51" s="1178"/>
      <c r="BR51" s="1178"/>
      <c r="BT51" s="518">
        <v>33</v>
      </c>
      <c r="BU51" s="1174"/>
      <c r="BV51" s="1175"/>
      <c r="BW51" s="1175"/>
      <c r="BX51" s="1175"/>
      <c r="BY51" s="1175"/>
      <c r="BZ51" s="1176"/>
      <c r="CA51" s="1185"/>
      <c r="CB51" s="1185"/>
      <c r="CC51" s="1185"/>
      <c r="CD51" s="1185"/>
      <c r="CE51" s="1185"/>
      <c r="CF51" s="1185"/>
      <c r="CG51" s="1185"/>
      <c r="CH51" s="1185"/>
      <c r="CI51" s="1185"/>
      <c r="CJ51" s="1185"/>
      <c r="CK51" s="1185"/>
      <c r="CL51" s="1185"/>
      <c r="CM51" s="1185"/>
      <c r="CN51" s="1178"/>
      <c r="CO51" s="1178"/>
      <c r="CR51" s="518">
        <v>41</v>
      </c>
      <c r="CS51" s="1174"/>
      <c r="CT51" s="1175"/>
      <c r="CU51" s="1175"/>
      <c r="CV51" s="1175"/>
      <c r="CW51" s="1175"/>
      <c r="CX51" s="1176"/>
      <c r="CY51" s="1185"/>
      <c r="CZ51" s="1185"/>
      <c r="DA51" s="1185"/>
      <c r="DB51" s="1185"/>
      <c r="DC51" s="1185"/>
      <c r="DD51" s="1185"/>
      <c r="DE51" s="1185"/>
      <c r="DF51" s="1185"/>
      <c r="DG51" s="1185"/>
      <c r="DH51" s="1185"/>
      <c r="DI51" s="1185"/>
      <c r="DJ51" s="1185"/>
      <c r="DK51" s="1185"/>
      <c r="DL51" s="1178"/>
      <c r="DM51" s="1178"/>
      <c r="DO51" s="518">
        <v>33</v>
      </c>
      <c r="DP51" s="1174"/>
      <c r="DQ51" s="1175"/>
      <c r="DR51" s="1175"/>
      <c r="DS51" s="1175"/>
      <c r="DT51" s="1175"/>
      <c r="DU51" s="1176"/>
      <c r="DV51" s="1185"/>
      <c r="DW51" s="1185"/>
      <c r="DX51" s="1185"/>
      <c r="DY51" s="1185"/>
      <c r="DZ51" s="1185"/>
      <c r="EA51" s="1185"/>
      <c r="EB51" s="1185"/>
      <c r="EC51" s="1185"/>
      <c r="ED51" s="1185"/>
      <c r="EE51" s="1185"/>
      <c r="EF51" s="1185"/>
      <c r="EG51" s="1185"/>
      <c r="EH51" s="1185"/>
      <c r="EI51" s="1178"/>
      <c r="EJ51" s="1178"/>
      <c r="EM51" s="518">
        <v>41</v>
      </c>
      <c r="EN51" s="1174"/>
      <c r="EO51" s="1175"/>
      <c r="EP51" s="1175"/>
      <c r="EQ51" s="1175"/>
      <c r="ER51" s="1175"/>
      <c r="ES51" s="1176"/>
      <c r="ET51" s="1185"/>
      <c r="EU51" s="1185"/>
      <c r="EV51" s="1185"/>
      <c r="EW51" s="1185"/>
      <c r="EX51" s="1185"/>
      <c r="EY51" s="1185"/>
      <c r="EZ51" s="1185"/>
      <c r="FA51" s="1185"/>
      <c r="FB51" s="1185"/>
      <c r="FC51" s="1185"/>
      <c r="FD51" s="1185"/>
      <c r="FE51" s="1185"/>
      <c r="FF51" s="1185"/>
      <c r="FG51" s="1178"/>
      <c r="FH51" s="1178"/>
      <c r="FJ51" s="518">
        <v>33</v>
      </c>
      <c r="FK51" s="1174"/>
      <c r="FL51" s="1175"/>
      <c r="FM51" s="1175"/>
      <c r="FN51" s="1175"/>
      <c r="FO51" s="1175"/>
      <c r="FP51" s="1176"/>
      <c r="FQ51" s="1185"/>
      <c r="FR51" s="1185"/>
      <c r="FS51" s="1185"/>
      <c r="FT51" s="1185"/>
      <c r="FU51" s="1185"/>
      <c r="FV51" s="1185"/>
      <c r="FW51" s="1185"/>
      <c r="FX51" s="1185"/>
      <c r="FY51" s="1185"/>
      <c r="FZ51" s="1185"/>
      <c r="GA51" s="1185"/>
      <c r="GB51" s="1185"/>
      <c r="GC51" s="1185"/>
      <c r="GD51" s="1178"/>
      <c r="GE51" s="1178"/>
      <c r="GH51" s="518">
        <v>41</v>
      </c>
      <c r="GI51" s="1174"/>
      <c r="GJ51" s="1175"/>
      <c r="GK51" s="1175"/>
      <c r="GL51" s="1175"/>
      <c r="GM51" s="1175"/>
      <c r="GN51" s="1176"/>
      <c r="GO51" s="1185"/>
      <c r="GP51" s="1185"/>
      <c r="GQ51" s="1185"/>
      <c r="GR51" s="1185"/>
      <c r="GS51" s="1185"/>
      <c r="GT51" s="1185"/>
      <c r="GU51" s="1185"/>
      <c r="GV51" s="1185"/>
      <c r="GW51" s="1185"/>
      <c r="GX51" s="1185"/>
      <c r="GY51" s="1185"/>
      <c r="GZ51" s="1185"/>
      <c r="HA51" s="1185"/>
      <c r="HB51" s="1178"/>
      <c r="HC51" s="1178"/>
      <c r="HE51" s="518">
        <v>33</v>
      </c>
      <c r="HF51" s="1174"/>
      <c r="HG51" s="1175"/>
      <c r="HH51" s="1175"/>
      <c r="HI51" s="1175"/>
      <c r="HJ51" s="1175"/>
      <c r="HK51" s="1176"/>
      <c r="HL51" s="1185"/>
      <c r="HM51" s="1185"/>
      <c r="HN51" s="1185"/>
      <c r="HO51" s="1185"/>
      <c r="HP51" s="1185"/>
      <c r="HQ51" s="1185"/>
      <c r="HR51" s="1185"/>
      <c r="HS51" s="1185"/>
      <c r="HT51" s="1185"/>
      <c r="HU51" s="1185"/>
      <c r="HV51" s="1185"/>
      <c r="HW51" s="1185"/>
      <c r="HX51" s="1185"/>
      <c r="HY51" s="1178"/>
      <c r="HZ51" s="1178"/>
    </row>
    <row r="52" spans="2:234" ht="17.149999999999999" customHeight="1" x14ac:dyDescent="0.25">
      <c r="B52" s="519">
        <v>42</v>
      </c>
      <c r="C52" s="1179"/>
      <c r="D52" s="1180"/>
      <c r="E52" s="1180"/>
      <c r="F52" s="1180"/>
      <c r="G52" s="1180"/>
      <c r="H52" s="1181"/>
      <c r="I52" s="1173"/>
      <c r="J52" s="1173"/>
      <c r="K52" s="1173"/>
      <c r="L52" s="1173"/>
      <c r="M52" s="1173"/>
      <c r="N52" s="1173"/>
      <c r="O52" s="1173"/>
      <c r="P52" s="1173"/>
      <c r="Q52" s="1173"/>
      <c r="R52" s="1173"/>
      <c r="S52" s="1173"/>
      <c r="T52" s="1173"/>
      <c r="U52" s="1173"/>
      <c r="V52" s="1183"/>
      <c r="W52" s="1183"/>
      <c r="Y52" s="519">
        <v>34</v>
      </c>
      <c r="Z52" s="1179"/>
      <c r="AA52" s="1180"/>
      <c r="AB52" s="1180"/>
      <c r="AC52" s="1180"/>
      <c r="AD52" s="1180"/>
      <c r="AE52" s="1181"/>
      <c r="AF52" s="1173"/>
      <c r="AG52" s="1173"/>
      <c r="AH52" s="1173"/>
      <c r="AI52" s="1173"/>
      <c r="AJ52" s="1173"/>
      <c r="AK52" s="1173"/>
      <c r="AL52" s="1173"/>
      <c r="AM52" s="1173"/>
      <c r="AN52" s="1173"/>
      <c r="AO52" s="1173"/>
      <c r="AP52" s="1173"/>
      <c r="AQ52" s="1173"/>
      <c r="AR52" s="1173"/>
      <c r="AS52" s="1183"/>
      <c r="AT52" s="1183"/>
      <c r="AW52" s="519">
        <v>42</v>
      </c>
      <c r="AX52" s="1179"/>
      <c r="AY52" s="1180"/>
      <c r="AZ52" s="1180"/>
      <c r="BA52" s="1180"/>
      <c r="BB52" s="1180"/>
      <c r="BC52" s="1181"/>
      <c r="BD52" s="1173"/>
      <c r="BE52" s="1173"/>
      <c r="BF52" s="1173"/>
      <c r="BG52" s="1173"/>
      <c r="BH52" s="1173"/>
      <c r="BI52" s="1173"/>
      <c r="BJ52" s="1173"/>
      <c r="BK52" s="1173"/>
      <c r="BL52" s="1173"/>
      <c r="BM52" s="1173"/>
      <c r="BN52" s="1173"/>
      <c r="BO52" s="1173"/>
      <c r="BP52" s="1173"/>
      <c r="BQ52" s="1183"/>
      <c r="BR52" s="1183"/>
      <c r="BT52" s="519">
        <v>34</v>
      </c>
      <c r="BU52" s="1179"/>
      <c r="BV52" s="1180"/>
      <c r="BW52" s="1180"/>
      <c r="BX52" s="1180"/>
      <c r="BY52" s="1180"/>
      <c r="BZ52" s="1181"/>
      <c r="CA52" s="1173"/>
      <c r="CB52" s="1173"/>
      <c r="CC52" s="1173"/>
      <c r="CD52" s="1173"/>
      <c r="CE52" s="1173"/>
      <c r="CF52" s="1173"/>
      <c r="CG52" s="1173"/>
      <c r="CH52" s="1173"/>
      <c r="CI52" s="1173"/>
      <c r="CJ52" s="1173"/>
      <c r="CK52" s="1173"/>
      <c r="CL52" s="1173"/>
      <c r="CM52" s="1173"/>
      <c r="CN52" s="1183"/>
      <c r="CO52" s="1183"/>
      <c r="CR52" s="519">
        <v>42</v>
      </c>
      <c r="CS52" s="1179"/>
      <c r="CT52" s="1180"/>
      <c r="CU52" s="1180"/>
      <c r="CV52" s="1180"/>
      <c r="CW52" s="1180"/>
      <c r="CX52" s="1181"/>
      <c r="CY52" s="1173"/>
      <c r="CZ52" s="1173"/>
      <c r="DA52" s="1173"/>
      <c r="DB52" s="1173"/>
      <c r="DC52" s="1173"/>
      <c r="DD52" s="1173"/>
      <c r="DE52" s="1173"/>
      <c r="DF52" s="1173"/>
      <c r="DG52" s="1173"/>
      <c r="DH52" s="1173"/>
      <c r="DI52" s="1173"/>
      <c r="DJ52" s="1173"/>
      <c r="DK52" s="1173"/>
      <c r="DL52" s="1183"/>
      <c r="DM52" s="1183"/>
      <c r="DO52" s="519">
        <v>34</v>
      </c>
      <c r="DP52" s="1179"/>
      <c r="DQ52" s="1180"/>
      <c r="DR52" s="1180"/>
      <c r="DS52" s="1180"/>
      <c r="DT52" s="1180"/>
      <c r="DU52" s="1181"/>
      <c r="DV52" s="1173"/>
      <c r="DW52" s="1173"/>
      <c r="DX52" s="1173"/>
      <c r="DY52" s="1173"/>
      <c r="DZ52" s="1173"/>
      <c r="EA52" s="1173"/>
      <c r="EB52" s="1173"/>
      <c r="EC52" s="1173"/>
      <c r="ED52" s="1173"/>
      <c r="EE52" s="1173"/>
      <c r="EF52" s="1173"/>
      <c r="EG52" s="1173"/>
      <c r="EH52" s="1173"/>
      <c r="EI52" s="1183"/>
      <c r="EJ52" s="1183"/>
      <c r="EM52" s="519">
        <v>42</v>
      </c>
      <c r="EN52" s="1179"/>
      <c r="EO52" s="1180"/>
      <c r="EP52" s="1180"/>
      <c r="EQ52" s="1180"/>
      <c r="ER52" s="1180"/>
      <c r="ES52" s="1181"/>
      <c r="ET52" s="1173"/>
      <c r="EU52" s="1173"/>
      <c r="EV52" s="1173"/>
      <c r="EW52" s="1173"/>
      <c r="EX52" s="1173"/>
      <c r="EY52" s="1173"/>
      <c r="EZ52" s="1173"/>
      <c r="FA52" s="1173"/>
      <c r="FB52" s="1173"/>
      <c r="FC52" s="1173"/>
      <c r="FD52" s="1173"/>
      <c r="FE52" s="1173"/>
      <c r="FF52" s="1173"/>
      <c r="FG52" s="1183"/>
      <c r="FH52" s="1183"/>
      <c r="FJ52" s="519">
        <v>34</v>
      </c>
      <c r="FK52" s="1179"/>
      <c r="FL52" s="1180"/>
      <c r="FM52" s="1180"/>
      <c r="FN52" s="1180"/>
      <c r="FO52" s="1180"/>
      <c r="FP52" s="1181"/>
      <c r="FQ52" s="1173"/>
      <c r="FR52" s="1173"/>
      <c r="FS52" s="1173"/>
      <c r="FT52" s="1173"/>
      <c r="FU52" s="1173"/>
      <c r="FV52" s="1173"/>
      <c r="FW52" s="1173"/>
      <c r="FX52" s="1173"/>
      <c r="FY52" s="1173"/>
      <c r="FZ52" s="1173"/>
      <c r="GA52" s="1173"/>
      <c r="GB52" s="1173"/>
      <c r="GC52" s="1173"/>
      <c r="GD52" s="1183"/>
      <c r="GE52" s="1183"/>
      <c r="GH52" s="519">
        <v>42</v>
      </c>
      <c r="GI52" s="1179"/>
      <c r="GJ52" s="1180"/>
      <c r="GK52" s="1180"/>
      <c r="GL52" s="1180"/>
      <c r="GM52" s="1180"/>
      <c r="GN52" s="1181"/>
      <c r="GO52" s="1173"/>
      <c r="GP52" s="1173"/>
      <c r="GQ52" s="1173"/>
      <c r="GR52" s="1173"/>
      <c r="GS52" s="1173"/>
      <c r="GT52" s="1173"/>
      <c r="GU52" s="1173"/>
      <c r="GV52" s="1173"/>
      <c r="GW52" s="1173"/>
      <c r="GX52" s="1173"/>
      <c r="GY52" s="1173"/>
      <c r="GZ52" s="1173"/>
      <c r="HA52" s="1173"/>
      <c r="HB52" s="1183"/>
      <c r="HC52" s="1183"/>
      <c r="HE52" s="519">
        <v>34</v>
      </c>
      <c r="HF52" s="1179"/>
      <c r="HG52" s="1180"/>
      <c r="HH52" s="1180"/>
      <c r="HI52" s="1180"/>
      <c r="HJ52" s="1180"/>
      <c r="HK52" s="1181"/>
      <c r="HL52" s="1173"/>
      <c r="HM52" s="1173"/>
      <c r="HN52" s="1173"/>
      <c r="HO52" s="1173"/>
      <c r="HP52" s="1173"/>
      <c r="HQ52" s="1173"/>
      <c r="HR52" s="1173"/>
      <c r="HS52" s="1173"/>
      <c r="HT52" s="1173"/>
      <c r="HU52" s="1173"/>
      <c r="HV52" s="1173"/>
      <c r="HW52" s="1173"/>
      <c r="HX52" s="1173"/>
      <c r="HY52" s="1183"/>
      <c r="HZ52" s="1183"/>
    </row>
    <row r="53" spans="2:234" ht="17.149999999999999" customHeight="1" x14ac:dyDescent="0.25">
      <c r="B53" s="518">
        <v>43</v>
      </c>
      <c r="C53" s="1174"/>
      <c r="D53" s="1175"/>
      <c r="E53" s="1175"/>
      <c r="F53" s="1175"/>
      <c r="G53" s="1175"/>
      <c r="H53" s="1176"/>
      <c r="I53" s="1185"/>
      <c r="J53" s="1185"/>
      <c r="K53" s="1185"/>
      <c r="L53" s="1185"/>
      <c r="M53" s="1185"/>
      <c r="N53" s="1185"/>
      <c r="O53" s="1185"/>
      <c r="P53" s="1185"/>
      <c r="Q53" s="1185"/>
      <c r="R53" s="1185"/>
      <c r="S53" s="1185"/>
      <c r="T53" s="1185"/>
      <c r="U53" s="1185"/>
      <c r="V53" s="1178"/>
      <c r="W53" s="1178"/>
      <c r="Y53" s="518">
        <v>35</v>
      </c>
      <c r="Z53" s="1174"/>
      <c r="AA53" s="1175"/>
      <c r="AB53" s="1175"/>
      <c r="AC53" s="1175"/>
      <c r="AD53" s="1175"/>
      <c r="AE53" s="1176"/>
      <c r="AF53" s="1185"/>
      <c r="AG53" s="1185"/>
      <c r="AH53" s="1185"/>
      <c r="AI53" s="1185"/>
      <c r="AJ53" s="1185"/>
      <c r="AK53" s="1185"/>
      <c r="AL53" s="1185"/>
      <c r="AM53" s="1185"/>
      <c r="AN53" s="1185"/>
      <c r="AO53" s="1185"/>
      <c r="AP53" s="1185"/>
      <c r="AQ53" s="1185"/>
      <c r="AR53" s="1185"/>
      <c r="AS53" s="1178"/>
      <c r="AT53" s="1178"/>
      <c r="AW53" s="518">
        <v>43</v>
      </c>
      <c r="AX53" s="1174"/>
      <c r="AY53" s="1175"/>
      <c r="AZ53" s="1175"/>
      <c r="BA53" s="1175"/>
      <c r="BB53" s="1175"/>
      <c r="BC53" s="1176"/>
      <c r="BD53" s="1185"/>
      <c r="BE53" s="1185"/>
      <c r="BF53" s="1185"/>
      <c r="BG53" s="1185"/>
      <c r="BH53" s="1185"/>
      <c r="BI53" s="1185"/>
      <c r="BJ53" s="1185"/>
      <c r="BK53" s="1185"/>
      <c r="BL53" s="1185"/>
      <c r="BM53" s="1185"/>
      <c r="BN53" s="1185"/>
      <c r="BO53" s="1185"/>
      <c r="BP53" s="1185"/>
      <c r="BQ53" s="1178"/>
      <c r="BR53" s="1178"/>
      <c r="BT53" s="518">
        <v>35</v>
      </c>
      <c r="BU53" s="1174"/>
      <c r="BV53" s="1175"/>
      <c r="BW53" s="1175"/>
      <c r="BX53" s="1175"/>
      <c r="BY53" s="1175"/>
      <c r="BZ53" s="1176"/>
      <c r="CA53" s="1185"/>
      <c r="CB53" s="1185"/>
      <c r="CC53" s="1185"/>
      <c r="CD53" s="1185"/>
      <c r="CE53" s="1185"/>
      <c r="CF53" s="1185"/>
      <c r="CG53" s="1185"/>
      <c r="CH53" s="1185"/>
      <c r="CI53" s="1185"/>
      <c r="CJ53" s="1185"/>
      <c r="CK53" s="1185"/>
      <c r="CL53" s="1185"/>
      <c r="CM53" s="1185"/>
      <c r="CN53" s="1178"/>
      <c r="CO53" s="1178"/>
      <c r="CR53" s="518">
        <v>43</v>
      </c>
      <c r="CS53" s="1174"/>
      <c r="CT53" s="1175"/>
      <c r="CU53" s="1175"/>
      <c r="CV53" s="1175"/>
      <c r="CW53" s="1175"/>
      <c r="CX53" s="1176"/>
      <c r="CY53" s="1185"/>
      <c r="CZ53" s="1185"/>
      <c r="DA53" s="1185"/>
      <c r="DB53" s="1185"/>
      <c r="DC53" s="1185"/>
      <c r="DD53" s="1185"/>
      <c r="DE53" s="1185"/>
      <c r="DF53" s="1185"/>
      <c r="DG53" s="1185"/>
      <c r="DH53" s="1185"/>
      <c r="DI53" s="1185"/>
      <c r="DJ53" s="1185"/>
      <c r="DK53" s="1185"/>
      <c r="DL53" s="1178"/>
      <c r="DM53" s="1178"/>
      <c r="DO53" s="518">
        <v>35</v>
      </c>
      <c r="DP53" s="1174"/>
      <c r="DQ53" s="1175"/>
      <c r="DR53" s="1175"/>
      <c r="DS53" s="1175"/>
      <c r="DT53" s="1175"/>
      <c r="DU53" s="1176"/>
      <c r="DV53" s="1185"/>
      <c r="DW53" s="1185"/>
      <c r="DX53" s="1185"/>
      <c r="DY53" s="1185"/>
      <c r="DZ53" s="1185"/>
      <c r="EA53" s="1185"/>
      <c r="EB53" s="1185"/>
      <c r="EC53" s="1185"/>
      <c r="ED53" s="1185"/>
      <c r="EE53" s="1185"/>
      <c r="EF53" s="1185"/>
      <c r="EG53" s="1185"/>
      <c r="EH53" s="1185"/>
      <c r="EI53" s="1178"/>
      <c r="EJ53" s="1178"/>
      <c r="EM53" s="518">
        <v>43</v>
      </c>
      <c r="EN53" s="1174"/>
      <c r="EO53" s="1175"/>
      <c r="EP53" s="1175"/>
      <c r="EQ53" s="1175"/>
      <c r="ER53" s="1175"/>
      <c r="ES53" s="1176"/>
      <c r="ET53" s="1185"/>
      <c r="EU53" s="1185"/>
      <c r="EV53" s="1185"/>
      <c r="EW53" s="1185"/>
      <c r="EX53" s="1185"/>
      <c r="EY53" s="1185"/>
      <c r="EZ53" s="1185"/>
      <c r="FA53" s="1185"/>
      <c r="FB53" s="1185"/>
      <c r="FC53" s="1185"/>
      <c r="FD53" s="1185"/>
      <c r="FE53" s="1185"/>
      <c r="FF53" s="1185"/>
      <c r="FG53" s="1178"/>
      <c r="FH53" s="1178"/>
      <c r="FJ53" s="518">
        <v>35</v>
      </c>
      <c r="FK53" s="1174"/>
      <c r="FL53" s="1175"/>
      <c r="FM53" s="1175"/>
      <c r="FN53" s="1175"/>
      <c r="FO53" s="1175"/>
      <c r="FP53" s="1176"/>
      <c r="FQ53" s="1185"/>
      <c r="FR53" s="1185"/>
      <c r="FS53" s="1185"/>
      <c r="FT53" s="1185"/>
      <c r="FU53" s="1185"/>
      <c r="FV53" s="1185"/>
      <c r="FW53" s="1185"/>
      <c r="FX53" s="1185"/>
      <c r="FY53" s="1185"/>
      <c r="FZ53" s="1185"/>
      <c r="GA53" s="1185"/>
      <c r="GB53" s="1185"/>
      <c r="GC53" s="1185"/>
      <c r="GD53" s="1178"/>
      <c r="GE53" s="1178"/>
      <c r="GH53" s="518">
        <v>43</v>
      </c>
      <c r="GI53" s="1174"/>
      <c r="GJ53" s="1175"/>
      <c r="GK53" s="1175"/>
      <c r="GL53" s="1175"/>
      <c r="GM53" s="1175"/>
      <c r="GN53" s="1176"/>
      <c r="GO53" s="1185"/>
      <c r="GP53" s="1185"/>
      <c r="GQ53" s="1185"/>
      <c r="GR53" s="1185"/>
      <c r="GS53" s="1185"/>
      <c r="GT53" s="1185"/>
      <c r="GU53" s="1185"/>
      <c r="GV53" s="1185"/>
      <c r="GW53" s="1185"/>
      <c r="GX53" s="1185"/>
      <c r="GY53" s="1185"/>
      <c r="GZ53" s="1185"/>
      <c r="HA53" s="1185"/>
      <c r="HB53" s="1178"/>
      <c r="HC53" s="1178"/>
      <c r="HE53" s="518">
        <v>35</v>
      </c>
      <c r="HF53" s="1174"/>
      <c r="HG53" s="1175"/>
      <c r="HH53" s="1175"/>
      <c r="HI53" s="1175"/>
      <c r="HJ53" s="1175"/>
      <c r="HK53" s="1176"/>
      <c r="HL53" s="1185"/>
      <c r="HM53" s="1185"/>
      <c r="HN53" s="1185"/>
      <c r="HO53" s="1185"/>
      <c r="HP53" s="1185"/>
      <c r="HQ53" s="1185"/>
      <c r="HR53" s="1185"/>
      <c r="HS53" s="1185"/>
      <c r="HT53" s="1185"/>
      <c r="HU53" s="1185"/>
      <c r="HV53" s="1185"/>
      <c r="HW53" s="1185"/>
      <c r="HX53" s="1185"/>
      <c r="HY53" s="1178"/>
      <c r="HZ53" s="1178"/>
    </row>
    <row r="54" spans="2:234" ht="17.149999999999999" customHeight="1" x14ac:dyDescent="0.25">
      <c r="B54" s="519">
        <v>44</v>
      </c>
      <c r="C54" s="1179"/>
      <c r="D54" s="1180"/>
      <c r="E54" s="1180"/>
      <c r="F54" s="1180"/>
      <c r="G54" s="1180"/>
      <c r="H54" s="1181"/>
      <c r="I54" s="1173"/>
      <c r="J54" s="1173"/>
      <c r="K54" s="1173"/>
      <c r="L54" s="1173"/>
      <c r="M54" s="1173"/>
      <c r="N54" s="1173"/>
      <c r="O54" s="1173"/>
      <c r="P54" s="1173"/>
      <c r="Q54" s="1173"/>
      <c r="R54" s="1173"/>
      <c r="S54" s="1173"/>
      <c r="T54" s="1173"/>
      <c r="U54" s="1173"/>
      <c r="V54" s="1183"/>
      <c r="W54" s="1183"/>
      <c r="Y54" s="519">
        <v>36</v>
      </c>
      <c r="Z54" s="1179"/>
      <c r="AA54" s="1180"/>
      <c r="AB54" s="1180"/>
      <c r="AC54" s="1180"/>
      <c r="AD54" s="1180"/>
      <c r="AE54" s="1181"/>
      <c r="AF54" s="1173"/>
      <c r="AG54" s="1173"/>
      <c r="AH54" s="1173"/>
      <c r="AI54" s="1173"/>
      <c r="AJ54" s="1173"/>
      <c r="AK54" s="1173"/>
      <c r="AL54" s="1173"/>
      <c r="AM54" s="1173"/>
      <c r="AN54" s="1173"/>
      <c r="AO54" s="1173"/>
      <c r="AP54" s="1173"/>
      <c r="AQ54" s="1173"/>
      <c r="AR54" s="1173"/>
      <c r="AS54" s="1183"/>
      <c r="AT54" s="1183"/>
      <c r="AW54" s="519">
        <v>44</v>
      </c>
      <c r="AX54" s="1179"/>
      <c r="AY54" s="1180"/>
      <c r="AZ54" s="1180"/>
      <c r="BA54" s="1180"/>
      <c r="BB54" s="1180"/>
      <c r="BC54" s="1181"/>
      <c r="BD54" s="1173"/>
      <c r="BE54" s="1173"/>
      <c r="BF54" s="1173"/>
      <c r="BG54" s="1173"/>
      <c r="BH54" s="1173"/>
      <c r="BI54" s="1173"/>
      <c r="BJ54" s="1173"/>
      <c r="BK54" s="1173"/>
      <c r="BL54" s="1173"/>
      <c r="BM54" s="1173"/>
      <c r="BN54" s="1173"/>
      <c r="BO54" s="1173"/>
      <c r="BP54" s="1173"/>
      <c r="BQ54" s="1183"/>
      <c r="BR54" s="1183"/>
      <c r="BT54" s="519">
        <v>36</v>
      </c>
      <c r="BU54" s="1179"/>
      <c r="BV54" s="1180"/>
      <c r="BW54" s="1180"/>
      <c r="BX54" s="1180"/>
      <c r="BY54" s="1180"/>
      <c r="BZ54" s="1181"/>
      <c r="CA54" s="1173"/>
      <c r="CB54" s="1173"/>
      <c r="CC54" s="1173"/>
      <c r="CD54" s="1173"/>
      <c r="CE54" s="1173"/>
      <c r="CF54" s="1173"/>
      <c r="CG54" s="1173"/>
      <c r="CH54" s="1173"/>
      <c r="CI54" s="1173"/>
      <c r="CJ54" s="1173"/>
      <c r="CK54" s="1173"/>
      <c r="CL54" s="1173"/>
      <c r="CM54" s="1173"/>
      <c r="CN54" s="1183"/>
      <c r="CO54" s="1183"/>
      <c r="CR54" s="519">
        <v>44</v>
      </c>
      <c r="CS54" s="1179"/>
      <c r="CT54" s="1180"/>
      <c r="CU54" s="1180"/>
      <c r="CV54" s="1180"/>
      <c r="CW54" s="1180"/>
      <c r="CX54" s="1181"/>
      <c r="CY54" s="1173"/>
      <c r="CZ54" s="1173"/>
      <c r="DA54" s="1173"/>
      <c r="DB54" s="1173"/>
      <c r="DC54" s="1173"/>
      <c r="DD54" s="1173"/>
      <c r="DE54" s="1173"/>
      <c r="DF54" s="1173"/>
      <c r="DG54" s="1173"/>
      <c r="DH54" s="1173"/>
      <c r="DI54" s="1173"/>
      <c r="DJ54" s="1173"/>
      <c r="DK54" s="1173"/>
      <c r="DL54" s="1183"/>
      <c r="DM54" s="1183"/>
      <c r="DO54" s="519">
        <v>36</v>
      </c>
      <c r="DP54" s="1179"/>
      <c r="DQ54" s="1180"/>
      <c r="DR54" s="1180"/>
      <c r="DS54" s="1180"/>
      <c r="DT54" s="1180"/>
      <c r="DU54" s="1181"/>
      <c r="DV54" s="1173"/>
      <c r="DW54" s="1173"/>
      <c r="DX54" s="1173"/>
      <c r="DY54" s="1173"/>
      <c r="DZ54" s="1173"/>
      <c r="EA54" s="1173"/>
      <c r="EB54" s="1173"/>
      <c r="EC54" s="1173"/>
      <c r="ED54" s="1173"/>
      <c r="EE54" s="1173"/>
      <c r="EF54" s="1173"/>
      <c r="EG54" s="1173"/>
      <c r="EH54" s="1173"/>
      <c r="EI54" s="1183"/>
      <c r="EJ54" s="1183"/>
      <c r="EM54" s="519">
        <v>44</v>
      </c>
      <c r="EN54" s="1179"/>
      <c r="EO54" s="1180"/>
      <c r="EP54" s="1180"/>
      <c r="EQ54" s="1180"/>
      <c r="ER54" s="1180"/>
      <c r="ES54" s="1181"/>
      <c r="ET54" s="1173"/>
      <c r="EU54" s="1173"/>
      <c r="EV54" s="1173"/>
      <c r="EW54" s="1173"/>
      <c r="EX54" s="1173"/>
      <c r="EY54" s="1173"/>
      <c r="EZ54" s="1173"/>
      <c r="FA54" s="1173"/>
      <c r="FB54" s="1173"/>
      <c r="FC54" s="1173"/>
      <c r="FD54" s="1173"/>
      <c r="FE54" s="1173"/>
      <c r="FF54" s="1173"/>
      <c r="FG54" s="1183"/>
      <c r="FH54" s="1183"/>
      <c r="FJ54" s="519">
        <v>36</v>
      </c>
      <c r="FK54" s="1179"/>
      <c r="FL54" s="1180"/>
      <c r="FM54" s="1180"/>
      <c r="FN54" s="1180"/>
      <c r="FO54" s="1180"/>
      <c r="FP54" s="1181"/>
      <c r="FQ54" s="1173"/>
      <c r="FR54" s="1173"/>
      <c r="FS54" s="1173"/>
      <c r="FT54" s="1173"/>
      <c r="FU54" s="1173"/>
      <c r="FV54" s="1173"/>
      <c r="FW54" s="1173"/>
      <c r="FX54" s="1173"/>
      <c r="FY54" s="1173"/>
      <c r="FZ54" s="1173"/>
      <c r="GA54" s="1173"/>
      <c r="GB54" s="1173"/>
      <c r="GC54" s="1173"/>
      <c r="GD54" s="1183"/>
      <c r="GE54" s="1183"/>
      <c r="GH54" s="519">
        <v>44</v>
      </c>
      <c r="GI54" s="1179"/>
      <c r="GJ54" s="1180"/>
      <c r="GK54" s="1180"/>
      <c r="GL54" s="1180"/>
      <c r="GM54" s="1180"/>
      <c r="GN54" s="1181"/>
      <c r="GO54" s="1173"/>
      <c r="GP54" s="1173"/>
      <c r="GQ54" s="1173"/>
      <c r="GR54" s="1173"/>
      <c r="GS54" s="1173"/>
      <c r="GT54" s="1173"/>
      <c r="GU54" s="1173"/>
      <c r="GV54" s="1173"/>
      <c r="GW54" s="1173"/>
      <c r="GX54" s="1173"/>
      <c r="GY54" s="1173"/>
      <c r="GZ54" s="1173"/>
      <c r="HA54" s="1173"/>
      <c r="HB54" s="1183"/>
      <c r="HC54" s="1183"/>
      <c r="HE54" s="519">
        <v>36</v>
      </c>
      <c r="HF54" s="1179"/>
      <c r="HG54" s="1180"/>
      <c r="HH54" s="1180"/>
      <c r="HI54" s="1180"/>
      <c r="HJ54" s="1180"/>
      <c r="HK54" s="1181"/>
      <c r="HL54" s="1173"/>
      <c r="HM54" s="1173"/>
      <c r="HN54" s="1173"/>
      <c r="HO54" s="1173"/>
      <c r="HP54" s="1173"/>
      <c r="HQ54" s="1173"/>
      <c r="HR54" s="1173"/>
      <c r="HS54" s="1173"/>
      <c r="HT54" s="1173"/>
      <c r="HU54" s="1173"/>
      <c r="HV54" s="1173"/>
      <c r="HW54" s="1173"/>
      <c r="HX54" s="1173"/>
      <c r="HY54" s="1183"/>
      <c r="HZ54" s="1183"/>
    </row>
    <row r="55" spans="2:234" ht="17.149999999999999" customHeight="1" x14ac:dyDescent="0.25">
      <c r="B55" s="518">
        <v>45</v>
      </c>
      <c r="C55" s="1174"/>
      <c r="D55" s="1175"/>
      <c r="E55" s="1175"/>
      <c r="F55" s="1175"/>
      <c r="G55" s="1175"/>
      <c r="H55" s="1176"/>
      <c r="I55" s="1185"/>
      <c r="J55" s="1185"/>
      <c r="K55" s="1185"/>
      <c r="L55" s="1185"/>
      <c r="M55" s="1185"/>
      <c r="N55" s="1185"/>
      <c r="O55" s="1185"/>
      <c r="P55" s="1185"/>
      <c r="Q55" s="1185"/>
      <c r="R55" s="1185"/>
      <c r="S55" s="1185"/>
      <c r="T55" s="1185"/>
      <c r="U55" s="1185"/>
      <c r="V55" s="1178"/>
      <c r="W55" s="1178"/>
      <c r="Y55" s="518">
        <v>37</v>
      </c>
      <c r="Z55" s="1174"/>
      <c r="AA55" s="1175"/>
      <c r="AB55" s="1175"/>
      <c r="AC55" s="1175"/>
      <c r="AD55" s="1175"/>
      <c r="AE55" s="1176"/>
      <c r="AF55" s="1185"/>
      <c r="AG55" s="1185"/>
      <c r="AH55" s="1185"/>
      <c r="AI55" s="1185"/>
      <c r="AJ55" s="1185"/>
      <c r="AK55" s="1185"/>
      <c r="AL55" s="1185"/>
      <c r="AM55" s="1185"/>
      <c r="AN55" s="1185"/>
      <c r="AO55" s="1185"/>
      <c r="AP55" s="1185"/>
      <c r="AQ55" s="1185"/>
      <c r="AR55" s="1185"/>
      <c r="AS55" s="1178"/>
      <c r="AT55" s="1178"/>
      <c r="AW55" s="518">
        <v>45</v>
      </c>
      <c r="AX55" s="1174"/>
      <c r="AY55" s="1175"/>
      <c r="AZ55" s="1175"/>
      <c r="BA55" s="1175"/>
      <c r="BB55" s="1175"/>
      <c r="BC55" s="1176"/>
      <c r="BD55" s="1185"/>
      <c r="BE55" s="1185"/>
      <c r="BF55" s="1185"/>
      <c r="BG55" s="1185"/>
      <c r="BH55" s="1185"/>
      <c r="BI55" s="1185"/>
      <c r="BJ55" s="1185"/>
      <c r="BK55" s="1185"/>
      <c r="BL55" s="1185"/>
      <c r="BM55" s="1185"/>
      <c r="BN55" s="1185"/>
      <c r="BO55" s="1185"/>
      <c r="BP55" s="1185"/>
      <c r="BQ55" s="1178"/>
      <c r="BR55" s="1178"/>
      <c r="BT55" s="518">
        <v>37</v>
      </c>
      <c r="BU55" s="1174"/>
      <c r="BV55" s="1175"/>
      <c r="BW55" s="1175"/>
      <c r="BX55" s="1175"/>
      <c r="BY55" s="1175"/>
      <c r="BZ55" s="1176"/>
      <c r="CA55" s="1185"/>
      <c r="CB55" s="1185"/>
      <c r="CC55" s="1185"/>
      <c r="CD55" s="1185"/>
      <c r="CE55" s="1185"/>
      <c r="CF55" s="1185"/>
      <c r="CG55" s="1185"/>
      <c r="CH55" s="1185"/>
      <c r="CI55" s="1185"/>
      <c r="CJ55" s="1185"/>
      <c r="CK55" s="1185"/>
      <c r="CL55" s="1185"/>
      <c r="CM55" s="1185"/>
      <c r="CN55" s="1178"/>
      <c r="CO55" s="1178"/>
      <c r="CR55" s="518">
        <v>45</v>
      </c>
      <c r="CS55" s="1174"/>
      <c r="CT55" s="1175"/>
      <c r="CU55" s="1175"/>
      <c r="CV55" s="1175"/>
      <c r="CW55" s="1175"/>
      <c r="CX55" s="1176"/>
      <c r="CY55" s="1185"/>
      <c r="CZ55" s="1185"/>
      <c r="DA55" s="1185"/>
      <c r="DB55" s="1185"/>
      <c r="DC55" s="1185"/>
      <c r="DD55" s="1185"/>
      <c r="DE55" s="1185"/>
      <c r="DF55" s="1185"/>
      <c r="DG55" s="1185"/>
      <c r="DH55" s="1185"/>
      <c r="DI55" s="1185"/>
      <c r="DJ55" s="1185"/>
      <c r="DK55" s="1185"/>
      <c r="DL55" s="1178"/>
      <c r="DM55" s="1178"/>
      <c r="DO55" s="518">
        <v>37</v>
      </c>
      <c r="DP55" s="1174"/>
      <c r="DQ55" s="1175"/>
      <c r="DR55" s="1175"/>
      <c r="DS55" s="1175"/>
      <c r="DT55" s="1175"/>
      <c r="DU55" s="1176"/>
      <c r="DV55" s="1185"/>
      <c r="DW55" s="1185"/>
      <c r="DX55" s="1185"/>
      <c r="DY55" s="1185"/>
      <c r="DZ55" s="1185"/>
      <c r="EA55" s="1185"/>
      <c r="EB55" s="1185"/>
      <c r="EC55" s="1185"/>
      <c r="ED55" s="1185"/>
      <c r="EE55" s="1185"/>
      <c r="EF55" s="1185"/>
      <c r="EG55" s="1185"/>
      <c r="EH55" s="1185"/>
      <c r="EI55" s="1178"/>
      <c r="EJ55" s="1178"/>
      <c r="EM55" s="518">
        <v>45</v>
      </c>
      <c r="EN55" s="1174"/>
      <c r="EO55" s="1175"/>
      <c r="EP55" s="1175"/>
      <c r="EQ55" s="1175"/>
      <c r="ER55" s="1175"/>
      <c r="ES55" s="1176"/>
      <c r="ET55" s="1185"/>
      <c r="EU55" s="1185"/>
      <c r="EV55" s="1185"/>
      <c r="EW55" s="1185"/>
      <c r="EX55" s="1185"/>
      <c r="EY55" s="1185"/>
      <c r="EZ55" s="1185"/>
      <c r="FA55" s="1185"/>
      <c r="FB55" s="1185"/>
      <c r="FC55" s="1185"/>
      <c r="FD55" s="1185"/>
      <c r="FE55" s="1185"/>
      <c r="FF55" s="1185"/>
      <c r="FG55" s="1178"/>
      <c r="FH55" s="1178"/>
      <c r="FJ55" s="518">
        <v>37</v>
      </c>
      <c r="FK55" s="1174"/>
      <c r="FL55" s="1175"/>
      <c r="FM55" s="1175"/>
      <c r="FN55" s="1175"/>
      <c r="FO55" s="1175"/>
      <c r="FP55" s="1176"/>
      <c r="FQ55" s="1185"/>
      <c r="FR55" s="1185"/>
      <c r="FS55" s="1185"/>
      <c r="FT55" s="1185"/>
      <c r="FU55" s="1185"/>
      <c r="FV55" s="1185"/>
      <c r="FW55" s="1185"/>
      <c r="FX55" s="1185"/>
      <c r="FY55" s="1185"/>
      <c r="FZ55" s="1185"/>
      <c r="GA55" s="1185"/>
      <c r="GB55" s="1185"/>
      <c r="GC55" s="1185"/>
      <c r="GD55" s="1178"/>
      <c r="GE55" s="1178"/>
      <c r="GH55" s="518">
        <v>45</v>
      </c>
      <c r="GI55" s="1174"/>
      <c r="GJ55" s="1175"/>
      <c r="GK55" s="1175"/>
      <c r="GL55" s="1175"/>
      <c r="GM55" s="1175"/>
      <c r="GN55" s="1176"/>
      <c r="GO55" s="1185"/>
      <c r="GP55" s="1185"/>
      <c r="GQ55" s="1185"/>
      <c r="GR55" s="1185"/>
      <c r="GS55" s="1185"/>
      <c r="GT55" s="1185"/>
      <c r="GU55" s="1185"/>
      <c r="GV55" s="1185"/>
      <c r="GW55" s="1185"/>
      <c r="GX55" s="1185"/>
      <c r="GY55" s="1185"/>
      <c r="GZ55" s="1185"/>
      <c r="HA55" s="1185"/>
      <c r="HB55" s="1178"/>
      <c r="HC55" s="1178"/>
      <c r="HE55" s="518">
        <v>37</v>
      </c>
      <c r="HF55" s="1174"/>
      <c r="HG55" s="1175"/>
      <c r="HH55" s="1175"/>
      <c r="HI55" s="1175"/>
      <c r="HJ55" s="1175"/>
      <c r="HK55" s="1176"/>
      <c r="HL55" s="1185"/>
      <c r="HM55" s="1185"/>
      <c r="HN55" s="1185"/>
      <c r="HO55" s="1185"/>
      <c r="HP55" s="1185"/>
      <c r="HQ55" s="1185"/>
      <c r="HR55" s="1185"/>
      <c r="HS55" s="1185"/>
      <c r="HT55" s="1185"/>
      <c r="HU55" s="1185"/>
      <c r="HV55" s="1185"/>
      <c r="HW55" s="1185"/>
      <c r="HX55" s="1185"/>
      <c r="HY55" s="1178"/>
      <c r="HZ55" s="1178"/>
    </row>
    <row r="56" spans="2:234" ht="17.149999999999999" customHeight="1" x14ac:dyDescent="0.25">
      <c r="B56" s="519">
        <v>46</v>
      </c>
      <c r="C56" s="1179"/>
      <c r="D56" s="1180"/>
      <c r="E56" s="1180"/>
      <c r="F56" s="1180"/>
      <c r="G56" s="1180"/>
      <c r="H56" s="1181"/>
      <c r="I56" s="1173"/>
      <c r="J56" s="1173"/>
      <c r="K56" s="1173"/>
      <c r="L56" s="1173"/>
      <c r="M56" s="1173"/>
      <c r="N56" s="1173"/>
      <c r="O56" s="1173"/>
      <c r="P56" s="1173"/>
      <c r="Q56" s="1173"/>
      <c r="R56" s="1173"/>
      <c r="S56" s="1173"/>
      <c r="T56" s="1173"/>
      <c r="U56" s="1173"/>
      <c r="V56" s="1183"/>
      <c r="W56" s="1183"/>
      <c r="Y56" s="519">
        <v>38</v>
      </c>
      <c r="Z56" s="1179"/>
      <c r="AA56" s="1180"/>
      <c r="AB56" s="1180"/>
      <c r="AC56" s="1180"/>
      <c r="AD56" s="1180"/>
      <c r="AE56" s="1181"/>
      <c r="AF56" s="1173"/>
      <c r="AG56" s="1173"/>
      <c r="AH56" s="1173"/>
      <c r="AI56" s="1173"/>
      <c r="AJ56" s="1173"/>
      <c r="AK56" s="1173"/>
      <c r="AL56" s="1173"/>
      <c r="AM56" s="1173"/>
      <c r="AN56" s="1173"/>
      <c r="AO56" s="1173"/>
      <c r="AP56" s="1173"/>
      <c r="AQ56" s="1173"/>
      <c r="AR56" s="1173"/>
      <c r="AS56" s="1183"/>
      <c r="AT56" s="1183"/>
      <c r="AW56" s="519">
        <v>46</v>
      </c>
      <c r="AX56" s="1179"/>
      <c r="AY56" s="1180"/>
      <c r="AZ56" s="1180"/>
      <c r="BA56" s="1180"/>
      <c r="BB56" s="1180"/>
      <c r="BC56" s="1181"/>
      <c r="BD56" s="1173"/>
      <c r="BE56" s="1173"/>
      <c r="BF56" s="1173"/>
      <c r="BG56" s="1173"/>
      <c r="BH56" s="1173"/>
      <c r="BI56" s="1173"/>
      <c r="BJ56" s="1173"/>
      <c r="BK56" s="1173"/>
      <c r="BL56" s="1173"/>
      <c r="BM56" s="1173"/>
      <c r="BN56" s="1173"/>
      <c r="BO56" s="1173"/>
      <c r="BP56" s="1173"/>
      <c r="BQ56" s="1183"/>
      <c r="BR56" s="1183"/>
      <c r="BT56" s="519">
        <v>38</v>
      </c>
      <c r="BU56" s="1179"/>
      <c r="BV56" s="1180"/>
      <c r="BW56" s="1180"/>
      <c r="BX56" s="1180"/>
      <c r="BY56" s="1180"/>
      <c r="BZ56" s="1181"/>
      <c r="CA56" s="1173"/>
      <c r="CB56" s="1173"/>
      <c r="CC56" s="1173"/>
      <c r="CD56" s="1173"/>
      <c r="CE56" s="1173"/>
      <c r="CF56" s="1173"/>
      <c r="CG56" s="1173"/>
      <c r="CH56" s="1173"/>
      <c r="CI56" s="1173"/>
      <c r="CJ56" s="1173"/>
      <c r="CK56" s="1173"/>
      <c r="CL56" s="1173"/>
      <c r="CM56" s="1173"/>
      <c r="CN56" s="1183"/>
      <c r="CO56" s="1183"/>
      <c r="CR56" s="519">
        <v>46</v>
      </c>
      <c r="CS56" s="1179"/>
      <c r="CT56" s="1180"/>
      <c r="CU56" s="1180"/>
      <c r="CV56" s="1180"/>
      <c r="CW56" s="1180"/>
      <c r="CX56" s="1181"/>
      <c r="CY56" s="1173"/>
      <c r="CZ56" s="1173"/>
      <c r="DA56" s="1173"/>
      <c r="DB56" s="1173"/>
      <c r="DC56" s="1173"/>
      <c r="DD56" s="1173"/>
      <c r="DE56" s="1173"/>
      <c r="DF56" s="1173"/>
      <c r="DG56" s="1173"/>
      <c r="DH56" s="1173"/>
      <c r="DI56" s="1173"/>
      <c r="DJ56" s="1173"/>
      <c r="DK56" s="1173"/>
      <c r="DL56" s="1183"/>
      <c r="DM56" s="1183"/>
      <c r="DO56" s="519">
        <v>38</v>
      </c>
      <c r="DP56" s="1179"/>
      <c r="DQ56" s="1180"/>
      <c r="DR56" s="1180"/>
      <c r="DS56" s="1180"/>
      <c r="DT56" s="1180"/>
      <c r="DU56" s="1181"/>
      <c r="DV56" s="1173"/>
      <c r="DW56" s="1173"/>
      <c r="DX56" s="1173"/>
      <c r="DY56" s="1173"/>
      <c r="DZ56" s="1173"/>
      <c r="EA56" s="1173"/>
      <c r="EB56" s="1173"/>
      <c r="EC56" s="1173"/>
      <c r="ED56" s="1173"/>
      <c r="EE56" s="1173"/>
      <c r="EF56" s="1173"/>
      <c r="EG56" s="1173"/>
      <c r="EH56" s="1173"/>
      <c r="EI56" s="1183"/>
      <c r="EJ56" s="1183"/>
      <c r="EM56" s="519">
        <v>46</v>
      </c>
      <c r="EN56" s="1179"/>
      <c r="EO56" s="1180"/>
      <c r="EP56" s="1180"/>
      <c r="EQ56" s="1180"/>
      <c r="ER56" s="1180"/>
      <c r="ES56" s="1181"/>
      <c r="ET56" s="1173"/>
      <c r="EU56" s="1173"/>
      <c r="EV56" s="1173"/>
      <c r="EW56" s="1173"/>
      <c r="EX56" s="1173"/>
      <c r="EY56" s="1173"/>
      <c r="EZ56" s="1173"/>
      <c r="FA56" s="1173"/>
      <c r="FB56" s="1173"/>
      <c r="FC56" s="1173"/>
      <c r="FD56" s="1173"/>
      <c r="FE56" s="1173"/>
      <c r="FF56" s="1173"/>
      <c r="FG56" s="1183"/>
      <c r="FH56" s="1183"/>
      <c r="FJ56" s="519">
        <v>38</v>
      </c>
      <c r="FK56" s="1179"/>
      <c r="FL56" s="1180"/>
      <c r="FM56" s="1180"/>
      <c r="FN56" s="1180"/>
      <c r="FO56" s="1180"/>
      <c r="FP56" s="1181"/>
      <c r="FQ56" s="1173"/>
      <c r="FR56" s="1173"/>
      <c r="FS56" s="1173"/>
      <c r="FT56" s="1173"/>
      <c r="FU56" s="1173"/>
      <c r="FV56" s="1173"/>
      <c r="FW56" s="1173"/>
      <c r="FX56" s="1173"/>
      <c r="FY56" s="1173"/>
      <c r="FZ56" s="1173"/>
      <c r="GA56" s="1173"/>
      <c r="GB56" s="1173"/>
      <c r="GC56" s="1173"/>
      <c r="GD56" s="1183"/>
      <c r="GE56" s="1183"/>
      <c r="GH56" s="519">
        <v>46</v>
      </c>
      <c r="GI56" s="1179"/>
      <c r="GJ56" s="1180"/>
      <c r="GK56" s="1180"/>
      <c r="GL56" s="1180"/>
      <c r="GM56" s="1180"/>
      <c r="GN56" s="1181"/>
      <c r="GO56" s="1173"/>
      <c r="GP56" s="1173"/>
      <c r="GQ56" s="1173"/>
      <c r="GR56" s="1173"/>
      <c r="GS56" s="1173"/>
      <c r="GT56" s="1173"/>
      <c r="GU56" s="1173"/>
      <c r="GV56" s="1173"/>
      <c r="GW56" s="1173"/>
      <c r="GX56" s="1173"/>
      <c r="GY56" s="1173"/>
      <c r="GZ56" s="1173"/>
      <c r="HA56" s="1173"/>
      <c r="HB56" s="1183"/>
      <c r="HC56" s="1183"/>
      <c r="HE56" s="519">
        <v>38</v>
      </c>
      <c r="HF56" s="1179"/>
      <c r="HG56" s="1180"/>
      <c r="HH56" s="1180"/>
      <c r="HI56" s="1180"/>
      <c r="HJ56" s="1180"/>
      <c r="HK56" s="1181"/>
      <c r="HL56" s="1173"/>
      <c r="HM56" s="1173"/>
      <c r="HN56" s="1173"/>
      <c r="HO56" s="1173"/>
      <c r="HP56" s="1173"/>
      <c r="HQ56" s="1173"/>
      <c r="HR56" s="1173"/>
      <c r="HS56" s="1173"/>
      <c r="HT56" s="1173"/>
      <c r="HU56" s="1173"/>
      <c r="HV56" s="1173"/>
      <c r="HW56" s="1173"/>
      <c r="HX56" s="1173"/>
      <c r="HY56" s="1183"/>
      <c r="HZ56" s="1183"/>
    </row>
    <row r="57" spans="2:234" ht="17.149999999999999" customHeight="1" x14ac:dyDescent="0.25">
      <c r="B57" s="518">
        <v>47</v>
      </c>
      <c r="C57" s="1174"/>
      <c r="D57" s="1175"/>
      <c r="E57" s="1175"/>
      <c r="F57" s="1175"/>
      <c r="G57" s="1175"/>
      <c r="H57" s="1176"/>
      <c r="I57" s="1185"/>
      <c r="J57" s="1185"/>
      <c r="K57" s="1185"/>
      <c r="L57" s="1185"/>
      <c r="M57" s="1185"/>
      <c r="N57" s="1185"/>
      <c r="O57" s="1185"/>
      <c r="P57" s="1185"/>
      <c r="Q57" s="1185"/>
      <c r="R57" s="1185"/>
      <c r="S57" s="1185"/>
      <c r="T57" s="1185"/>
      <c r="U57" s="1185"/>
      <c r="V57" s="1178"/>
      <c r="W57" s="1178"/>
      <c r="Y57" s="518">
        <v>39</v>
      </c>
      <c r="Z57" s="1174"/>
      <c r="AA57" s="1175"/>
      <c r="AB57" s="1175"/>
      <c r="AC57" s="1175"/>
      <c r="AD57" s="1175"/>
      <c r="AE57" s="1176"/>
      <c r="AF57" s="1185"/>
      <c r="AG57" s="1185"/>
      <c r="AH57" s="1185"/>
      <c r="AI57" s="1185"/>
      <c r="AJ57" s="1185"/>
      <c r="AK57" s="1185"/>
      <c r="AL57" s="1185"/>
      <c r="AM57" s="1185"/>
      <c r="AN57" s="1185"/>
      <c r="AO57" s="1185"/>
      <c r="AP57" s="1185"/>
      <c r="AQ57" s="1185"/>
      <c r="AR57" s="1185"/>
      <c r="AS57" s="1178"/>
      <c r="AT57" s="1178"/>
      <c r="AW57" s="518">
        <v>47</v>
      </c>
      <c r="AX57" s="1174"/>
      <c r="AY57" s="1175"/>
      <c r="AZ57" s="1175"/>
      <c r="BA57" s="1175"/>
      <c r="BB57" s="1175"/>
      <c r="BC57" s="1176"/>
      <c r="BD57" s="1185"/>
      <c r="BE57" s="1185"/>
      <c r="BF57" s="1185"/>
      <c r="BG57" s="1185"/>
      <c r="BH57" s="1185"/>
      <c r="BI57" s="1185"/>
      <c r="BJ57" s="1185"/>
      <c r="BK57" s="1185"/>
      <c r="BL57" s="1185"/>
      <c r="BM57" s="1185"/>
      <c r="BN57" s="1185"/>
      <c r="BO57" s="1185"/>
      <c r="BP57" s="1185"/>
      <c r="BQ57" s="1178"/>
      <c r="BR57" s="1178"/>
      <c r="BT57" s="518">
        <v>39</v>
      </c>
      <c r="BU57" s="1174"/>
      <c r="BV57" s="1175"/>
      <c r="BW57" s="1175"/>
      <c r="BX57" s="1175"/>
      <c r="BY57" s="1175"/>
      <c r="BZ57" s="1176"/>
      <c r="CA57" s="1185"/>
      <c r="CB57" s="1185"/>
      <c r="CC57" s="1185"/>
      <c r="CD57" s="1185"/>
      <c r="CE57" s="1185"/>
      <c r="CF57" s="1185"/>
      <c r="CG57" s="1185"/>
      <c r="CH57" s="1185"/>
      <c r="CI57" s="1185"/>
      <c r="CJ57" s="1185"/>
      <c r="CK57" s="1185"/>
      <c r="CL57" s="1185"/>
      <c r="CM57" s="1185"/>
      <c r="CN57" s="1178"/>
      <c r="CO57" s="1178"/>
      <c r="CR57" s="518">
        <v>47</v>
      </c>
      <c r="CS57" s="1174"/>
      <c r="CT57" s="1175"/>
      <c r="CU57" s="1175"/>
      <c r="CV57" s="1175"/>
      <c r="CW57" s="1175"/>
      <c r="CX57" s="1176"/>
      <c r="CY57" s="1185"/>
      <c r="CZ57" s="1185"/>
      <c r="DA57" s="1185"/>
      <c r="DB57" s="1185"/>
      <c r="DC57" s="1185"/>
      <c r="DD57" s="1185"/>
      <c r="DE57" s="1185"/>
      <c r="DF57" s="1185"/>
      <c r="DG57" s="1185"/>
      <c r="DH57" s="1185"/>
      <c r="DI57" s="1185"/>
      <c r="DJ57" s="1185"/>
      <c r="DK57" s="1185"/>
      <c r="DL57" s="1178"/>
      <c r="DM57" s="1178"/>
      <c r="DO57" s="518">
        <v>39</v>
      </c>
      <c r="DP57" s="1174"/>
      <c r="DQ57" s="1175"/>
      <c r="DR57" s="1175"/>
      <c r="DS57" s="1175"/>
      <c r="DT57" s="1175"/>
      <c r="DU57" s="1176"/>
      <c r="DV57" s="1185"/>
      <c r="DW57" s="1185"/>
      <c r="DX57" s="1185"/>
      <c r="DY57" s="1185"/>
      <c r="DZ57" s="1185"/>
      <c r="EA57" s="1185"/>
      <c r="EB57" s="1185"/>
      <c r="EC57" s="1185"/>
      <c r="ED57" s="1185"/>
      <c r="EE57" s="1185"/>
      <c r="EF57" s="1185"/>
      <c r="EG57" s="1185"/>
      <c r="EH57" s="1185"/>
      <c r="EI57" s="1178"/>
      <c r="EJ57" s="1178"/>
      <c r="EM57" s="518">
        <v>47</v>
      </c>
      <c r="EN57" s="1174"/>
      <c r="EO57" s="1175"/>
      <c r="EP57" s="1175"/>
      <c r="EQ57" s="1175"/>
      <c r="ER57" s="1175"/>
      <c r="ES57" s="1176"/>
      <c r="ET57" s="1185"/>
      <c r="EU57" s="1185"/>
      <c r="EV57" s="1185"/>
      <c r="EW57" s="1185"/>
      <c r="EX57" s="1185"/>
      <c r="EY57" s="1185"/>
      <c r="EZ57" s="1185"/>
      <c r="FA57" s="1185"/>
      <c r="FB57" s="1185"/>
      <c r="FC57" s="1185"/>
      <c r="FD57" s="1185"/>
      <c r="FE57" s="1185"/>
      <c r="FF57" s="1185"/>
      <c r="FG57" s="1178"/>
      <c r="FH57" s="1178"/>
      <c r="FJ57" s="518">
        <v>39</v>
      </c>
      <c r="FK57" s="1174"/>
      <c r="FL57" s="1175"/>
      <c r="FM57" s="1175"/>
      <c r="FN57" s="1175"/>
      <c r="FO57" s="1175"/>
      <c r="FP57" s="1176"/>
      <c r="FQ57" s="1185"/>
      <c r="FR57" s="1185"/>
      <c r="FS57" s="1185"/>
      <c r="FT57" s="1185"/>
      <c r="FU57" s="1185"/>
      <c r="FV57" s="1185"/>
      <c r="FW57" s="1185"/>
      <c r="FX57" s="1185"/>
      <c r="FY57" s="1185"/>
      <c r="FZ57" s="1185"/>
      <c r="GA57" s="1185"/>
      <c r="GB57" s="1185"/>
      <c r="GC57" s="1185"/>
      <c r="GD57" s="1178"/>
      <c r="GE57" s="1178"/>
      <c r="GH57" s="518">
        <v>47</v>
      </c>
      <c r="GI57" s="1174"/>
      <c r="GJ57" s="1175"/>
      <c r="GK57" s="1175"/>
      <c r="GL57" s="1175"/>
      <c r="GM57" s="1175"/>
      <c r="GN57" s="1176"/>
      <c r="GO57" s="1185"/>
      <c r="GP57" s="1185"/>
      <c r="GQ57" s="1185"/>
      <c r="GR57" s="1185"/>
      <c r="GS57" s="1185"/>
      <c r="GT57" s="1185"/>
      <c r="GU57" s="1185"/>
      <c r="GV57" s="1185"/>
      <c r="GW57" s="1185"/>
      <c r="GX57" s="1185"/>
      <c r="GY57" s="1185"/>
      <c r="GZ57" s="1185"/>
      <c r="HA57" s="1185"/>
      <c r="HB57" s="1178"/>
      <c r="HC57" s="1178"/>
      <c r="HE57" s="518">
        <v>39</v>
      </c>
      <c r="HF57" s="1174"/>
      <c r="HG57" s="1175"/>
      <c r="HH57" s="1175"/>
      <c r="HI57" s="1175"/>
      <c r="HJ57" s="1175"/>
      <c r="HK57" s="1176"/>
      <c r="HL57" s="1185"/>
      <c r="HM57" s="1185"/>
      <c r="HN57" s="1185"/>
      <c r="HO57" s="1185"/>
      <c r="HP57" s="1185"/>
      <c r="HQ57" s="1185"/>
      <c r="HR57" s="1185"/>
      <c r="HS57" s="1185"/>
      <c r="HT57" s="1185"/>
      <c r="HU57" s="1185"/>
      <c r="HV57" s="1185"/>
      <c r="HW57" s="1185"/>
      <c r="HX57" s="1185"/>
      <c r="HY57" s="1178"/>
      <c r="HZ57" s="1178"/>
    </row>
    <row r="58" spans="2:234" ht="17.149999999999999" customHeight="1" x14ac:dyDescent="0.25">
      <c r="B58" s="519">
        <v>48</v>
      </c>
      <c r="C58" s="1179"/>
      <c r="D58" s="1180"/>
      <c r="E58" s="1180"/>
      <c r="F58" s="1180"/>
      <c r="G58" s="1180"/>
      <c r="H58" s="1181"/>
      <c r="I58" s="1173"/>
      <c r="J58" s="1173"/>
      <c r="K58" s="1173"/>
      <c r="L58" s="1173"/>
      <c r="M58" s="1173"/>
      <c r="N58" s="1173"/>
      <c r="O58" s="1173"/>
      <c r="P58" s="1173"/>
      <c r="Q58" s="1173"/>
      <c r="R58" s="1173"/>
      <c r="S58" s="1173"/>
      <c r="T58" s="1173"/>
      <c r="U58" s="1173"/>
      <c r="V58" s="1183"/>
      <c r="W58" s="1183"/>
      <c r="Y58" s="519">
        <v>40</v>
      </c>
      <c r="Z58" s="1179"/>
      <c r="AA58" s="1180"/>
      <c r="AB58" s="1180"/>
      <c r="AC58" s="1180"/>
      <c r="AD58" s="1180"/>
      <c r="AE58" s="1181"/>
      <c r="AF58" s="1173"/>
      <c r="AG58" s="1173"/>
      <c r="AH58" s="1173"/>
      <c r="AI58" s="1173"/>
      <c r="AJ58" s="1173"/>
      <c r="AK58" s="1173"/>
      <c r="AL58" s="1173"/>
      <c r="AM58" s="1173"/>
      <c r="AN58" s="1173"/>
      <c r="AO58" s="1173"/>
      <c r="AP58" s="1173"/>
      <c r="AQ58" s="1173"/>
      <c r="AR58" s="1173"/>
      <c r="AS58" s="1183"/>
      <c r="AT58" s="1183"/>
      <c r="AW58" s="519">
        <v>48</v>
      </c>
      <c r="AX58" s="1179"/>
      <c r="AY58" s="1180"/>
      <c r="AZ58" s="1180"/>
      <c r="BA58" s="1180"/>
      <c r="BB58" s="1180"/>
      <c r="BC58" s="1181"/>
      <c r="BD58" s="1173"/>
      <c r="BE58" s="1173"/>
      <c r="BF58" s="1173"/>
      <c r="BG58" s="1173"/>
      <c r="BH58" s="1173"/>
      <c r="BI58" s="1173"/>
      <c r="BJ58" s="1173"/>
      <c r="BK58" s="1173"/>
      <c r="BL58" s="1173"/>
      <c r="BM58" s="1173"/>
      <c r="BN58" s="1173"/>
      <c r="BO58" s="1173"/>
      <c r="BP58" s="1173"/>
      <c r="BQ58" s="1183"/>
      <c r="BR58" s="1183"/>
      <c r="BT58" s="519">
        <v>40</v>
      </c>
      <c r="BU58" s="1179"/>
      <c r="BV58" s="1180"/>
      <c r="BW58" s="1180"/>
      <c r="BX58" s="1180"/>
      <c r="BY58" s="1180"/>
      <c r="BZ58" s="1181"/>
      <c r="CA58" s="1173"/>
      <c r="CB58" s="1173"/>
      <c r="CC58" s="1173"/>
      <c r="CD58" s="1173"/>
      <c r="CE58" s="1173"/>
      <c r="CF58" s="1173"/>
      <c r="CG58" s="1173"/>
      <c r="CH58" s="1173"/>
      <c r="CI58" s="1173"/>
      <c r="CJ58" s="1173"/>
      <c r="CK58" s="1173"/>
      <c r="CL58" s="1173"/>
      <c r="CM58" s="1173"/>
      <c r="CN58" s="1183"/>
      <c r="CO58" s="1183"/>
      <c r="CR58" s="519">
        <v>48</v>
      </c>
      <c r="CS58" s="1179"/>
      <c r="CT58" s="1180"/>
      <c r="CU58" s="1180"/>
      <c r="CV58" s="1180"/>
      <c r="CW58" s="1180"/>
      <c r="CX58" s="1181"/>
      <c r="CY58" s="1173"/>
      <c r="CZ58" s="1173"/>
      <c r="DA58" s="1173"/>
      <c r="DB58" s="1173"/>
      <c r="DC58" s="1173"/>
      <c r="DD58" s="1173"/>
      <c r="DE58" s="1173"/>
      <c r="DF58" s="1173"/>
      <c r="DG58" s="1173"/>
      <c r="DH58" s="1173"/>
      <c r="DI58" s="1173"/>
      <c r="DJ58" s="1173"/>
      <c r="DK58" s="1173"/>
      <c r="DL58" s="1183"/>
      <c r="DM58" s="1183"/>
      <c r="DO58" s="519">
        <v>40</v>
      </c>
      <c r="DP58" s="1179"/>
      <c r="DQ58" s="1180"/>
      <c r="DR58" s="1180"/>
      <c r="DS58" s="1180"/>
      <c r="DT58" s="1180"/>
      <c r="DU58" s="1181"/>
      <c r="DV58" s="1173"/>
      <c r="DW58" s="1173"/>
      <c r="DX58" s="1173"/>
      <c r="DY58" s="1173"/>
      <c r="DZ58" s="1173"/>
      <c r="EA58" s="1173"/>
      <c r="EB58" s="1173"/>
      <c r="EC58" s="1173"/>
      <c r="ED58" s="1173"/>
      <c r="EE58" s="1173"/>
      <c r="EF58" s="1173"/>
      <c r="EG58" s="1173"/>
      <c r="EH58" s="1173"/>
      <c r="EI58" s="1183"/>
      <c r="EJ58" s="1183"/>
      <c r="EM58" s="519">
        <v>48</v>
      </c>
      <c r="EN58" s="1179"/>
      <c r="EO58" s="1180"/>
      <c r="EP58" s="1180"/>
      <c r="EQ58" s="1180"/>
      <c r="ER58" s="1180"/>
      <c r="ES58" s="1181"/>
      <c r="ET58" s="1173"/>
      <c r="EU58" s="1173"/>
      <c r="EV58" s="1173"/>
      <c r="EW58" s="1173"/>
      <c r="EX58" s="1173"/>
      <c r="EY58" s="1173"/>
      <c r="EZ58" s="1173"/>
      <c r="FA58" s="1173"/>
      <c r="FB58" s="1173"/>
      <c r="FC58" s="1173"/>
      <c r="FD58" s="1173"/>
      <c r="FE58" s="1173"/>
      <c r="FF58" s="1173"/>
      <c r="FG58" s="1183"/>
      <c r="FH58" s="1183"/>
      <c r="FJ58" s="519">
        <v>40</v>
      </c>
      <c r="FK58" s="1179"/>
      <c r="FL58" s="1180"/>
      <c r="FM58" s="1180"/>
      <c r="FN58" s="1180"/>
      <c r="FO58" s="1180"/>
      <c r="FP58" s="1181"/>
      <c r="FQ58" s="1173"/>
      <c r="FR58" s="1173"/>
      <c r="FS58" s="1173"/>
      <c r="FT58" s="1173"/>
      <c r="FU58" s="1173"/>
      <c r="FV58" s="1173"/>
      <c r="FW58" s="1173"/>
      <c r="FX58" s="1173"/>
      <c r="FY58" s="1173"/>
      <c r="FZ58" s="1173"/>
      <c r="GA58" s="1173"/>
      <c r="GB58" s="1173"/>
      <c r="GC58" s="1173"/>
      <c r="GD58" s="1183"/>
      <c r="GE58" s="1183"/>
      <c r="GH58" s="519">
        <v>48</v>
      </c>
      <c r="GI58" s="1179"/>
      <c r="GJ58" s="1180"/>
      <c r="GK58" s="1180"/>
      <c r="GL58" s="1180"/>
      <c r="GM58" s="1180"/>
      <c r="GN58" s="1181"/>
      <c r="GO58" s="1173"/>
      <c r="GP58" s="1173"/>
      <c r="GQ58" s="1173"/>
      <c r="GR58" s="1173"/>
      <c r="GS58" s="1173"/>
      <c r="GT58" s="1173"/>
      <c r="GU58" s="1173"/>
      <c r="GV58" s="1173"/>
      <c r="GW58" s="1173"/>
      <c r="GX58" s="1173"/>
      <c r="GY58" s="1173"/>
      <c r="GZ58" s="1173"/>
      <c r="HA58" s="1173"/>
      <c r="HB58" s="1183"/>
      <c r="HC58" s="1183"/>
      <c r="HE58" s="519">
        <v>40</v>
      </c>
      <c r="HF58" s="1179"/>
      <c r="HG58" s="1180"/>
      <c r="HH58" s="1180"/>
      <c r="HI58" s="1180"/>
      <c r="HJ58" s="1180"/>
      <c r="HK58" s="1181"/>
      <c r="HL58" s="1173"/>
      <c r="HM58" s="1173"/>
      <c r="HN58" s="1173"/>
      <c r="HO58" s="1173"/>
      <c r="HP58" s="1173"/>
      <c r="HQ58" s="1173"/>
      <c r="HR58" s="1173"/>
      <c r="HS58" s="1173"/>
      <c r="HT58" s="1173"/>
      <c r="HU58" s="1173"/>
      <c r="HV58" s="1173"/>
      <c r="HW58" s="1173"/>
      <c r="HX58" s="1173"/>
      <c r="HY58" s="1183"/>
      <c r="HZ58" s="1183"/>
    </row>
    <row r="59" spans="2:234" ht="17.149999999999999" customHeight="1" x14ac:dyDescent="0.25">
      <c r="B59" s="518">
        <v>49</v>
      </c>
      <c r="C59" s="1174"/>
      <c r="D59" s="1175"/>
      <c r="E59" s="1175"/>
      <c r="F59" s="1175"/>
      <c r="G59" s="1175"/>
      <c r="H59" s="1176"/>
      <c r="I59" s="1185"/>
      <c r="J59" s="1185"/>
      <c r="K59" s="1185"/>
      <c r="L59" s="1185"/>
      <c r="M59" s="1185"/>
      <c r="N59" s="1185"/>
      <c r="O59" s="1185"/>
      <c r="P59" s="1185"/>
      <c r="Q59" s="1185"/>
      <c r="R59" s="1185"/>
      <c r="S59" s="1185"/>
      <c r="T59" s="1185"/>
      <c r="U59" s="1185"/>
      <c r="V59" s="1178"/>
      <c r="W59" s="1178"/>
      <c r="Y59" s="518">
        <v>41</v>
      </c>
      <c r="Z59" s="1174"/>
      <c r="AA59" s="1175"/>
      <c r="AB59" s="1175"/>
      <c r="AC59" s="1175"/>
      <c r="AD59" s="1175"/>
      <c r="AE59" s="1176"/>
      <c r="AF59" s="1185"/>
      <c r="AG59" s="1185"/>
      <c r="AH59" s="1185"/>
      <c r="AI59" s="1185"/>
      <c r="AJ59" s="1185"/>
      <c r="AK59" s="1185"/>
      <c r="AL59" s="1185"/>
      <c r="AM59" s="1185"/>
      <c r="AN59" s="1185"/>
      <c r="AO59" s="1185"/>
      <c r="AP59" s="1185"/>
      <c r="AQ59" s="1185"/>
      <c r="AR59" s="1185"/>
      <c r="AS59" s="1178"/>
      <c r="AT59" s="1178"/>
      <c r="AW59" s="518">
        <v>49</v>
      </c>
      <c r="AX59" s="1174"/>
      <c r="AY59" s="1175"/>
      <c r="AZ59" s="1175"/>
      <c r="BA59" s="1175"/>
      <c r="BB59" s="1175"/>
      <c r="BC59" s="1176"/>
      <c r="BD59" s="1185"/>
      <c r="BE59" s="1185"/>
      <c r="BF59" s="1185"/>
      <c r="BG59" s="1185"/>
      <c r="BH59" s="1185"/>
      <c r="BI59" s="1185"/>
      <c r="BJ59" s="1185"/>
      <c r="BK59" s="1185"/>
      <c r="BL59" s="1185"/>
      <c r="BM59" s="1185"/>
      <c r="BN59" s="1185"/>
      <c r="BO59" s="1185"/>
      <c r="BP59" s="1185"/>
      <c r="BQ59" s="1178"/>
      <c r="BR59" s="1178"/>
      <c r="BT59" s="518">
        <v>41</v>
      </c>
      <c r="BU59" s="1174"/>
      <c r="BV59" s="1175"/>
      <c r="BW59" s="1175"/>
      <c r="BX59" s="1175"/>
      <c r="BY59" s="1175"/>
      <c r="BZ59" s="1176"/>
      <c r="CA59" s="1185"/>
      <c r="CB59" s="1185"/>
      <c r="CC59" s="1185"/>
      <c r="CD59" s="1185"/>
      <c r="CE59" s="1185"/>
      <c r="CF59" s="1185"/>
      <c r="CG59" s="1185"/>
      <c r="CH59" s="1185"/>
      <c r="CI59" s="1185"/>
      <c r="CJ59" s="1185"/>
      <c r="CK59" s="1185"/>
      <c r="CL59" s="1185"/>
      <c r="CM59" s="1185"/>
      <c r="CN59" s="1178"/>
      <c r="CO59" s="1178"/>
      <c r="CR59" s="518">
        <v>49</v>
      </c>
      <c r="CS59" s="1174"/>
      <c r="CT59" s="1175"/>
      <c r="CU59" s="1175"/>
      <c r="CV59" s="1175"/>
      <c r="CW59" s="1175"/>
      <c r="CX59" s="1176"/>
      <c r="CY59" s="1185"/>
      <c r="CZ59" s="1185"/>
      <c r="DA59" s="1185"/>
      <c r="DB59" s="1185"/>
      <c r="DC59" s="1185"/>
      <c r="DD59" s="1185"/>
      <c r="DE59" s="1185"/>
      <c r="DF59" s="1185"/>
      <c r="DG59" s="1185"/>
      <c r="DH59" s="1185"/>
      <c r="DI59" s="1185"/>
      <c r="DJ59" s="1185"/>
      <c r="DK59" s="1185"/>
      <c r="DL59" s="1178"/>
      <c r="DM59" s="1178"/>
      <c r="DO59" s="518">
        <v>41</v>
      </c>
      <c r="DP59" s="1174"/>
      <c r="DQ59" s="1175"/>
      <c r="DR59" s="1175"/>
      <c r="DS59" s="1175"/>
      <c r="DT59" s="1175"/>
      <c r="DU59" s="1176"/>
      <c r="DV59" s="1185"/>
      <c r="DW59" s="1185"/>
      <c r="DX59" s="1185"/>
      <c r="DY59" s="1185"/>
      <c r="DZ59" s="1185"/>
      <c r="EA59" s="1185"/>
      <c r="EB59" s="1185"/>
      <c r="EC59" s="1185"/>
      <c r="ED59" s="1185"/>
      <c r="EE59" s="1185"/>
      <c r="EF59" s="1185"/>
      <c r="EG59" s="1185"/>
      <c r="EH59" s="1185"/>
      <c r="EI59" s="1178"/>
      <c r="EJ59" s="1178"/>
      <c r="EM59" s="518">
        <v>49</v>
      </c>
      <c r="EN59" s="1174"/>
      <c r="EO59" s="1175"/>
      <c r="EP59" s="1175"/>
      <c r="EQ59" s="1175"/>
      <c r="ER59" s="1175"/>
      <c r="ES59" s="1176"/>
      <c r="ET59" s="1185"/>
      <c r="EU59" s="1185"/>
      <c r="EV59" s="1185"/>
      <c r="EW59" s="1185"/>
      <c r="EX59" s="1185"/>
      <c r="EY59" s="1185"/>
      <c r="EZ59" s="1185"/>
      <c r="FA59" s="1185"/>
      <c r="FB59" s="1185"/>
      <c r="FC59" s="1185"/>
      <c r="FD59" s="1185"/>
      <c r="FE59" s="1185"/>
      <c r="FF59" s="1185"/>
      <c r="FG59" s="1178"/>
      <c r="FH59" s="1178"/>
      <c r="FJ59" s="518">
        <v>41</v>
      </c>
      <c r="FK59" s="1174"/>
      <c r="FL59" s="1175"/>
      <c r="FM59" s="1175"/>
      <c r="FN59" s="1175"/>
      <c r="FO59" s="1175"/>
      <c r="FP59" s="1176"/>
      <c r="FQ59" s="1185"/>
      <c r="FR59" s="1185"/>
      <c r="FS59" s="1185"/>
      <c r="FT59" s="1185"/>
      <c r="FU59" s="1185"/>
      <c r="FV59" s="1185"/>
      <c r="FW59" s="1185"/>
      <c r="FX59" s="1185"/>
      <c r="FY59" s="1185"/>
      <c r="FZ59" s="1185"/>
      <c r="GA59" s="1185"/>
      <c r="GB59" s="1185"/>
      <c r="GC59" s="1185"/>
      <c r="GD59" s="1178"/>
      <c r="GE59" s="1178"/>
      <c r="GH59" s="518">
        <v>49</v>
      </c>
      <c r="GI59" s="1174"/>
      <c r="GJ59" s="1175"/>
      <c r="GK59" s="1175"/>
      <c r="GL59" s="1175"/>
      <c r="GM59" s="1175"/>
      <c r="GN59" s="1176"/>
      <c r="GO59" s="1185"/>
      <c r="GP59" s="1185"/>
      <c r="GQ59" s="1185"/>
      <c r="GR59" s="1185"/>
      <c r="GS59" s="1185"/>
      <c r="GT59" s="1185"/>
      <c r="GU59" s="1185"/>
      <c r="GV59" s="1185"/>
      <c r="GW59" s="1185"/>
      <c r="GX59" s="1185"/>
      <c r="GY59" s="1185"/>
      <c r="GZ59" s="1185"/>
      <c r="HA59" s="1185"/>
      <c r="HB59" s="1178"/>
      <c r="HC59" s="1178"/>
      <c r="HE59" s="518">
        <v>41</v>
      </c>
      <c r="HF59" s="1174"/>
      <c r="HG59" s="1175"/>
      <c r="HH59" s="1175"/>
      <c r="HI59" s="1175"/>
      <c r="HJ59" s="1175"/>
      <c r="HK59" s="1176"/>
      <c r="HL59" s="1185"/>
      <c r="HM59" s="1185"/>
      <c r="HN59" s="1185"/>
      <c r="HO59" s="1185"/>
      <c r="HP59" s="1185"/>
      <c r="HQ59" s="1185"/>
      <c r="HR59" s="1185"/>
      <c r="HS59" s="1185"/>
      <c r="HT59" s="1185"/>
      <c r="HU59" s="1185"/>
      <c r="HV59" s="1185"/>
      <c r="HW59" s="1185"/>
      <c r="HX59" s="1185"/>
      <c r="HY59" s="1178"/>
      <c r="HZ59" s="1178"/>
    </row>
    <row r="60" spans="2:234" ht="17.149999999999999" customHeight="1" x14ac:dyDescent="0.25">
      <c r="B60" s="519">
        <v>50</v>
      </c>
      <c r="C60" s="1179"/>
      <c r="D60" s="1180"/>
      <c r="E60" s="1180"/>
      <c r="F60" s="1180"/>
      <c r="G60" s="1180"/>
      <c r="H60" s="1181"/>
      <c r="I60" s="1173"/>
      <c r="J60" s="1173"/>
      <c r="K60" s="1173"/>
      <c r="L60" s="1173"/>
      <c r="M60" s="1173"/>
      <c r="N60" s="1173"/>
      <c r="O60" s="1173"/>
      <c r="P60" s="1173"/>
      <c r="Q60" s="1173"/>
      <c r="R60" s="1173"/>
      <c r="S60" s="1173"/>
      <c r="T60" s="1173"/>
      <c r="U60" s="1173"/>
      <c r="V60" s="1183"/>
      <c r="W60" s="1183"/>
      <c r="Y60" s="519">
        <v>42</v>
      </c>
      <c r="Z60" s="1179"/>
      <c r="AA60" s="1180"/>
      <c r="AB60" s="1180"/>
      <c r="AC60" s="1180"/>
      <c r="AD60" s="1180"/>
      <c r="AE60" s="1181"/>
      <c r="AF60" s="1173"/>
      <c r="AG60" s="1173"/>
      <c r="AH60" s="1173"/>
      <c r="AI60" s="1173"/>
      <c r="AJ60" s="1173"/>
      <c r="AK60" s="1173"/>
      <c r="AL60" s="1173"/>
      <c r="AM60" s="1173"/>
      <c r="AN60" s="1173"/>
      <c r="AO60" s="1173"/>
      <c r="AP60" s="1173"/>
      <c r="AQ60" s="1173"/>
      <c r="AR60" s="1173"/>
      <c r="AS60" s="1183"/>
      <c r="AT60" s="1183"/>
      <c r="AW60" s="519">
        <v>50</v>
      </c>
      <c r="AX60" s="1179"/>
      <c r="AY60" s="1180"/>
      <c r="AZ60" s="1180"/>
      <c r="BA60" s="1180"/>
      <c r="BB60" s="1180"/>
      <c r="BC60" s="1181"/>
      <c r="BD60" s="1173"/>
      <c r="BE60" s="1173"/>
      <c r="BF60" s="1173"/>
      <c r="BG60" s="1173"/>
      <c r="BH60" s="1173"/>
      <c r="BI60" s="1173"/>
      <c r="BJ60" s="1173"/>
      <c r="BK60" s="1173"/>
      <c r="BL60" s="1173"/>
      <c r="BM60" s="1173"/>
      <c r="BN60" s="1173"/>
      <c r="BO60" s="1173"/>
      <c r="BP60" s="1173"/>
      <c r="BQ60" s="1183"/>
      <c r="BR60" s="1183"/>
      <c r="BT60" s="519">
        <v>42</v>
      </c>
      <c r="BU60" s="1179"/>
      <c r="BV60" s="1180"/>
      <c r="BW60" s="1180"/>
      <c r="BX60" s="1180"/>
      <c r="BY60" s="1180"/>
      <c r="BZ60" s="1181"/>
      <c r="CA60" s="1173"/>
      <c r="CB60" s="1173"/>
      <c r="CC60" s="1173"/>
      <c r="CD60" s="1173"/>
      <c r="CE60" s="1173"/>
      <c r="CF60" s="1173"/>
      <c r="CG60" s="1173"/>
      <c r="CH60" s="1173"/>
      <c r="CI60" s="1173"/>
      <c r="CJ60" s="1173"/>
      <c r="CK60" s="1173"/>
      <c r="CL60" s="1173"/>
      <c r="CM60" s="1173"/>
      <c r="CN60" s="1183"/>
      <c r="CO60" s="1183"/>
      <c r="CR60" s="519">
        <v>50</v>
      </c>
      <c r="CS60" s="1179"/>
      <c r="CT60" s="1180"/>
      <c r="CU60" s="1180"/>
      <c r="CV60" s="1180"/>
      <c r="CW60" s="1180"/>
      <c r="CX60" s="1181"/>
      <c r="CY60" s="1173"/>
      <c r="CZ60" s="1173"/>
      <c r="DA60" s="1173"/>
      <c r="DB60" s="1173"/>
      <c r="DC60" s="1173"/>
      <c r="DD60" s="1173"/>
      <c r="DE60" s="1173"/>
      <c r="DF60" s="1173"/>
      <c r="DG60" s="1173"/>
      <c r="DH60" s="1173"/>
      <c r="DI60" s="1173"/>
      <c r="DJ60" s="1173"/>
      <c r="DK60" s="1173"/>
      <c r="DL60" s="1183"/>
      <c r="DM60" s="1183"/>
      <c r="DO60" s="519">
        <v>42</v>
      </c>
      <c r="DP60" s="1179"/>
      <c r="DQ60" s="1180"/>
      <c r="DR60" s="1180"/>
      <c r="DS60" s="1180"/>
      <c r="DT60" s="1180"/>
      <c r="DU60" s="1181"/>
      <c r="DV60" s="1173"/>
      <c r="DW60" s="1173"/>
      <c r="DX60" s="1173"/>
      <c r="DY60" s="1173"/>
      <c r="DZ60" s="1173"/>
      <c r="EA60" s="1173"/>
      <c r="EB60" s="1173"/>
      <c r="EC60" s="1173"/>
      <c r="ED60" s="1173"/>
      <c r="EE60" s="1173"/>
      <c r="EF60" s="1173"/>
      <c r="EG60" s="1173"/>
      <c r="EH60" s="1173"/>
      <c r="EI60" s="1183"/>
      <c r="EJ60" s="1183"/>
      <c r="EM60" s="519">
        <v>50</v>
      </c>
      <c r="EN60" s="1179"/>
      <c r="EO60" s="1180"/>
      <c r="EP60" s="1180"/>
      <c r="EQ60" s="1180"/>
      <c r="ER60" s="1180"/>
      <c r="ES60" s="1181"/>
      <c r="ET60" s="1173"/>
      <c r="EU60" s="1173"/>
      <c r="EV60" s="1173"/>
      <c r="EW60" s="1173"/>
      <c r="EX60" s="1173"/>
      <c r="EY60" s="1173"/>
      <c r="EZ60" s="1173"/>
      <c r="FA60" s="1173"/>
      <c r="FB60" s="1173"/>
      <c r="FC60" s="1173"/>
      <c r="FD60" s="1173"/>
      <c r="FE60" s="1173"/>
      <c r="FF60" s="1173"/>
      <c r="FG60" s="1183"/>
      <c r="FH60" s="1183"/>
      <c r="FJ60" s="519">
        <v>42</v>
      </c>
      <c r="FK60" s="1179"/>
      <c r="FL60" s="1180"/>
      <c r="FM60" s="1180"/>
      <c r="FN60" s="1180"/>
      <c r="FO60" s="1180"/>
      <c r="FP60" s="1181"/>
      <c r="FQ60" s="1173"/>
      <c r="FR60" s="1173"/>
      <c r="FS60" s="1173"/>
      <c r="FT60" s="1173"/>
      <c r="FU60" s="1173"/>
      <c r="FV60" s="1173"/>
      <c r="FW60" s="1173"/>
      <c r="FX60" s="1173"/>
      <c r="FY60" s="1173"/>
      <c r="FZ60" s="1173"/>
      <c r="GA60" s="1173"/>
      <c r="GB60" s="1173"/>
      <c r="GC60" s="1173"/>
      <c r="GD60" s="1183"/>
      <c r="GE60" s="1183"/>
      <c r="GH60" s="519">
        <v>50</v>
      </c>
      <c r="GI60" s="1179"/>
      <c r="GJ60" s="1180"/>
      <c r="GK60" s="1180"/>
      <c r="GL60" s="1180"/>
      <c r="GM60" s="1180"/>
      <c r="GN60" s="1181"/>
      <c r="GO60" s="1173"/>
      <c r="GP60" s="1173"/>
      <c r="GQ60" s="1173"/>
      <c r="GR60" s="1173"/>
      <c r="GS60" s="1173"/>
      <c r="GT60" s="1173"/>
      <c r="GU60" s="1173"/>
      <c r="GV60" s="1173"/>
      <c r="GW60" s="1173"/>
      <c r="GX60" s="1173"/>
      <c r="GY60" s="1173"/>
      <c r="GZ60" s="1173"/>
      <c r="HA60" s="1173"/>
      <c r="HB60" s="1183"/>
      <c r="HC60" s="1183"/>
      <c r="HE60" s="519">
        <v>42</v>
      </c>
      <c r="HF60" s="1179"/>
      <c r="HG60" s="1180"/>
      <c r="HH60" s="1180"/>
      <c r="HI60" s="1180"/>
      <c r="HJ60" s="1180"/>
      <c r="HK60" s="1181"/>
      <c r="HL60" s="1173"/>
      <c r="HM60" s="1173"/>
      <c r="HN60" s="1173"/>
      <c r="HO60" s="1173"/>
      <c r="HP60" s="1173"/>
      <c r="HQ60" s="1173"/>
      <c r="HR60" s="1173"/>
      <c r="HS60" s="1173"/>
      <c r="HT60" s="1173"/>
      <c r="HU60" s="1173"/>
      <c r="HV60" s="1173"/>
      <c r="HW60" s="1173"/>
      <c r="HX60" s="1173"/>
      <c r="HY60" s="1183"/>
      <c r="HZ60" s="1183"/>
    </row>
    <row r="61" spans="2:234" ht="17.149999999999999" customHeight="1" x14ac:dyDescent="0.25">
      <c r="B61" s="518">
        <v>51</v>
      </c>
      <c r="C61" s="1174"/>
      <c r="D61" s="1175"/>
      <c r="E61" s="1175"/>
      <c r="F61" s="1175"/>
      <c r="G61" s="1175"/>
      <c r="H61" s="1176"/>
      <c r="I61" s="1185"/>
      <c r="J61" s="1185"/>
      <c r="K61" s="1185"/>
      <c r="L61" s="1185"/>
      <c r="M61" s="1185"/>
      <c r="N61" s="1185"/>
      <c r="O61" s="1185"/>
      <c r="P61" s="1185"/>
      <c r="Q61" s="1185"/>
      <c r="R61" s="1185"/>
      <c r="S61" s="1185"/>
      <c r="T61" s="1185"/>
      <c r="U61" s="1185"/>
      <c r="V61" s="1178"/>
      <c r="W61" s="1178"/>
      <c r="Y61" s="518">
        <v>43</v>
      </c>
      <c r="Z61" s="1174"/>
      <c r="AA61" s="1175"/>
      <c r="AB61" s="1175"/>
      <c r="AC61" s="1175"/>
      <c r="AD61" s="1175"/>
      <c r="AE61" s="1176"/>
      <c r="AF61" s="1185"/>
      <c r="AG61" s="1185"/>
      <c r="AH61" s="1185"/>
      <c r="AI61" s="1185"/>
      <c r="AJ61" s="1185"/>
      <c r="AK61" s="1185"/>
      <c r="AL61" s="1185"/>
      <c r="AM61" s="1185"/>
      <c r="AN61" s="1185"/>
      <c r="AO61" s="1185"/>
      <c r="AP61" s="1185"/>
      <c r="AQ61" s="1185"/>
      <c r="AR61" s="1185"/>
      <c r="AS61" s="1178"/>
      <c r="AT61" s="1178"/>
      <c r="AW61" s="518">
        <v>51</v>
      </c>
      <c r="AX61" s="1174"/>
      <c r="AY61" s="1175"/>
      <c r="AZ61" s="1175"/>
      <c r="BA61" s="1175"/>
      <c r="BB61" s="1175"/>
      <c r="BC61" s="1176"/>
      <c r="BD61" s="1185"/>
      <c r="BE61" s="1185"/>
      <c r="BF61" s="1185"/>
      <c r="BG61" s="1185"/>
      <c r="BH61" s="1185"/>
      <c r="BI61" s="1185"/>
      <c r="BJ61" s="1185"/>
      <c r="BK61" s="1185"/>
      <c r="BL61" s="1185"/>
      <c r="BM61" s="1185"/>
      <c r="BN61" s="1185"/>
      <c r="BO61" s="1185"/>
      <c r="BP61" s="1185"/>
      <c r="BQ61" s="1178"/>
      <c r="BR61" s="1178"/>
      <c r="BT61" s="518">
        <v>43</v>
      </c>
      <c r="BU61" s="1174"/>
      <c r="BV61" s="1175"/>
      <c r="BW61" s="1175"/>
      <c r="BX61" s="1175"/>
      <c r="BY61" s="1175"/>
      <c r="BZ61" s="1176"/>
      <c r="CA61" s="1185"/>
      <c r="CB61" s="1185"/>
      <c r="CC61" s="1185"/>
      <c r="CD61" s="1185"/>
      <c r="CE61" s="1185"/>
      <c r="CF61" s="1185"/>
      <c r="CG61" s="1185"/>
      <c r="CH61" s="1185"/>
      <c r="CI61" s="1185"/>
      <c r="CJ61" s="1185"/>
      <c r="CK61" s="1185"/>
      <c r="CL61" s="1185"/>
      <c r="CM61" s="1185"/>
      <c r="CN61" s="1178"/>
      <c r="CO61" s="1178"/>
      <c r="CR61" s="518">
        <v>51</v>
      </c>
      <c r="CS61" s="1174"/>
      <c r="CT61" s="1175"/>
      <c r="CU61" s="1175"/>
      <c r="CV61" s="1175"/>
      <c r="CW61" s="1175"/>
      <c r="CX61" s="1176"/>
      <c r="CY61" s="1185"/>
      <c r="CZ61" s="1185"/>
      <c r="DA61" s="1185"/>
      <c r="DB61" s="1185"/>
      <c r="DC61" s="1185"/>
      <c r="DD61" s="1185"/>
      <c r="DE61" s="1185"/>
      <c r="DF61" s="1185"/>
      <c r="DG61" s="1185"/>
      <c r="DH61" s="1185"/>
      <c r="DI61" s="1185"/>
      <c r="DJ61" s="1185"/>
      <c r="DK61" s="1185"/>
      <c r="DL61" s="1178"/>
      <c r="DM61" s="1178"/>
      <c r="DO61" s="518">
        <v>43</v>
      </c>
      <c r="DP61" s="1174"/>
      <c r="DQ61" s="1175"/>
      <c r="DR61" s="1175"/>
      <c r="DS61" s="1175"/>
      <c r="DT61" s="1175"/>
      <c r="DU61" s="1176"/>
      <c r="DV61" s="1185"/>
      <c r="DW61" s="1185"/>
      <c r="DX61" s="1185"/>
      <c r="DY61" s="1185"/>
      <c r="DZ61" s="1185"/>
      <c r="EA61" s="1185"/>
      <c r="EB61" s="1185"/>
      <c r="EC61" s="1185"/>
      <c r="ED61" s="1185"/>
      <c r="EE61" s="1185"/>
      <c r="EF61" s="1185"/>
      <c r="EG61" s="1185"/>
      <c r="EH61" s="1185"/>
      <c r="EI61" s="1178"/>
      <c r="EJ61" s="1178"/>
      <c r="EM61" s="518">
        <v>51</v>
      </c>
      <c r="EN61" s="1174"/>
      <c r="EO61" s="1175"/>
      <c r="EP61" s="1175"/>
      <c r="EQ61" s="1175"/>
      <c r="ER61" s="1175"/>
      <c r="ES61" s="1176"/>
      <c r="ET61" s="1185"/>
      <c r="EU61" s="1185"/>
      <c r="EV61" s="1185"/>
      <c r="EW61" s="1185"/>
      <c r="EX61" s="1185"/>
      <c r="EY61" s="1185"/>
      <c r="EZ61" s="1185"/>
      <c r="FA61" s="1185"/>
      <c r="FB61" s="1185"/>
      <c r="FC61" s="1185"/>
      <c r="FD61" s="1185"/>
      <c r="FE61" s="1185"/>
      <c r="FF61" s="1185"/>
      <c r="FG61" s="1178"/>
      <c r="FH61" s="1178"/>
      <c r="FJ61" s="518">
        <v>43</v>
      </c>
      <c r="FK61" s="1174"/>
      <c r="FL61" s="1175"/>
      <c r="FM61" s="1175"/>
      <c r="FN61" s="1175"/>
      <c r="FO61" s="1175"/>
      <c r="FP61" s="1176"/>
      <c r="FQ61" s="1185"/>
      <c r="FR61" s="1185"/>
      <c r="FS61" s="1185"/>
      <c r="FT61" s="1185"/>
      <c r="FU61" s="1185"/>
      <c r="FV61" s="1185"/>
      <c r="FW61" s="1185"/>
      <c r="FX61" s="1185"/>
      <c r="FY61" s="1185"/>
      <c r="FZ61" s="1185"/>
      <c r="GA61" s="1185"/>
      <c r="GB61" s="1185"/>
      <c r="GC61" s="1185"/>
      <c r="GD61" s="1178"/>
      <c r="GE61" s="1178"/>
      <c r="GH61" s="518">
        <v>51</v>
      </c>
      <c r="GI61" s="1174"/>
      <c r="GJ61" s="1175"/>
      <c r="GK61" s="1175"/>
      <c r="GL61" s="1175"/>
      <c r="GM61" s="1175"/>
      <c r="GN61" s="1176"/>
      <c r="GO61" s="1185"/>
      <c r="GP61" s="1185"/>
      <c r="GQ61" s="1185"/>
      <c r="GR61" s="1185"/>
      <c r="GS61" s="1185"/>
      <c r="GT61" s="1185"/>
      <c r="GU61" s="1185"/>
      <c r="GV61" s="1185"/>
      <c r="GW61" s="1185"/>
      <c r="GX61" s="1185"/>
      <c r="GY61" s="1185"/>
      <c r="GZ61" s="1185"/>
      <c r="HA61" s="1185"/>
      <c r="HB61" s="1178"/>
      <c r="HC61" s="1178"/>
      <c r="HE61" s="518">
        <v>43</v>
      </c>
      <c r="HF61" s="1174"/>
      <c r="HG61" s="1175"/>
      <c r="HH61" s="1175"/>
      <c r="HI61" s="1175"/>
      <c r="HJ61" s="1175"/>
      <c r="HK61" s="1176"/>
      <c r="HL61" s="1185"/>
      <c r="HM61" s="1185"/>
      <c r="HN61" s="1185"/>
      <c r="HO61" s="1185"/>
      <c r="HP61" s="1185"/>
      <c r="HQ61" s="1185"/>
      <c r="HR61" s="1185"/>
      <c r="HS61" s="1185"/>
      <c r="HT61" s="1185"/>
      <c r="HU61" s="1185"/>
      <c r="HV61" s="1185"/>
      <c r="HW61" s="1185"/>
      <c r="HX61" s="1185"/>
      <c r="HY61" s="1178"/>
      <c r="HZ61" s="1178"/>
    </row>
    <row r="62" spans="2:234" ht="17.149999999999999" customHeight="1" x14ac:dyDescent="0.25">
      <c r="B62" s="519">
        <v>52</v>
      </c>
      <c r="C62" s="1179"/>
      <c r="D62" s="1180"/>
      <c r="E62" s="1180"/>
      <c r="F62" s="1180"/>
      <c r="G62" s="1180"/>
      <c r="H62" s="1181"/>
      <c r="I62" s="1173"/>
      <c r="J62" s="1173"/>
      <c r="K62" s="1173"/>
      <c r="L62" s="1173"/>
      <c r="M62" s="1173"/>
      <c r="N62" s="1173"/>
      <c r="O62" s="1173"/>
      <c r="P62" s="1173"/>
      <c r="Q62" s="1173"/>
      <c r="R62" s="1173"/>
      <c r="S62" s="1173"/>
      <c r="T62" s="1173"/>
      <c r="U62" s="1173"/>
      <c r="V62" s="1183"/>
      <c r="W62" s="1183"/>
      <c r="Y62" s="519">
        <v>44</v>
      </c>
      <c r="Z62" s="1179"/>
      <c r="AA62" s="1180"/>
      <c r="AB62" s="1180"/>
      <c r="AC62" s="1180"/>
      <c r="AD62" s="1180"/>
      <c r="AE62" s="1181"/>
      <c r="AF62" s="1173"/>
      <c r="AG62" s="1173"/>
      <c r="AH62" s="1173"/>
      <c r="AI62" s="1173"/>
      <c r="AJ62" s="1173"/>
      <c r="AK62" s="1173"/>
      <c r="AL62" s="1173"/>
      <c r="AM62" s="1173"/>
      <c r="AN62" s="1173"/>
      <c r="AO62" s="1173"/>
      <c r="AP62" s="1173"/>
      <c r="AQ62" s="1173"/>
      <c r="AR62" s="1173"/>
      <c r="AS62" s="1183"/>
      <c r="AT62" s="1183"/>
      <c r="AW62" s="519">
        <v>52</v>
      </c>
      <c r="AX62" s="1179"/>
      <c r="AY62" s="1180"/>
      <c r="AZ62" s="1180"/>
      <c r="BA62" s="1180"/>
      <c r="BB62" s="1180"/>
      <c r="BC62" s="1181"/>
      <c r="BD62" s="1173"/>
      <c r="BE62" s="1173"/>
      <c r="BF62" s="1173"/>
      <c r="BG62" s="1173"/>
      <c r="BH62" s="1173"/>
      <c r="BI62" s="1173"/>
      <c r="BJ62" s="1173"/>
      <c r="BK62" s="1173"/>
      <c r="BL62" s="1173"/>
      <c r="BM62" s="1173"/>
      <c r="BN62" s="1173"/>
      <c r="BO62" s="1173"/>
      <c r="BP62" s="1173"/>
      <c r="BQ62" s="1183"/>
      <c r="BR62" s="1183"/>
      <c r="BT62" s="519">
        <v>44</v>
      </c>
      <c r="BU62" s="1179"/>
      <c r="BV62" s="1180"/>
      <c r="BW62" s="1180"/>
      <c r="BX62" s="1180"/>
      <c r="BY62" s="1180"/>
      <c r="BZ62" s="1181"/>
      <c r="CA62" s="1173"/>
      <c r="CB62" s="1173"/>
      <c r="CC62" s="1173"/>
      <c r="CD62" s="1173"/>
      <c r="CE62" s="1173"/>
      <c r="CF62" s="1173"/>
      <c r="CG62" s="1173"/>
      <c r="CH62" s="1173"/>
      <c r="CI62" s="1173"/>
      <c r="CJ62" s="1173"/>
      <c r="CK62" s="1173"/>
      <c r="CL62" s="1173"/>
      <c r="CM62" s="1173"/>
      <c r="CN62" s="1183"/>
      <c r="CO62" s="1183"/>
      <c r="CR62" s="519">
        <v>52</v>
      </c>
      <c r="CS62" s="1179"/>
      <c r="CT62" s="1180"/>
      <c r="CU62" s="1180"/>
      <c r="CV62" s="1180"/>
      <c r="CW62" s="1180"/>
      <c r="CX62" s="1181"/>
      <c r="CY62" s="1173"/>
      <c r="CZ62" s="1173"/>
      <c r="DA62" s="1173"/>
      <c r="DB62" s="1173"/>
      <c r="DC62" s="1173"/>
      <c r="DD62" s="1173"/>
      <c r="DE62" s="1173"/>
      <c r="DF62" s="1173"/>
      <c r="DG62" s="1173"/>
      <c r="DH62" s="1173"/>
      <c r="DI62" s="1173"/>
      <c r="DJ62" s="1173"/>
      <c r="DK62" s="1173"/>
      <c r="DL62" s="1183"/>
      <c r="DM62" s="1183"/>
      <c r="DO62" s="519">
        <v>44</v>
      </c>
      <c r="DP62" s="1179"/>
      <c r="DQ62" s="1180"/>
      <c r="DR62" s="1180"/>
      <c r="DS62" s="1180"/>
      <c r="DT62" s="1180"/>
      <c r="DU62" s="1181"/>
      <c r="DV62" s="1173"/>
      <c r="DW62" s="1173"/>
      <c r="DX62" s="1173"/>
      <c r="DY62" s="1173"/>
      <c r="DZ62" s="1173"/>
      <c r="EA62" s="1173"/>
      <c r="EB62" s="1173"/>
      <c r="EC62" s="1173"/>
      <c r="ED62" s="1173"/>
      <c r="EE62" s="1173"/>
      <c r="EF62" s="1173"/>
      <c r="EG62" s="1173"/>
      <c r="EH62" s="1173"/>
      <c r="EI62" s="1183"/>
      <c r="EJ62" s="1183"/>
      <c r="EM62" s="519">
        <v>52</v>
      </c>
      <c r="EN62" s="1179"/>
      <c r="EO62" s="1180"/>
      <c r="EP62" s="1180"/>
      <c r="EQ62" s="1180"/>
      <c r="ER62" s="1180"/>
      <c r="ES62" s="1181"/>
      <c r="ET62" s="1173"/>
      <c r="EU62" s="1173"/>
      <c r="EV62" s="1173"/>
      <c r="EW62" s="1173"/>
      <c r="EX62" s="1173"/>
      <c r="EY62" s="1173"/>
      <c r="EZ62" s="1173"/>
      <c r="FA62" s="1173"/>
      <c r="FB62" s="1173"/>
      <c r="FC62" s="1173"/>
      <c r="FD62" s="1173"/>
      <c r="FE62" s="1173"/>
      <c r="FF62" s="1173"/>
      <c r="FG62" s="1183"/>
      <c r="FH62" s="1183"/>
      <c r="FJ62" s="519">
        <v>44</v>
      </c>
      <c r="FK62" s="1179"/>
      <c r="FL62" s="1180"/>
      <c r="FM62" s="1180"/>
      <c r="FN62" s="1180"/>
      <c r="FO62" s="1180"/>
      <c r="FP62" s="1181"/>
      <c r="FQ62" s="1173"/>
      <c r="FR62" s="1173"/>
      <c r="FS62" s="1173"/>
      <c r="FT62" s="1173"/>
      <c r="FU62" s="1173"/>
      <c r="FV62" s="1173"/>
      <c r="FW62" s="1173"/>
      <c r="FX62" s="1173"/>
      <c r="FY62" s="1173"/>
      <c r="FZ62" s="1173"/>
      <c r="GA62" s="1173"/>
      <c r="GB62" s="1173"/>
      <c r="GC62" s="1173"/>
      <c r="GD62" s="1183"/>
      <c r="GE62" s="1183"/>
      <c r="GH62" s="519">
        <v>52</v>
      </c>
      <c r="GI62" s="1179"/>
      <c r="GJ62" s="1180"/>
      <c r="GK62" s="1180"/>
      <c r="GL62" s="1180"/>
      <c r="GM62" s="1180"/>
      <c r="GN62" s="1181"/>
      <c r="GO62" s="1173"/>
      <c r="GP62" s="1173"/>
      <c r="GQ62" s="1173"/>
      <c r="GR62" s="1173"/>
      <c r="GS62" s="1173"/>
      <c r="GT62" s="1173"/>
      <c r="GU62" s="1173"/>
      <c r="GV62" s="1173"/>
      <c r="GW62" s="1173"/>
      <c r="GX62" s="1173"/>
      <c r="GY62" s="1173"/>
      <c r="GZ62" s="1173"/>
      <c r="HA62" s="1173"/>
      <c r="HB62" s="1183"/>
      <c r="HC62" s="1183"/>
      <c r="HE62" s="519">
        <v>44</v>
      </c>
      <c r="HF62" s="1179"/>
      <c r="HG62" s="1180"/>
      <c r="HH62" s="1180"/>
      <c r="HI62" s="1180"/>
      <c r="HJ62" s="1180"/>
      <c r="HK62" s="1181"/>
      <c r="HL62" s="1173"/>
      <c r="HM62" s="1173"/>
      <c r="HN62" s="1173"/>
      <c r="HO62" s="1173"/>
      <c r="HP62" s="1173"/>
      <c r="HQ62" s="1173"/>
      <c r="HR62" s="1173"/>
      <c r="HS62" s="1173"/>
      <c r="HT62" s="1173"/>
      <c r="HU62" s="1173"/>
      <c r="HV62" s="1173"/>
      <c r="HW62" s="1173"/>
      <c r="HX62" s="1173"/>
      <c r="HY62" s="1183"/>
      <c r="HZ62" s="1183"/>
    </row>
    <row r="63" spans="2:234" ht="17.149999999999999" customHeight="1" x14ac:dyDescent="0.25">
      <c r="B63" s="518">
        <v>53</v>
      </c>
      <c r="C63" s="1174"/>
      <c r="D63" s="1175"/>
      <c r="E63" s="1175"/>
      <c r="F63" s="1175"/>
      <c r="G63" s="1175"/>
      <c r="H63" s="1176"/>
      <c r="I63" s="1185"/>
      <c r="J63" s="1185"/>
      <c r="K63" s="1185"/>
      <c r="L63" s="1185"/>
      <c r="M63" s="1185"/>
      <c r="N63" s="1185"/>
      <c r="O63" s="1185"/>
      <c r="P63" s="1185"/>
      <c r="Q63" s="1185"/>
      <c r="R63" s="1185"/>
      <c r="S63" s="1185"/>
      <c r="T63" s="1185"/>
      <c r="U63" s="1185"/>
      <c r="V63" s="1178"/>
      <c r="W63" s="1178"/>
      <c r="Y63" s="518">
        <v>45</v>
      </c>
      <c r="Z63" s="1174"/>
      <c r="AA63" s="1175"/>
      <c r="AB63" s="1175"/>
      <c r="AC63" s="1175"/>
      <c r="AD63" s="1175"/>
      <c r="AE63" s="1176"/>
      <c r="AF63" s="1185"/>
      <c r="AG63" s="1185"/>
      <c r="AH63" s="1185"/>
      <c r="AI63" s="1185"/>
      <c r="AJ63" s="1185"/>
      <c r="AK63" s="1185"/>
      <c r="AL63" s="1185"/>
      <c r="AM63" s="1185"/>
      <c r="AN63" s="1185"/>
      <c r="AO63" s="1185"/>
      <c r="AP63" s="1185"/>
      <c r="AQ63" s="1185"/>
      <c r="AR63" s="1185"/>
      <c r="AS63" s="1178"/>
      <c r="AT63" s="1178"/>
      <c r="AW63" s="518">
        <v>53</v>
      </c>
      <c r="AX63" s="1174"/>
      <c r="AY63" s="1175"/>
      <c r="AZ63" s="1175"/>
      <c r="BA63" s="1175"/>
      <c r="BB63" s="1175"/>
      <c r="BC63" s="1176"/>
      <c r="BD63" s="1185"/>
      <c r="BE63" s="1185"/>
      <c r="BF63" s="1185"/>
      <c r="BG63" s="1185"/>
      <c r="BH63" s="1185"/>
      <c r="BI63" s="1185"/>
      <c r="BJ63" s="1185"/>
      <c r="BK63" s="1185"/>
      <c r="BL63" s="1185"/>
      <c r="BM63" s="1185"/>
      <c r="BN63" s="1185"/>
      <c r="BO63" s="1185"/>
      <c r="BP63" s="1185"/>
      <c r="BQ63" s="1178"/>
      <c r="BR63" s="1178"/>
      <c r="BT63" s="518">
        <v>45</v>
      </c>
      <c r="BU63" s="1174"/>
      <c r="BV63" s="1175"/>
      <c r="BW63" s="1175"/>
      <c r="BX63" s="1175"/>
      <c r="BY63" s="1175"/>
      <c r="BZ63" s="1176"/>
      <c r="CA63" s="1185"/>
      <c r="CB63" s="1185"/>
      <c r="CC63" s="1185"/>
      <c r="CD63" s="1185"/>
      <c r="CE63" s="1185"/>
      <c r="CF63" s="1185"/>
      <c r="CG63" s="1185"/>
      <c r="CH63" s="1185"/>
      <c r="CI63" s="1185"/>
      <c r="CJ63" s="1185"/>
      <c r="CK63" s="1185"/>
      <c r="CL63" s="1185"/>
      <c r="CM63" s="1185"/>
      <c r="CN63" s="1178"/>
      <c r="CO63" s="1178"/>
      <c r="CR63" s="518">
        <v>53</v>
      </c>
      <c r="CS63" s="1174"/>
      <c r="CT63" s="1175"/>
      <c r="CU63" s="1175"/>
      <c r="CV63" s="1175"/>
      <c r="CW63" s="1175"/>
      <c r="CX63" s="1176"/>
      <c r="CY63" s="1185"/>
      <c r="CZ63" s="1185"/>
      <c r="DA63" s="1185"/>
      <c r="DB63" s="1185"/>
      <c r="DC63" s="1185"/>
      <c r="DD63" s="1185"/>
      <c r="DE63" s="1185"/>
      <c r="DF63" s="1185"/>
      <c r="DG63" s="1185"/>
      <c r="DH63" s="1185"/>
      <c r="DI63" s="1185"/>
      <c r="DJ63" s="1185"/>
      <c r="DK63" s="1185"/>
      <c r="DL63" s="1178"/>
      <c r="DM63" s="1178"/>
      <c r="DO63" s="518">
        <v>45</v>
      </c>
      <c r="DP63" s="1174"/>
      <c r="DQ63" s="1175"/>
      <c r="DR63" s="1175"/>
      <c r="DS63" s="1175"/>
      <c r="DT63" s="1175"/>
      <c r="DU63" s="1176"/>
      <c r="DV63" s="1185"/>
      <c r="DW63" s="1185"/>
      <c r="DX63" s="1185"/>
      <c r="DY63" s="1185"/>
      <c r="DZ63" s="1185"/>
      <c r="EA63" s="1185"/>
      <c r="EB63" s="1185"/>
      <c r="EC63" s="1185"/>
      <c r="ED63" s="1185"/>
      <c r="EE63" s="1185"/>
      <c r="EF63" s="1185"/>
      <c r="EG63" s="1185"/>
      <c r="EH63" s="1185"/>
      <c r="EI63" s="1178"/>
      <c r="EJ63" s="1178"/>
      <c r="EM63" s="518">
        <v>53</v>
      </c>
      <c r="EN63" s="1174"/>
      <c r="EO63" s="1175"/>
      <c r="EP63" s="1175"/>
      <c r="EQ63" s="1175"/>
      <c r="ER63" s="1175"/>
      <c r="ES63" s="1176"/>
      <c r="ET63" s="1185"/>
      <c r="EU63" s="1185"/>
      <c r="EV63" s="1185"/>
      <c r="EW63" s="1185"/>
      <c r="EX63" s="1185"/>
      <c r="EY63" s="1185"/>
      <c r="EZ63" s="1185"/>
      <c r="FA63" s="1185"/>
      <c r="FB63" s="1185"/>
      <c r="FC63" s="1185"/>
      <c r="FD63" s="1185"/>
      <c r="FE63" s="1185"/>
      <c r="FF63" s="1185"/>
      <c r="FG63" s="1178"/>
      <c r="FH63" s="1178"/>
      <c r="FJ63" s="518">
        <v>45</v>
      </c>
      <c r="FK63" s="1174"/>
      <c r="FL63" s="1175"/>
      <c r="FM63" s="1175"/>
      <c r="FN63" s="1175"/>
      <c r="FO63" s="1175"/>
      <c r="FP63" s="1176"/>
      <c r="FQ63" s="1185"/>
      <c r="FR63" s="1185"/>
      <c r="FS63" s="1185"/>
      <c r="FT63" s="1185"/>
      <c r="FU63" s="1185"/>
      <c r="FV63" s="1185"/>
      <c r="FW63" s="1185"/>
      <c r="FX63" s="1185"/>
      <c r="FY63" s="1185"/>
      <c r="FZ63" s="1185"/>
      <c r="GA63" s="1185"/>
      <c r="GB63" s="1185"/>
      <c r="GC63" s="1185"/>
      <c r="GD63" s="1178"/>
      <c r="GE63" s="1178"/>
      <c r="GH63" s="518">
        <v>53</v>
      </c>
      <c r="GI63" s="1174"/>
      <c r="GJ63" s="1175"/>
      <c r="GK63" s="1175"/>
      <c r="GL63" s="1175"/>
      <c r="GM63" s="1175"/>
      <c r="GN63" s="1176"/>
      <c r="GO63" s="1185"/>
      <c r="GP63" s="1185"/>
      <c r="GQ63" s="1185"/>
      <c r="GR63" s="1185"/>
      <c r="GS63" s="1185"/>
      <c r="GT63" s="1185"/>
      <c r="GU63" s="1185"/>
      <c r="GV63" s="1185"/>
      <c r="GW63" s="1185"/>
      <c r="GX63" s="1185"/>
      <c r="GY63" s="1185"/>
      <c r="GZ63" s="1185"/>
      <c r="HA63" s="1185"/>
      <c r="HB63" s="1178"/>
      <c r="HC63" s="1178"/>
      <c r="HE63" s="518">
        <v>45</v>
      </c>
      <c r="HF63" s="1174"/>
      <c r="HG63" s="1175"/>
      <c r="HH63" s="1175"/>
      <c r="HI63" s="1175"/>
      <c r="HJ63" s="1175"/>
      <c r="HK63" s="1176"/>
      <c r="HL63" s="1185"/>
      <c r="HM63" s="1185"/>
      <c r="HN63" s="1185"/>
      <c r="HO63" s="1185"/>
      <c r="HP63" s="1185"/>
      <c r="HQ63" s="1185"/>
      <c r="HR63" s="1185"/>
      <c r="HS63" s="1185"/>
      <c r="HT63" s="1185"/>
      <c r="HU63" s="1185"/>
      <c r="HV63" s="1185"/>
      <c r="HW63" s="1185"/>
      <c r="HX63" s="1185"/>
      <c r="HY63" s="1178"/>
      <c r="HZ63" s="1178"/>
    </row>
    <row r="64" spans="2:234" ht="17.149999999999999" customHeight="1" x14ac:dyDescent="0.25">
      <c r="B64" s="519">
        <v>54</v>
      </c>
      <c r="C64" s="1179"/>
      <c r="D64" s="1180"/>
      <c r="E64" s="1180"/>
      <c r="F64" s="1180"/>
      <c r="G64" s="1180"/>
      <c r="H64" s="1181"/>
      <c r="I64" s="1173"/>
      <c r="J64" s="1173"/>
      <c r="K64" s="1173"/>
      <c r="L64" s="1173"/>
      <c r="M64" s="1173"/>
      <c r="N64" s="1173"/>
      <c r="O64" s="1173"/>
      <c r="P64" s="1173"/>
      <c r="Q64" s="1173"/>
      <c r="R64" s="1173"/>
      <c r="S64" s="1173"/>
      <c r="T64" s="1173"/>
      <c r="U64" s="1173"/>
      <c r="V64" s="1183"/>
      <c r="W64" s="1183"/>
      <c r="Y64" s="519">
        <v>46</v>
      </c>
      <c r="Z64" s="1179"/>
      <c r="AA64" s="1180"/>
      <c r="AB64" s="1180"/>
      <c r="AC64" s="1180"/>
      <c r="AD64" s="1180"/>
      <c r="AE64" s="1181"/>
      <c r="AF64" s="1173"/>
      <c r="AG64" s="1173"/>
      <c r="AH64" s="1173"/>
      <c r="AI64" s="1173"/>
      <c r="AJ64" s="1173"/>
      <c r="AK64" s="1173"/>
      <c r="AL64" s="1173"/>
      <c r="AM64" s="1173"/>
      <c r="AN64" s="1173"/>
      <c r="AO64" s="1173"/>
      <c r="AP64" s="1173"/>
      <c r="AQ64" s="1173"/>
      <c r="AR64" s="1173"/>
      <c r="AS64" s="1183"/>
      <c r="AT64" s="1183"/>
      <c r="AW64" s="519">
        <v>54</v>
      </c>
      <c r="AX64" s="1179"/>
      <c r="AY64" s="1180"/>
      <c r="AZ64" s="1180"/>
      <c r="BA64" s="1180"/>
      <c r="BB64" s="1180"/>
      <c r="BC64" s="1181"/>
      <c r="BD64" s="1173"/>
      <c r="BE64" s="1173"/>
      <c r="BF64" s="1173"/>
      <c r="BG64" s="1173"/>
      <c r="BH64" s="1173"/>
      <c r="BI64" s="1173"/>
      <c r="BJ64" s="1173"/>
      <c r="BK64" s="1173"/>
      <c r="BL64" s="1173"/>
      <c r="BM64" s="1173"/>
      <c r="BN64" s="1173"/>
      <c r="BO64" s="1173"/>
      <c r="BP64" s="1173"/>
      <c r="BQ64" s="1183"/>
      <c r="BR64" s="1183"/>
      <c r="BT64" s="519">
        <v>46</v>
      </c>
      <c r="BU64" s="1179"/>
      <c r="BV64" s="1180"/>
      <c r="BW64" s="1180"/>
      <c r="BX64" s="1180"/>
      <c r="BY64" s="1180"/>
      <c r="BZ64" s="1181"/>
      <c r="CA64" s="1173"/>
      <c r="CB64" s="1173"/>
      <c r="CC64" s="1173"/>
      <c r="CD64" s="1173"/>
      <c r="CE64" s="1173"/>
      <c r="CF64" s="1173"/>
      <c r="CG64" s="1173"/>
      <c r="CH64" s="1173"/>
      <c r="CI64" s="1173"/>
      <c r="CJ64" s="1173"/>
      <c r="CK64" s="1173"/>
      <c r="CL64" s="1173"/>
      <c r="CM64" s="1173"/>
      <c r="CN64" s="1183"/>
      <c r="CO64" s="1183"/>
      <c r="CR64" s="519">
        <v>54</v>
      </c>
      <c r="CS64" s="1179"/>
      <c r="CT64" s="1180"/>
      <c r="CU64" s="1180"/>
      <c r="CV64" s="1180"/>
      <c r="CW64" s="1180"/>
      <c r="CX64" s="1181"/>
      <c r="CY64" s="1173"/>
      <c r="CZ64" s="1173"/>
      <c r="DA64" s="1173"/>
      <c r="DB64" s="1173"/>
      <c r="DC64" s="1173"/>
      <c r="DD64" s="1173"/>
      <c r="DE64" s="1173"/>
      <c r="DF64" s="1173"/>
      <c r="DG64" s="1173"/>
      <c r="DH64" s="1173"/>
      <c r="DI64" s="1173"/>
      <c r="DJ64" s="1173"/>
      <c r="DK64" s="1173"/>
      <c r="DL64" s="1183"/>
      <c r="DM64" s="1183"/>
      <c r="DO64" s="519">
        <v>46</v>
      </c>
      <c r="DP64" s="1179"/>
      <c r="DQ64" s="1180"/>
      <c r="DR64" s="1180"/>
      <c r="DS64" s="1180"/>
      <c r="DT64" s="1180"/>
      <c r="DU64" s="1181"/>
      <c r="DV64" s="1173"/>
      <c r="DW64" s="1173"/>
      <c r="DX64" s="1173"/>
      <c r="DY64" s="1173"/>
      <c r="DZ64" s="1173"/>
      <c r="EA64" s="1173"/>
      <c r="EB64" s="1173"/>
      <c r="EC64" s="1173"/>
      <c r="ED64" s="1173"/>
      <c r="EE64" s="1173"/>
      <c r="EF64" s="1173"/>
      <c r="EG64" s="1173"/>
      <c r="EH64" s="1173"/>
      <c r="EI64" s="1183"/>
      <c r="EJ64" s="1183"/>
      <c r="EM64" s="519">
        <v>54</v>
      </c>
      <c r="EN64" s="1179"/>
      <c r="EO64" s="1180"/>
      <c r="EP64" s="1180"/>
      <c r="EQ64" s="1180"/>
      <c r="ER64" s="1180"/>
      <c r="ES64" s="1181"/>
      <c r="ET64" s="1173"/>
      <c r="EU64" s="1173"/>
      <c r="EV64" s="1173"/>
      <c r="EW64" s="1173"/>
      <c r="EX64" s="1173"/>
      <c r="EY64" s="1173"/>
      <c r="EZ64" s="1173"/>
      <c r="FA64" s="1173"/>
      <c r="FB64" s="1173"/>
      <c r="FC64" s="1173"/>
      <c r="FD64" s="1173"/>
      <c r="FE64" s="1173"/>
      <c r="FF64" s="1173"/>
      <c r="FG64" s="1183"/>
      <c r="FH64" s="1183"/>
      <c r="FJ64" s="519">
        <v>46</v>
      </c>
      <c r="FK64" s="1179"/>
      <c r="FL64" s="1180"/>
      <c r="FM64" s="1180"/>
      <c r="FN64" s="1180"/>
      <c r="FO64" s="1180"/>
      <c r="FP64" s="1181"/>
      <c r="FQ64" s="1173"/>
      <c r="FR64" s="1173"/>
      <c r="FS64" s="1173"/>
      <c r="FT64" s="1173"/>
      <c r="FU64" s="1173"/>
      <c r="FV64" s="1173"/>
      <c r="FW64" s="1173"/>
      <c r="FX64" s="1173"/>
      <c r="FY64" s="1173"/>
      <c r="FZ64" s="1173"/>
      <c r="GA64" s="1173"/>
      <c r="GB64" s="1173"/>
      <c r="GC64" s="1173"/>
      <c r="GD64" s="1183"/>
      <c r="GE64" s="1183"/>
      <c r="GH64" s="519">
        <v>54</v>
      </c>
      <c r="GI64" s="1179"/>
      <c r="GJ64" s="1180"/>
      <c r="GK64" s="1180"/>
      <c r="GL64" s="1180"/>
      <c r="GM64" s="1180"/>
      <c r="GN64" s="1181"/>
      <c r="GO64" s="1173"/>
      <c r="GP64" s="1173"/>
      <c r="GQ64" s="1173"/>
      <c r="GR64" s="1173"/>
      <c r="GS64" s="1173"/>
      <c r="GT64" s="1173"/>
      <c r="GU64" s="1173"/>
      <c r="GV64" s="1173"/>
      <c r="GW64" s="1173"/>
      <c r="GX64" s="1173"/>
      <c r="GY64" s="1173"/>
      <c r="GZ64" s="1173"/>
      <c r="HA64" s="1173"/>
      <c r="HB64" s="1183"/>
      <c r="HC64" s="1183"/>
      <c r="HE64" s="519">
        <v>46</v>
      </c>
      <c r="HF64" s="1179"/>
      <c r="HG64" s="1180"/>
      <c r="HH64" s="1180"/>
      <c r="HI64" s="1180"/>
      <c r="HJ64" s="1180"/>
      <c r="HK64" s="1181"/>
      <c r="HL64" s="1173"/>
      <c r="HM64" s="1173"/>
      <c r="HN64" s="1173"/>
      <c r="HO64" s="1173"/>
      <c r="HP64" s="1173"/>
      <c r="HQ64" s="1173"/>
      <c r="HR64" s="1173"/>
      <c r="HS64" s="1173"/>
      <c r="HT64" s="1173"/>
      <c r="HU64" s="1173"/>
      <c r="HV64" s="1173"/>
      <c r="HW64" s="1173"/>
      <c r="HX64" s="1173"/>
      <c r="HY64" s="1183"/>
      <c r="HZ64" s="1183"/>
    </row>
    <row r="65" spans="2:234" ht="17.149999999999999" customHeight="1" x14ac:dyDescent="0.25">
      <c r="B65" s="518">
        <v>55</v>
      </c>
      <c r="C65" s="1174"/>
      <c r="D65" s="1175"/>
      <c r="E65" s="1175"/>
      <c r="F65" s="1175"/>
      <c r="G65" s="1175"/>
      <c r="H65" s="1176"/>
      <c r="I65" s="1185"/>
      <c r="J65" s="1185"/>
      <c r="K65" s="1185"/>
      <c r="L65" s="1185"/>
      <c r="M65" s="1185"/>
      <c r="N65" s="1185"/>
      <c r="O65" s="1185"/>
      <c r="P65" s="1185"/>
      <c r="Q65" s="1185"/>
      <c r="R65" s="1185"/>
      <c r="S65" s="1185"/>
      <c r="T65" s="1185"/>
      <c r="U65" s="1185"/>
      <c r="V65" s="1178"/>
      <c r="W65" s="1178"/>
      <c r="Y65" s="518">
        <v>47</v>
      </c>
      <c r="Z65" s="1174"/>
      <c r="AA65" s="1175"/>
      <c r="AB65" s="1175"/>
      <c r="AC65" s="1175"/>
      <c r="AD65" s="1175"/>
      <c r="AE65" s="1176"/>
      <c r="AF65" s="1185"/>
      <c r="AG65" s="1185"/>
      <c r="AH65" s="1185"/>
      <c r="AI65" s="1185"/>
      <c r="AJ65" s="1185"/>
      <c r="AK65" s="1185"/>
      <c r="AL65" s="1185"/>
      <c r="AM65" s="1185"/>
      <c r="AN65" s="1185"/>
      <c r="AO65" s="1185"/>
      <c r="AP65" s="1185"/>
      <c r="AQ65" s="1185"/>
      <c r="AR65" s="1185"/>
      <c r="AS65" s="1178"/>
      <c r="AT65" s="1178"/>
      <c r="AW65" s="518">
        <v>55</v>
      </c>
      <c r="AX65" s="1174"/>
      <c r="AY65" s="1175"/>
      <c r="AZ65" s="1175"/>
      <c r="BA65" s="1175"/>
      <c r="BB65" s="1175"/>
      <c r="BC65" s="1176"/>
      <c r="BD65" s="1185"/>
      <c r="BE65" s="1185"/>
      <c r="BF65" s="1185"/>
      <c r="BG65" s="1185"/>
      <c r="BH65" s="1185"/>
      <c r="BI65" s="1185"/>
      <c r="BJ65" s="1185"/>
      <c r="BK65" s="1185"/>
      <c r="BL65" s="1185"/>
      <c r="BM65" s="1185"/>
      <c r="BN65" s="1185"/>
      <c r="BO65" s="1185"/>
      <c r="BP65" s="1185"/>
      <c r="BQ65" s="1178"/>
      <c r="BR65" s="1178"/>
      <c r="BT65" s="518">
        <v>47</v>
      </c>
      <c r="BU65" s="1174"/>
      <c r="BV65" s="1175"/>
      <c r="BW65" s="1175"/>
      <c r="BX65" s="1175"/>
      <c r="BY65" s="1175"/>
      <c r="BZ65" s="1176"/>
      <c r="CA65" s="1185"/>
      <c r="CB65" s="1185"/>
      <c r="CC65" s="1185"/>
      <c r="CD65" s="1185"/>
      <c r="CE65" s="1185"/>
      <c r="CF65" s="1185"/>
      <c r="CG65" s="1185"/>
      <c r="CH65" s="1185"/>
      <c r="CI65" s="1185"/>
      <c r="CJ65" s="1185"/>
      <c r="CK65" s="1185"/>
      <c r="CL65" s="1185"/>
      <c r="CM65" s="1185"/>
      <c r="CN65" s="1178"/>
      <c r="CO65" s="1178"/>
      <c r="CR65" s="518">
        <v>55</v>
      </c>
      <c r="CS65" s="1174"/>
      <c r="CT65" s="1175"/>
      <c r="CU65" s="1175"/>
      <c r="CV65" s="1175"/>
      <c r="CW65" s="1175"/>
      <c r="CX65" s="1176"/>
      <c r="CY65" s="1185"/>
      <c r="CZ65" s="1185"/>
      <c r="DA65" s="1185"/>
      <c r="DB65" s="1185"/>
      <c r="DC65" s="1185"/>
      <c r="DD65" s="1185"/>
      <c r="DE65" s="1185"/>
      <c r="DF65" s="1185"/>
      <c r="DG65" s="1185"/>
      <c r="DH65" s="1185"/>
      <c r="DI65" s="1185"/>
      <c r="DJ65" s="1185"/>
      <c r="DK65" s="1185"/>
      <c r="DL65" s="1178"/>
      <c r="DM65" s="1178"/>
      <c r="DO65" s="518">
        <v>47</v>
      </c>
      <c r="DP65" s="1174"/>
      <c r="DQ65" s="1175"/>
      <c r="DR65" s="1175"/>
      <c r="DS65" s="1175"/>
      <c r="DT65" s="1175"/>
      <c r="DU65" s="1176"/>
      <c r="DV65" s="1185"/>
      <c r="DW65" s="1185"/>
      <c r="DX65" s="1185"/>
      <c r="DY65" s="1185"/>
      <c r="DZ65" s="1185"/>
      <c r="EA65" s="1185"/>
      <c r="EB65" s="1185"/>
      <c r="EC65" s="1185"/>
      <c r="ED65" s="1185"/>
      <c r="EE65" s="1185"/>
      <c r="EF65" s="1185"/>
      <c r="EG65" s="1185"/>
      <c r="EH65" s="1185"/>
      <c r="EI65" s="1178"/>
      <c r="EJ65" s="1178"/>
      <c r="EM65" s="518">
        <v>55</v>
      </c>
      <c r="EN65" s="1174"/>
      <c r="EO65" s="1175"/>
      <c r="EP65" s="1175"/>
      <c r="EQ65" s="1175"/>
      <c r="ER65" s="1175"/>
      <c r="ES65" s="1176"/>
      <c r="ET65" s="1185"/>
      <c r="EU65" s="1185"/>
      <c r="EV65" s="1185"/>
      <c r="EW65" s="1185"/>
      <c r="EX65" s="1185"/>
      <c r="EY65" s="1185"/>
      <c r="EZ65" s="1185"/>
      <c r="FA65" s="1185"/>
      <c r="FB65" s="1185"/>
      <c r="FC65" s="1185"/>
      <c r="FD65" s="1185"/>
      <c r="FE65" s="1185"/>
      <c r="FF65" s="1185"/>
      <c r="FG65" s="1178"/>
      <c r="FH65" s="1178"/>
      <c r="FJ65" s="518">
        <v>47</v>
      </c>
      <c r="FK65" s="1174"/>
      <c r="FL65" s="1175"/>
      <c r="FM65" s="1175"/>
      <c r="FN65" s="1175"/>
      <c r="FO65" s="1175"/>
      <c r="FP65" s="1176"/>
      <c r="FQ65" s="1185"/>
      <c r="FR65" s="1185"/>
      <c r="FS65" s="1185"/>
      <c r="FT65" s="1185"/>
      <c r="FU65" s="1185"/>
      <c r="FV65" s="1185"/>
      <c r="FW65" s="1185"/>
      <c r="FX65" s="1185"/>
      <c r="FY65" s="1185"/>
      <c r="FZ65" s="1185"/>
      <c r="GA65" s="1185"/>
      <c r="GB65" s="1185"/>
      <c r="GC65" s="1185"/>
      <c r="GD65" s="1178"/>
      <c r="GE65" s="1178"/>
      <c r="GH65" s="518">
        <v>55</v>
      </c>
      <c r="GI65" s="1174"/>
      <c r="GJ65" s="1175"/>
      <c r="GK65" s="1175"/>
      <c r="GL65" s="1175"/>
      <c r="GM65" s="1175"/>
      <c r="GN65" s="1176"/>
      <c r="GO65" s="1185"/>
      <c r="GP65" s="1185"/>
      <c r="GQ65" s="1185"/>
      <c r="GR65" s="1185"/>
      <c r="GS65" s="1185"/>
      <c r="GT65" s="1185"/>
      <c r="GU65" s="1185"/>
      <c r="GV65" s="1185"/>
      <c r="GW65" s="1185"/>
      <c r="GX65" s="1185"/>
      <c r="GY65" s="1185"/>
      <c r="GZ65" s="1185"/>
      <c r="HA65" s="1185"/>
      <c r="HB65" s="1178"/>
      <c r="HC65" s="1178"/>
      <c r="HE65" s="518">
        <v>47</v>
      </c>
      <c r="HF65" s="1174"/>
      <c r="HG65" s="1175"/>
      <c r="HH65" s="1175"/>
      <c r="HI65" s="1175"/>
      <c r="HJ65" s="1175"/>
      <c r="HK65" s="1176"/>
      <c r="HL65" s="1185"/>
      <c r="HM65" s="1185"/>
      <c r="HN65" s="1185"/>
      <c r="HO65" s="1185"/>
      <c r="HP65" s="1185"/>
      <c r="HQ65" s="1185"/>
      <c r="HR65" s="1185"/>
      <c r="HS65" s="1185"/>
      <c r="HT65" s="1185"/>
      <c r="HU65" s="1185"/>
      <c r="HV65" s="1185"/>
      <c r="HW65" s="1185"/>
      <c r="HX65" s="1185"/>
      <c r="HY65" s="1178"/>
      <c r="HZ65" s="1178"/>
    </row>
    <row r="66" spans="2:234" ht="17.149999999999999" customHeight="1" x14ac:dyDescent="0.25">
      <c r="B66" s="519">
        <v>56</v>
      </c>
      <c r="C66" s="1179"/>
      <c r="D66" s="1180"/>
      <c r="E66" s="1180"/>
      <c r="F66" s="1180"/>
      <c r="G66" s="1180"/>
      <c r="H66" s="1181"/>
      <c r="I66" s="1173"/>
      <c r="J66" s="1173"/>
      <c r="K66" s="1173"/>
      <c r="L66" s="1173"/>
      <c r="M66" s="1173"/>
      <c r="N66" s="1173"/>
      <c r="O66" s="1173"/>
      <c r="P66" s="1173"/>
      <c r="Q66" s="1173"/>
      <c r="R66" s="1173"/>
      <c r="S66" s="1173"/>
      <c r="T66" s="1173"/>
      <c r="U66" s="1173"/>
      <c r="V66" s="1183"/>
      <c r="W66" s="1183"/>
      <c r="Y66" s="519">
        <v>48</v>
      </c>
      <c r="Z66" s="1179"/>
      <c r="AA66" s="1180"/>
      <c r="AB66" s="1180"/>
      <c r="AC66" s="1180"/>
      <c r="AD66" s="1180"/>
      <c r="AE66" s="1181"/>
      <c r="AF66" s="1173"/>
      <c r="AG66" s="1173"/>
      <c r="AH66" s="1173"/>
      <c r="AI66" s="1173"/>
      <c r="AJ66" s="1173"/>
      <c r="AK66" s="1173"/>
      <c r="AL66" s="1173"/>
      <c r="AM66" s="1173"/>
      <c r="AN66" s="1173"/>
      <c r="AO66" s="1173"/>
      <c r="AP66" s="1173"/>
      <c r="AQ66" s="1173"/>
      <c r="AR66" s="1173"/>
      <c r="AS66" s="1183"/>
      <c r="AT66" s="1183"/>
      <c r="AW66" s="519">
        <v>56</v>
      </c>
      <c r="AX66" s="1179"/>
      <c r="AY66" s="1180"/>
      <c r="AZ66" s="1180"/>
      <c r="BA66" s="1180"/>
      <c r="BB66" s="1180"/>
      <c r="BC66" s="1181"/>
      <c r="BD66" s="1173"/>
      <c r="BE66" s="1173"/>
      <c r="BF66" s="1173"/>
      <c r="BG66" s="1173"/>
      <c r="BH66" s="1173"/>
      <c r="BI66" s="1173"/>
      <c r="BJ66" s="1173"/>
      <c r="BK66" s="1173"/>
      <c r="BL66" s="1173"/>
      <c r="BM66" s="1173"/>
      <c r="BN66" s="1173"/>
      <c r="BO66" s="1173"/>
      <c r="BP66" s="1173"/>
      <c r="BQ66" s="1183"/>
      <c r="BR66" s="1183"/>
      <c r="BT66" s="519">
        <v>48</v>
      </c>
      <c r="BU66" s="1179"/>
      <c r="BV66" s="1180"/>
      <c r="BW66" s="1180"/>
      <c r="BX66" s="1180"/>
      <c r="BY66" s="1180"/>
      <c r="BZ66" s="1181"/>
      <c r="CA66" s="1173"/>
      <c r="CB66" s="1173"/>
      <c r="CC66" s="1173"/>
      <c r="CD66" s="1173"/>
      <c r="CE66" s="1173"/>
      <c r="CF66" s="1173"/>
      <c r="CG66" s="1173"/>
      <c r="CH66" s="1173"/>
      <c r="CI66" s="1173"/>
      <c r="CJ66" s="1173"/>
      <c r="CK66" s="1173"/>
      <c r="CL66" s="1173"/>
      <c r="CM66" s="1173"/>
      <c r="CN66" s="1183"/>
      <c r="CO66" s="1183"/>
      <c r="CR66" s="519">
        <v>56</v>
      </c>
      <c r="CS66" s="1179"/>
      <c r="CT66" s="1180"/>
      <c r="CU66" s="1180"/>
      <c r="CV66" s="1180"/>
      <c r="CW66" s="1180"/>
      <c r="CX66" s="1181"/>
      <c r="CY66" s="1173"/>
      <c r="CZ66" s="1173"/>
      <c r="DA66" s="1173"/>
      <c r="DB66" s="1173"/>
      <c r="DC66" s="1173"/>
      <c r="DD66" s="1173"/>
      <c r="DE66" s="1173"/>
      <c r="DF66" s="1173"/>
      <c r="DG66" s="1173"/>
      <c r="DH66" s="1173"/>
      <c r="DI66" s="1173"/>
      <c r="DJ66" s="1173"/>
      <c r="DK66" s="1173"/>
      <c r="DL66" s="1183"/>
      <c r="DM66" s="1183"/>
      <c r="DO66" s="519">
        <v>48</v>
      </c>
      <c r="DP66" s="1179"/>
      <c r="DQ66" s="1180"/>
      <c r="DR66" s="1180"/>
      <c r="DS66" s="1180"/>
      <c r="DT66" s="1180"/>
      <c r="DU66" s="1181"/>
      <c r="DV66" s="1173"/>
      <c r="DW66" s="1173"/>
      <c r="DX66" s="1173"/>
      <c r="DY66" s="1173"/>
      <c r="DZ66" s="1173"/>
      <c r="EA66" s="1173"/>
      <c r="EB66" s="1173"/>
      <c r="EC66" s="1173"/>
      <c r="ED66" s="1173"/>
      <c r="EE66" s="1173"/>
      <c r="EF66" s="1173"/>
      <c r="EG66" s="1173"/>
      <c r="EH66" s="1173"/>
      <c r="EI66" s="1183"/>
      <c r="EJ66" s="1183"/>
      <c r="EM66" s="519">
        <v>56</v>
      </c>
      <c r="EN66" s="1179"/>
      <c r="EO66" s="1180"/>
      <c r="EP66" s="1180"/>
      <c r="EQ66" s="1180"/>
      <c r="ER66" s="1180"/>
      <c r="ES66" s="1181"/>
      <c r="ET66" s="1173"/>
      <c r="EU66" s="1173"/>
      <c r="EV66" s="1173"/>
      <c r="EW66" s="1173"/>
      <c r="EX66" s="1173"/>
      <c r="EY66" s="1173"/>
      <c r="EZ66" s="1173"/>
      <c r="FA66" s="1173"/>
      <c r="FB66" s="1173"/>
      <c r="FC66" s="1173"/>
      <c r="FD66" s="1173"/>
      <c r="FE66" s="1173"/>
      <c r="FF66" s="1173"/>
      <c r="FG66" s="1183"/>
      <c r="FH66" s="1183"/>
      <c r="FJ66" s="519">
        <v>48</v>
      </c>
      <c r="FK66" s="1179"/>
      <c r="FL66" s="1180"/>
      <c r="FM66" s="1180"/>
      <c r="FN66" s="1180"/>
      <c r="FO66" s="1180"/>
      <c r="FP66" s="1181"/>
      <c r="FQ66" s="1173"/>
      <c r="FR66" s="1173"/>
      <c r="FS66" s="1173"/>
      <c r="FT66" s="1173"/>
      <c r="FU66" s="1173"/>
      <c r="FV66" s="1173"/>
      <c r="FW66" s="1173"/>
      <c r="FX66" s="1173"/>
      <c r="FY66" s="1173"/>
      <c r="FZ66" s="1173"/>
      <c r="GA66" s="1173"/>
      <c r="GB66" s="1173"/>
      <c r="GC66" s="1173"/>
      <c r="GD66" s="1183"/>
      <c r="GE66" s="1183"/>
      <c r="GH66" s="519">
        <v>56</v>
      </c>
      <c r="GI66" s="1179"/>
      <c r="GJ66" s="1180"/>
      <c r="GK66" s="1180"/>
      <c r="GL66" s="1180"/>
      <c r="GM66" s="1180"/>
      <c r="GN66" s="1181"/>
      <c r="GO66" s="1173"/>
      <c r="GP66" s="1173"/>
      <c r="GQ66" s="1173"/>
      <c r="GR66" s="1173"/>
      <c r="GS66" s="1173"/>
      <c r="GT66" s="1173"/>
      <c r="GU66" s="1173"/>
      <c r="GV66" s="1173"/>
      <c r="GW66" s="1173"/>
      <c r="GX66" s="1173"/>
      <c r="GY66" s="1173"/>
      <c r="GZ66" s="1173"/>
      <c r="HA66" s="1173"/>
      <c r="HB66" s="1183"/>
      <c r="HC66" s="1183"/>
      <c r="HE66" s="519">
        <v>48</v>
      </c>
      <c r="HF66" s="1179"/>
      <c r="HG66" s="1180"/>
      <c r="HH66" s="1180"/>
      <c r="HI66" s="1180"/>
      <c r="HJ66" s="1180"/>
      <c r="HK66" s="1181"/>
      <c r="HL66" s="1173"/>
      <c r="HM66" s="1173"/>
      <c r="HN66" s="1173"/>
      <c r="HO66" s="1173"/>
      <c r="HP66" s="1173"/>
      <c r="HQ66" s="1173"/>
      <c r="HR66" s="1173"/>
      <c r="HS66" s="1173"/>
      <c r="HT66" s="1173"/>
      <c r="HU66" s="1173"/>
      <c r="HV66" s="1173"/>
      <c r="HW66" s="1173"/>
      <c r="HX66" s="1173"/>
      <c r="HY66" s="1183"/>
      <c r="HZ66" s="1183"/>
    </row>
    <row r="67" spans="2:234" ht="17.149999999999999" customHeight="1" x14ac:dyDescent="0.25">
      <c r="B67" s="518">
        <v>57</v>
      </c>
      <c r="C67" s="1174"/>
      <c r="D67" s="1175"/>
      <c r="E67" s="1175"/>
      <c r="F67" s="1175"/>
      <c r="G67" s="1175"/>
      <c r="H67" s="1176"/>
      <c r="I67" s="1185"/>
      <c r="J67" s="1185"/>
      <c r="K67" s="1185"/>
      <c r="L67" s="1185"/>
      <c r="M67" s="1185"/>
      <c r="N67" s="1185"/>
      <c r="O67" s="1185"/>
      <c r="P67" s="1185"/>
      <c r="Q67" s="1185"/>
      <c r="R67" s="1185"/>
      <c r="S67" s="1185"/>
      <c r="T67" s="1185"/>
      <c r="U67" s="1185"/>
      <c r="V67" s="1178"/>
      <c r="W67" s="1178"/>
      <c r="Y67" s="518">
        <v>49</v>
      </c>
      <c r="Z67" s="1174"/>
      <c r="AA67" s="1175"/>
      <c r="AB67" s="1175"/>
      <c r="AC67" s="1175"/>
      <c r="AD67" s="1175"/>
      <c r="AE67" s="1176"/>
      <c r="AF67" s="1185"/>
      <c r="AG67" s="1185"/>
      <c r="AH67" s="1185"/>
      <c r="AI67" s="1185"/>
      <c r="AJ67" s="1185"/>
      <c r="AK67" s="1185"/>
      <c r="AL67" s="1185"/>
      <c r="AM67" s="1185"/>
      <c r="AN67" s="1185"/>
      <c r="AO67" s="1185"/>
      <c r="AP67" s="1185"/>
      <c r="AQ67" s="1185"/>
      <c r="AR67" s="1185"/>
      <c r="AS67" s="1178"/>
      <c r="AT67" s="1178"/>
      <c r="AW67" s="518">
        <v>57</v>
      </c>
      <c r="AX67" s="1174"/>
      <c r="AY67" s="1175"/>
      <c r="AZ67" s="1175"/>
      <c r="BA67" s="1175"/>
      <c r="BB67" s="1175"/>
      <c r="BC67" s="1176"/>
      <c r="BD67" s="1185"/>
      <c r="BE67" s="1185"/>
      <c r="BF67" s="1185"/>
      <c r="BG67" s="1185"/>
      <c r="BH67" s="1185"/>
      <c r="BI67" s="1185"/>
      <c r="BJ67" s="1185"/>
      <c r="BK67" s="1185"/>
      <c r="BL67" s="1185"/>
      <c r="BM67" s="1185"/>
      <c r="BN67" s="1185"/>
      <c r="BO67" s="1185"/>
      <c r="BP67" s="1185"/>
      <c r="BQ67" s="1178"/>
      <c r="BR67" s="1178"/>
      <c r="BT67" s="518">
        <v>49</v>
      </c>
      <c r="BU67" s="1174"/>
      <c r="BV67" s="1175"/>
      <c r="BW67" s="1175"/>
      <c r="BX67" s="1175"/>
      <c r="BY67" s="1175"/>
      <c r="BZ67" s="1176"/>
      <c r="CA67" s="1185"/>
      <c r="CB67" s="1185"/>
      <c r="CC67" s="1185"/>
      <c r="CD67" s="1185"/>
      <c r="CE67" s="1185"/>
      <c r="CF67" s="1185"/>
      <c r="CG67" s="1185"/>
      <c r="CH67" s="1185"/>
      <c r="CI67" s="1185"/>
      <c r="CJ67" s="1185"/>
      <c r="CK67" s="1185"/>
      <c r="CL67" s="1185"/>
      <c r="CM67" s="1185"/>
      <c r="CN67" s="1178"/>
      <c r="CO67" s="1178"/>
      <c r="CR67" s="518">
        <v>57</v>
      </c>
      <c r="CS67" s="1174"/>
      <c r="CT67" s="1175"/>
      <c r="CU67" s="1175"/>
      <c r="CV67" s="1175"/>
      <c r="CW67" s="1175"/>
      <c r="CX67" s="1176"/>
      <c r="CY67" s="1185"/>
      <c r="CZ67" s="1185"/>
      <c r="DA67" s="1185"/>
      <c r="DB67" s="1185"/>
      <c r="DC67" s="1185"/>
      <c r="DD67" s="1185"/>
      <c r="DE67" s="1185"/>
      <c r="DF67" s="1185"/>
      <c r="DG67" s="1185"/>
      <c r="DH67" s="1185"/>
      <c r="DI67" s="1185"/>
      <c r="DJ67" s="1185"/>
      <c r="DK67" s="1185"/>
      <c r="DL67" s="1178"/>
      <c r="DM67" s="1178"/>
      <c r="DO67" s="518">
        <v>49</v>
      </c>
      <c r="DP67" s="1174"/>
      <c r="DQ67" s="1175"/>
      <c r="DR67" s="1175"/>
      <c r="DS67" s="1175"/>
      <c r="DT67" s="1175"/>
      <c r="DU67" s="1176"/>
      <c r="DV67" s="1185"/>
      <c r="DW67" s="1185"/>
      <c r="DX67" s="1185"/>
      <c r="DY67" s="1185"/>
      <c r="DZ67" s="1185"/>
      <c r="EA67" s="1185"/>
      <c r="EB67" s="1185"/>
      <c r="EC67" s="1185"/>
      <c r="ED67" s="1185"/>
      <c r="EE67" s="1185"/>
      <c r="EF67" s="1185"/>
      <c r="EG67" s="1185"/>
      <c r="EH67" s="1185"/>
      <c r="EI67" s="1178"/>
      <c r="EJ67" s="1178"/>
      <c r="EM67" s="518">
        <v>57</v>
      </c>
      <c r="EN67" s="1174"/>
      <c r="EO67" s="1175"/>
      <c r="EP67" s="1175"/>
      <c r="EQ67" s="1175"/>
      <c r="ER67" s="1175"/>
      <c r="ES67" s="1176"/>
      <c r="ET67" s="1185"/>
      <c r="EU67" s="1185"/>
      <c r="EV67" s="1185"/>
      <c r="EW67" s="1185"/>
      <c r="EX67" s="1185"/>
      <c r="EY67" s="1185"/>
      <c r="EZ67" s="1185"/>
      <c r="FA67" s="1185"/>
      <c r="FB67" s="1185"/>
      <c r="FC67" s="1185"/>
      <c r="FD67" s="1185"/>
      <c r="FE67" s="1185"/>
      <c r="FF67" s="1185"/>
      <c r="FG67" s="1178"/>
      <c r="FH67" s="1178"/>
      <c r="FJ67" s="518">
        <v>49</v>
      </c>
      <c r="FK67" s="1174"/>
      <c r="FL67" s="1175"/>
      <c r="FM67" s="1175"/>
      <c r="FN67" s="1175"/>
      <c r="FO67" s="1175"/>
      <c r="FP67" s="1176"/>
      <c r="FQ67" s="1185"/>
      <c r="FR67" s="1185"/>
      <c r="FS67" s="1185"/>
      <c r="FT67" s="1185"/>
      <c r="FU67" s="1185"/>
      <c r="FV67" s="1185"/>
      <c r="FW67" s="1185"/>
      <c r="FX67" s="1185"/>
      <c r="FY67" s="1185"/>
      <c r="FZ67" s="1185"/>
      <c r="GA67" s="1185"/>
      <c r="GB67" s="1185"/>
      <c r="GC67" s="1185"/>
      <c r="GD67" s="1178"/>
      <c r="GE67" s="1178"/>
      <c r="GH67" s="518">
        <v>57</v>
      </c>
      <c r="GI67" s="1174"/>
      <c r="GJ67" s="1175"/>
      <c r="GK67" s="1175"/>
      <c r="GL67" s="1175"/>
      <c r="GM67" s="1175"/>
      <c r="GN67" s="1176"/>
      <c r="GO67" s="1185"/>
      <c r="GP67" s="1185"/>
      <c r="GQ67" s="1185"/>
      <c r="GR67" s="1185"/>
      <c r="GS67" s="1185"/>
      <c r="GT67" s="1185"/>
      <c r="GU67" s="1185"/>
      <c r="GV67" s="1185"/>
      <c r="GW67" s="1185"/>
      <c r="GX67" s="1185"/>
      <c r="GY67" s="1185"/>
      <c r="GZ67" s="1185"/>
      <c r="HA67" s="1185"/>
      <c r="HB67" s="1178"/>
      <c r="HC67" s="1178"/>
      <c r="HE67" s="518">
        <v>49</v>
      </c>
      <c r="HF67" s="1174"/>
      <c r="HG67" s="1175"/>
      <c r="HH67" s="1175"/>
      <c r="HI67" s="1175"/>
      <c r="HJ67" s="1175"/>
      <c r="HK67" s="1176"/>
      <c r="HL67" s="1185"/>
      <c r="HM67" s="1185"/>
      <c r="HN67" s="1185"/>
      <c r="HO67" s="1185"/>
      <c r="HP67" s="1185"/>
      <c r="HQ67" s="1185"/>
      <c r="HR67" s="1185"/>
      <c r="HS67" s="1185"/>
      <c r="HT67" s="1185"/>
      <c r="HU67" s="1185"/>
      <c r="HV67" s="1185"/>
      <c r="HW67" s="1185"/>
      <c r="HX67" s="1185"/>
      <c r="HY67" s="1178"/>
      <c r="HZ67" s="1178"/>
    </row>
    <row r="68" spans="2:234" ht="17.149999999999999" customHeight="1" x14ac:dyDescent="0.25">
      <c r="B68" s="519">
        <v>58</v>
      </c>
      <c r="C68" s="1179"/>
      <c r="D68" s="1180"/>
      <c r="E68" s="1180"/>
      <c r="F68" s="1180"/>
      <c r="G68" s="1180"/>
      <c r="H68" s="1181"/>
      <c r="I68" s="1173"/>
      <c r="J68" s="1173"/>
      <c r="K68" s="1173"/>
      <c r="L68" s="1173"/>
      <c r="M68" s="1173"/>
      <c r="N68" s="1173"/>
      <c r="O68" s="1173"/>
      <c r="P68" s="1173"/>
      <c r="Q68" s="1173"/>
      <c r="R68" s="1173"/>
      <c r="S68" s="1173"/>
      <c r="T68" s="1173"/>
      <c r="U68" s="1173"/>
      <c r="V68" s="1183"/>
      <c r="W68" s="1183"/>
      <c r="Y68" s="519">
        <v>50</v>
      </c>
      <c r="Z68" s="1179"/>
      <c r="AA68" s="1180"/>
      <c r="AB68" s="1180"/>
      <c r="AC68" s="1180"/>
      <c r="AD68" s="1180"/>
      <c r="AE68" s="1181"/>
      <c r="AF68" s="1173"/>
      <c r="AG68" s="1173"/>
      <c r="AH68" s="1173"/>
      <c r="AI68" s="1173"/>
      <c r="AJ68" s="1173"/>
      <c r="AK68" s="1173"/>
      <c r="AL68" s="1173"/>
      <c r="AM68" s="1173"/>
      <c r="AN68" s="1173"/>
      <c r="AO68" s="1173"/>
      <c r="AP68" s="1173"/>
      <c r="AQ68" s="1173"/>
      <c r="AR68" s="1173"/>
      <c r="AS68" s="1183"/>
      <c r="AT68" s="1183"/>
      <c r="AW68" s="519">
        <v>58</v>
      </c>
      <c r="AX68" s="1179"/>
      <c r="AY68" s="1180"/>
      <c r="AZ68" s="1180"/>
      <c r="BA68" s="1180"/>
      <c r="BB68" s="1180"/>
      <c r="BC68" s="1181"/>
      <c r="BD68" s="1173"/>
      <c r="BE68" s="1173"/>
      <c r="BF68" s="1173"/>
      <c r="BG68" s="1173"/>
      <c r="BH68" s="1173"/>
      <c r="BI68" s="1173"/>
      <c r="BJ68" s="1173"/>
      <c r="BK68" s="1173"/>
      <c r="BL68" s="1173"/>
      <c r="BM68" s="1173"/>
      <c r="BN68" s="1173"/>
      <c r="BO68" s="1173"/>
      <c r="BP68" s="1173"/>
      <c r="BQ68" s="1183"/>
      <c r="BR68" s="1183"/>
      <c r="BT68" s="519">
        <v>50</v>
      </c>
      <c r="BU68" s="1179"/>
      <c r="BV68" s="1180"/>
      <c r="BW68" s="1180"/>
      <c r="BX68" s="1180"/>
      <c r="BY68" s="1180"/>
      <c r="BZ68" s="1181"/>
      <c r="CA68" s="1173"/>
      <c r="CB68" s="1173"/>
      <c r="CC68" s="1173"/>
      <c r="CD68" s="1173"/>
      <c r="CE68" s="1173"/>
      <c r="CF68" s="1173"/>
      <c r="CG68" s="1173"/>
      <c r="CH68" s="1173"/>
      <c r="CI68" s="1173"/>
      <c r="CJ68" s="1173"/>
      <c r="CK68" s="1173"/>
      <c r="CL68" s="1173"/>
      <c r="CM68" s="1173"/>
      <c r="CN68" s="1183"/>
      <c r="CO68" s="1183"/>
      <c r="CR68" s="519">
        <v>58</v>
      </c>
      <c r="CS68" s="1179"/>
      <c r="CT68" s="1180"/>
      <c r="CU68" s="1180"/>
      <c r="CV68" s="1180"/>
      <c r="CW68" s="1180"/>
      <c r="CX68" s="1181"/>
      <c r="CY68" s="1173"/>
      <c r="CZ68" s="1173"/>
      <c r="DA68" s="1173"/>
      <c r="DB68" s="1173"/>
      <c r="DC68" s="1173"/>
      <c r="DD68" s="1173"/>
      <c r="DE68" s="1173"/>
      <c r="DF68" s="1173"/>
      <c r="DG68" s="1173"/>
      <c r="DH68" s="1173"/>
      <c r="DI68" s="1173"/>
      <c r="DJ68" s="1173"/>
      <c r="DK68" s="1173"/>
      <c r="DL68" s="1183"/>
      <c r="DM68" s="1183"/>
      <c r="DO68" s="519">
        <v>50</v>
      </c>
      <c r="DP68" s="1179"/>
      <c r="DQ68" s="1180"/>
      <c r="DR68" s="1180"/>
      <c r="DS68" s="1180"/>
      <c r="DT68" s="1180"/>
      <c r="DU68" s="1181"/>
      <c r="DV68" s="1173"/>
      <c r="DW68" s="1173"/>
      <c r="DX68" s="1173"/>
      <c r="DY68" s="1173"/>
      <c r="DZ68" s="1173"/>
      <c r="EA68" s="1173"/>
      <c r="EB68" s="1173"/>
      <c r="EC68" s="1173"/>
      <c r="ED68" s="1173"/>
      <c r="EE68" s="1173"/>
      <c r="EF68" s="1173"/>
      <c r="EG68" s="1173"/>
      <c r="EH68" s="1173"/>
      <c r="EI68" s="1183"/>
      <c r="EJ68" s="1183"/>
      <c r="EM68" s="519">
        <v>58</v>
      </c>
      <c r="EN68" s="1179"/>
      <c r="EO68" s="1180"/>
      <c r="EP68" s="1180"/>
      <c r="EQ68" s="1180"/>
      <c r="ER68" s="1180"/>
      <c r="ES68" s="1181"/>
      <c r="ET68" s="1173"/>
      <c r="EU68" s="1173"/>
      <c r="EV68" s="1173"/>
      <c r="EW68" s="1173"/>
      <c r="EX68" s="1173"/>
      <c r="EY68" s="1173"/>
      <c r="EZ68" s="1173"/>
      <c r="FA68" s="1173"/>
      <c r="FB68" s="1173"/>
      <c r="FC68" s="1173"/>
      <c r="FD68" s="1173"/>
      <c r="FE68" s="1173"/>
      <c r="FF68" s="1173"/>
      <c r="FG68" s="1183"/>
      <c r="FH68" s="1183"/>
      <c r="FJ68" s="519">
        <v>50</v>
      </c>
      <c r="FK68" s="1179"/>
      <c r="FL68" s="1180"/>
      <c r="FM68" s="1180"/>
      <c r="FN68" s="1180"/>
      <c r="FO68" s="1180"/>
      <c r="FP68" s="1181"/>
      <c r="FQ68" s="1173"/>
      <c r="FR68" s="1173"/>
      <c r="FS68" s="1173"/>
      <c r="FT68" s="1173"/>
      <c r="FU68" s="1173"/>
      <c r="FV68" s="1173"/>
      <c r="FW68" s="1173"/>
      <c r="FX68" s="1173"/>
      <c r="FY68" s="1173"/>
      <c r="FZ68" s="1173"/>
      <c r="GA68" s="1173"/>
      <c r="GB68" s="1173"/>
      <c r="GC68" s="1173"/>
      <c r="GD68" s="1183"/>
      <c r="GE68" s="1183"/>
      <c r="GH68" s="519">
        <v>58</v>
      </c>
      <c r="GI68" s="1179"/>
      <c r="GJ68" s="1180"/>
      <c r="GK68" s="1180"/>
      <c r="GL68" s="1180"/>
      <c r="GM68" s="1180"/>
      <c r="GN68" s="1181"/>
      <c r="GO68" s="1173"/>
      <c r="GP68" s="1173"/>
      <c r="GQ68" s="1173"/>
      <c r="GR68" s="1173"/>
      <c r="GS68" s="1173"/>
      <c r="GT68" s="1173"/>
      <c r="GU68" s="1173"/>
      <c r="GV68" s="1173"/>
      <c r="GW68" s="1173"/>
      <c r="GX68" s="1173"/>
      <c r="GY68" s="1173"/>
      <c r="GZ68" s="1173"/>
      <c r="HA68" s="1173"/>
      <c r="HB68" s="1183"/>
      <c r="HC68" s="1183"/>
      <c r="HE68" s="519">
        <v>50</v>
      </c>
      <c r="HF68" s="1179"/>
      <c r="HG68" s="1180"/>
      <c r="HH68" s="1180"/>
      <c r="HI68" s="1180"/>
      <c r="HJ68" s="1180"/>
      <c r="HK68" s="1181"/>
      <c r="HL68" s="1173"/>
      <c r="HM68" s="1173"/>
      <c r="HN68" s="1173"/>
      <c r="HO68" s="1173"/>
      <c r="HP68" s="1173"/>
      <c r="HQ68" s="1173"/>
      <c r="HR68" s="1173"/>
      <c r="HS68" s="1173"/>
      <c r="HT68" s="1173"/>
      <c r="HU68" s="1173"/>
      <c r="HV68" s="1173"/>
      <c r="HW68" s="1173"/>
      <c r="HX68" s="1173"/>
      <c r="HY68" s="1183"/>
      <c r="HZ68" s="1183"/>
    </row>
    <row r="69" spans="2:234" ht="17.149999999999999" customHeight="1" x14ac:dyDescent="0.25">
      <c r="B69" s="518">
        <v>59</v>
      </c>
      <c r="C69" s="1174"/>
      <c r="D69" s="1175"/>
      <c r="E69" s="1175"/>
      <c r="F69" s="1175"/>
      <c r="G69" s="1175"/>
      <c r="H69" s="1176"/>
      <c r="I69" s="1185"/>
      <c r="J69" s="1185"/>
      <c r="K69" s="1185"/>
      <c r="L69" s="1185"/>
      <c r="M69" s="1185"/>
      <c r="N69" s="1185"/>
      <c r="O69" s="1185"/>
      <c r="P69" s="1185"/>
      <c r="Q69" s="1185"/>
      <c r="R69" s="1185"/>
      <c r="S69" s="1185"/>
      <c r="T69" s="1185"/>
      <c r="U69" s="1185"/>
      <c r="V69" s="1178"/>
      <c r="W69" s="1178"/>
      <c r="AW69" s="518">
        <v>59</v>
      </c>
      <c r="AX69" s="1174"/>
      <c r="AY69" s="1175"/>
      <c r="AZ69" s="1175"/>
      <c r="BA69" s="1175"/>
      <c r="BB69" s="1175"/>
      <c r="BC69" s="1176"/>
      <c r="BD69" s="1185"/>
      <c r="BE69" s="1185"/>
      <c r="BF69" s="1185"/>
      <c r="BG69" s="1185"/>
      <c r="BH69" s="1185"/>
      <c r="BI69" s="1185"/>
      <c r="BJ69" s="1185"/>
      <c r="BK69" s="1185"/>
      <c r="BL69" s="1185"/>
      <c r="BM69" s="1185"/>
      <c r="BN69" s="1185"/>
      <c r="BO69" s="1185"/>
      <c r="BP69" s="1185"/>
      <c r="BQ69" s="1178"/>
      <c r="BR69" s="1178"/>
      <c r="CR69" s="518">
        <v>59</v>
      </c>
      <c r="CS69" s="1174"/>
      <c r="CT69" s="1175"/>
      <c r="CU69" s="1175"/>
      <c r="CV69" s="1175"/>
      <c r="CW69" s="1175"/>
      <c r="CX69" s="1176"/>
      <c r="CY69" s="1185"/>
      <c r="CZ69" s="1185"/>
      <c r="DA69" s="1185"/>
      <c r="DB69" s="1185"/>
      <c r="DC69" s="1185"/>
      <c r="DD69" s="1185"/>
      <c r="DE69" s="1185"/>
      <c r="DF69" s="1185"/>
      <c r="DG69" s="1185"/>
      <c r="DH69" s="1185"/>
      <c r="DI69" s="1185"/>
      <c r="DJ69" s="1185"/>
      <c r="DK69" s="1185"/>
      <c r="DL69" s="1178"/>
      <c r="DM69" s="1178"/>
      <c r="EM69" s="518">
        <v>59</v>
      </c>
      <c r="EN69" s="1174"/>
      <c r="EO69" s="1175"/>
      <c r="EP69" s="1175"/>
      <c r="EQ69" s="1175"/>
      <c r="ER69" s="1175"/>
      <c r="ES69" s="1176"/>
      <c r="ET69" s="1185"/>
      <c r="EU69" s="1185"/>
      <c r="EV69" s="1185"/>
      <c r="EW69" s="1185"/>
      <c r="EX69" s="1185"/>
      <c r="EY69" s="1185"/>
      <c r="EZ69" s="1185"/>
      <c r="FA69" s="1185"/>
      <c r="FB69" s="1185"/>
      <c r="FC69" s="1185"/>
      <c r="FD69" s="1185"/>
      <c r="FE69" s="1185"/>
      <c r="FF69" s="1185"/>
      <c r="FG69" s="1178"/>
      <c r="FH69" s="1178"/>
      <c r="GH69" s="518">
        <v>59</v>
      </c>
      <c r="GI69" s="1174"/>
      <c r="GJ69" s="1175"/>
      <c r="GK69" s="1175"/>
      <c r="GL69" s="1175"/>
      <c r="GM69" s="1175"/>
      <c r="GN69" s="1176"/>
      <c r="GO69" s="1185"/>
      <c r="GP69" s="1185"/>
      <c r="GQ69" s="1185"/>
      <c r="GR69" s="1185"/>
      <c r="GS69" s="1185"/>
      <c r="GT69" s="1185"/>
      <c r="GU69" s="1185"/>
      <c r="GV69" s="1185"/>
      <c r="GW69" s="1185"/>
      <c r="GX69" s="1185"/>
      <c r="GY69" s="1185"/>
      <c r="GZ69" s="1185"/>
      <c r="HA69" s="1185"/>
      <c r="HB69" s="1178"/>
      <c r="HC69" s="1178"/>
    </row>
    <row r="70" spans="2:234" ht="17.149999999999999" customHeight="1" x14ac:dyDescent="0.25">
      <c r="B70" s="519">
        <v>60</v>
      </c>
      <c r="C70" s="1179"/>
      <c r="D70" s="1180"/>
      <c r="E70" s="1180"/>
      <c r="F70" s="1180"/>
      <c r="G70" s="1180"/>
      <c r="H70" s="1181"/>
      <c r="I70" s="1173"/>
      <c r="J70" s="1173"/>
      <c r="K70" s="1173"/>
      <c r="L70" s="1173"/>
      <c r="M70" s="1173"/>
      <c r="N70" s="1173"/>
      <c r="O70" s="1173"/>
      <c r="P70" s="1173"/>
      <c r="Q70" s="1173"/>
      <c r="R70" s="1173"/>
      <c r="S70" s="1173"/>
      <c r="T70" s="1173"/>
      <c r="U70" s="1173"/>
      <c r="V70" s="1183"/>
      <c r="W70" s="1183"/>
      <c r="Y70" s="1184" t="str">
        <f>IF(C3="","",C3&amp;"的杂物间")</f>
        <v/>
      </c>
      <c r="Z70" s="1184"/>
      <c r="AA70" s="1184"/>
      <c r="AB70" s="1184"/>
      <c r="AC70" s="1184"/>
      <c r="AD70" s="1184"/>
      <c r="AE70" s="1184"/>
      <c r="AF70" s="1184"/>
      <c r="AG70" s="1184"/>
      <c r="AH70" s="1184"/>
      <c r="AI70" s="1184"/>
      <c r="AJ70" s="1184"/>
      <c r="AK70" s="1184"/>
      <c r="AL70" s="1184"/>
      <c r="AM70" s="1184"/>
      <c r="AN70" s="1184"/>
      <c r="AO70" s="1184"/>
      <c r="AP70" s="1184"/>
      <c r="AQ70" s="1184"/>
      <c r="AR70" s="1184"/>
      <c r="AS70" s="1184"/>
      <c r="AT70" s="1184"/>
      <c r="AW70" s="519">
        <v>60</v>
      </c>
      <c r="AX70" s="1179"/>
      <c r="AY70" s="1180"/>
      <c r="AZ70" s="1180"/>
      <c r="BA70" s="1180"/>
      <c r="BB70" s="1180"/>
      <c r="BC70" s="1181"/>
      <c r="BD70" s="1173"/>
      <c r="BE70" s="1173"/>
      <c r="BF70" s="1173"/>
      <c r="BG70" s="1173"/>
      <c r="BH70" s="1173"/>
      <c r="BI70" s="1173"/>
      <c r="BJ70" s="1173"/>
      <c r="BK70" s="1173"/>
      <c r="BL70" s="1173"/>
      <c r="BM70" s="1173"/>
      <c r="BN70" s="1173"/>
      <c r="BO70" s="1173"/>
      <c r="BP70" s="1173"/>
      <c r="BQ70" s="1183"/>
      <c r="BR70" s="1183"/>
      <c r="BT70" s="1184" t="str">
        <f>IF(C4="","",C4&amp;"的杂物间")</f>
        <v/>
      </c>
      <c r="BU70" s="1184"/>
      <c r="BV70" s="1184"/>
      <c r="BW70" s="1184"/>
      <c r="BX70" s="1184"/>
      <c r="BY70" s="1184"/>
      <c r="BZ70" s="1184"/>
      <c r="CA70" s="1184"/>
      <c r="CB70" s="1184"/>
      <c r="CC70" s="1184"/>
      <c r="CD70" s="1184"/>
      <c r="CE70" s="1184"/>
      <c r="CF70" s="1184"/>
      <c r="CG70" s="1184"/>
      <c r="CH70" s="1184"/>
      <c r="CI70" s="1184"/>
      <c r="CJ70" s="1184"/>
      <c r="CK70" s="1184"/>
      <c r="CL70" s="1184"/>
      <c r="CM70" s="1184"/>
      <c r="CN70" s="1184"/>
      <c r="CO70" s="1184"/>
      <c r="CR70" s="519">
        <v>60</v>
      </c>
      <c r="CS70" s="1179"/>
      <c r="CT70" s="1180"/>
      <c r="CU70" s="1180"/>
      <c r="CV70" s="1180"/>
      <c r="CW70" s="1180"/>
      <c r="CX70" s="1181"/>
      <c r="CY70" s="1173"/>
      <c r="CZ70" s="1173"/>
      <c r="DA70" s="1173"/>
      <c r="DB70" s="1173"/>
      <c r="DC70" s="1173"/>
      <c r="DD70" s="1173"/>
      <c r="DE70" s="1173"/>
      <c r="DF70" s="1173"/>
      <c r="DG70" s="1173"/>
      <c r="DH70" s="1173"/>
      <c r="DI70" s="1173"/>
      <c r="DJ70" s="1173"/>
      <c r="DK70" s="1173"/>
      <c r="DL70" s="1183"/>
      <c r="DM70" s="1183"/>
      <c r="DO70" s="1184" t="str">
        <f>IF(C5="","",C5&amp;"的杂物间")</f>
        <v/>
      </c>
      <c r="DP70" s="1184"/>
      <c r="DQ70" s="1184"/>
      <c r="DR70" s="1184"/>
      <c r="DS70" s="1184"/>
      <c r="DT70" s="1184"/>
      <c r="DU70" s="1184"/>
      <c r="DV70" s="1184"/>
      <c r="DW70" s="1184"/>
      <c r="DX70" s="1184"/>
      <c r="DY70" s="1184"/>
      <c r="DZ70" s="1184"/>
      <c r="EA70" s="1184"/>
      <c r="EB70" s="1184"/>
      <c r="EC70" s="1184"/>
      <c r="ED70" s="1184"/>
      <c r="EE70" s="1184"/>
      <c r="EF70" s="1184"/>
      <c r="EG70" s="1184"/>
      <c r="EH70" s="1184"/>
      <c r="EI70" s="1184"/>
      <c r="EJ70" s="1184"/>
      <c r="EM70" s="519">
        <v>60</v>
      </c>
      <c r="EN70" s="1179"/>
      <c r="EO70" s="1180"/>
      <c r="EP70" s="1180"/>
      <c r="EQ70" s="1180"/>
      <c r="ER70" s="1180"/>
      <c r="ES70" s="1181"/>
      <c r="ET70" s="1173"/>
      <c r="EU70" s="1173"/>
      <c r="EV70" s="1173"/>
      <c r="EW70" s="1173"/>
      <c r="EX70" s="1173"/>
      <c r="EY70" s="1173"/>
      <c r="EZ70" s="1173"/>
      <c r="FA70" s="1173"/>
      <c r="FB70" s="1173"/>
      <c r="FC70" s="1173"/>
      <c r="FD70" s="1173"/>
      <c r="FE70" s="1173"/>
      <c r="FF70" s="1173"/>
      <c r="FG70" s="1183"/>
      <c r="FH70" s="1183"/>
      <c r="FJ70" s="1184" t="str">
        <f>IF(C6="","",C6&amp;"的杂物间")</f>
        <v/>
      </c>
      <c r="FK70" s="1184"/>
      <c r="FL70" s="1184"/>
      <c r="FM70" s="1184"/>
      <c r="FN70" s="1184"/>
      <c r="FO70" s="1184"/>
      <c r="FP70" s="1184"/>
      <c r="FQ70" s="1184"/>
      <c r="FR70" s="1184"/>
      <c r="FS70" s="1184"/>
      <c r="FT70" s="1184"/>
      <c r="FU70" s="1184"/>
      <c r="FV70" s="1184"/>
      <c r="FW70" s="1184"/>
      <c r="FX70" s="1184"/>
      <c r="FY70" s="1184"/>
      <c r="FZ70" s="1184"/>
      <c r="GA70" s="1184"/>
      <c r="GB70" s="1184"/>
      <c r="GC70" s="1184"/>
      <c r="GD70" s="1184"/>
      <c r="GE70" s="1184"/>
      <c r="GH70" s="519">
        <v>60</v>
      </c>
      <c r="GI70" s="1179"/>
      <c r="GJ70" s="1180"/>
      <c r="GK70" s="1180"/>
      <c r="GL70" s="1180"/>
      <c r="GM70" s="1180"/>
      <c r="GN70" s="1181"/>
      <c r="GO70" s="1173"/>
      <c r="GP70" s="1173"/>
      <c r="GQ70" s="1173"/>
      <c r="GR70" s="1173"/>
      <c r="GS70" s="1173"/>
      <c r="GT70" s="1173"/>
      <c r="GU70" s="1173"/>
      <c r="GV70" s="1173"/>
      <c r="GW70" s="1173"/>
      <c r="GX70" s="1173"/>
      <c r="GY70" s="1173"/>
      <c r="GZ70" s="1173"/>
      <c r="HA70" s="1173"/>
      <c r="HB70" s="1183"/>
      <c r="HC70" s="1183"/>
      <c r="HE70" s="1184" t="str">
        <f>IF(C7="","",C7&amp;"的杂物间")</f>
        <v/>
      </c>
      <c r="HF70" s="1184"/>
      <c r="HG70" s="1184"/>
      <c r="HH70" s="1184"/>
      <c r="HI70" s="1184"/>
      <c r="HJ70" s="1184"/>
      <c r="HK70" s="1184"/>
      <c r="HL70" s="1184"/>
      <c r="HM70" s="1184"/>
      <c r="HN70" s="1184"/>
      <c r="HO70" s="1184"/>
      <c r="HP70" s="1184"/>
      <c r="HQ70" s="1184"/>
      <c r="HR70" s="1184"/>
      <c r="HS70" s="1184"/>
      <c r="HT70" s="1184"/>
      <c r="HU70" s="1184"/>
      <c r="HV70" s="1184"/>
      <c r="HW70" s="1184"/>
      <c r="HX70" s="1184"/>
      <c r="HY70" s="1184"/>
      <c r="HZ70" s="1184"/>
    </row>
    <row r="71" spans="2:234" ht="17.149999999999999" customHeight="1" x14ac:dyDescent="0.3">
      <c r="B71" s="518">
        <v>61</v>
      </c>
      <c r="C71" s="1174"/>
      <c r="D71" s="1175"/>
      <c r="E71" s="1175"/>
      <c r="F71" s="1175"/>
      <c r="G71" s="1175"/>
      <c r="H71" s="1176"/>
      <c r="I71" s="1185"/>
      <c r="J71" s="1185"/>
      <c r="K71" s="1185"/>
      <c r="L71" s="1185"/>
      <c r="M71" s="1185"/>
      <c r="N71" s="1185"/>
      <c r="O71" s="1185"/>
      <c r="P71" s="1185"/>
      <c r="Q71" s="1185"/>
      <c r="R71" s="1185"/>
      <c r="S71" s="1185"/>
      <c r="T71" s="1185"/>
      <c r="U71" s="1185"/>
      <c r="V71" s="1178"/>
      <c r="W71" s="1178"/>
      <c r="Y71" s="517"/>
      <c r="Z71" s="710" t="s">
        <v>109</v>
      </c>
      <c r="AA71" s="710"/>
      <c r="AB71" s="710"/>
      <c r="AC71" s="710"/>
      <c r="AD71" s="710"/>
      <c r="AE71" s="710"/>
      <c r="AF71" s="710" t="s">
        <v>169</v>
      </c>
      <c r="AG71" s="710"/>
      <c r="AH71" s="710"/>
      <c r="AI71" s="710"/>
      <c r="AJ71" s="710"/>
      <c r="AK71" s="710"/>
      <c r="AL71" s="710"/>
      <c r="AM71" s="710"/>
      <c r="AN71" s="710"/>
      <c r="AO71" s="710"/>
      <c r="AP71" s="710"/>
      <c r="AQ71" s="710"/>
      <c r="AR71" s="710"/>
      <c r="AS71" s="710" t="s">
        <v>166</v>
      </c>
      <c r="AT71" s="710"/>
      <c r="AW71" s="518">
        <v>61</v>
      </c>
      <c r="AX71" s="1174"/>
      <c r="AY71" s="1175"/>
      <c r="AZ71" s="1175"/>
      <c r="BA71" s="1175"/>
      <c r="BB71" s="1175"/>
      <c r="BC71" s="1176"/>
      <c r="BD71" s="1185"/>
      <c r="BE71" s="1185"/>
      <c r="BF71" s="1185"/>
      <c r="BG71" s="1185"/>
      <c r="BH71" s="1185"/>
      <c r="BI71" s="1185"/>
      <c r="BJ71" s="1185"/>
      <c r="BK71" s="1185"/>
      <c r="BL71" s="1185"/>
      <c r="BM71" s="1185"/>
      <c r="BN71" s="1185"/>
      <c r="BO71" s="1185"/>
      <c r="BP71" s="1185"/>
      <c r="BQ71" s="1178"/>
      <c r="BR71" s="1178"/>
      <c r="BT71" s="517"/>
      <c r="BU71" s="710" t="s">
        <v>109</v>
      </c>
      <c r="BV71" s="710"/>
      <c r="BW71" s="710"/>
      <c r="BX71" s="710"/>
      <c r="BY71" s="710"/>
      <c r="BZ71" s="710"/>
      <c r="CA71" s="710" t="s">
        <v>169</v>
      </c>
      <c r="CB71" s="710"/>
      <c r="CC71" s="710"/>
      <c r="CD71" s="710"/>
      <c r="CE71" s="710"/>
      <c r="CF71" s="710"/>
      <c r="CG71" s="710"/>
      <c r="CH71" s="710"/>
      <c r="CI71" s="710"/>
      <c r="CJ71" s="710"/>
      <c r="CK71" s="710"/>
      <c r="CL71" s="710"/>
      <c r="CM71" s="710"/>
      <c r="CN71" s="710" t="s">
        <v>166</v>
      </c>
      <c r="CO71" s="710"/>
      <c r="CR71" s="518">
        <v>61</v>
      </c>
      <c r="CS71" s="1174"/>
      <c r="CT71" s="1175"/>
      <c r="CU71" s="1175"/>
      <c r="CV71" s="1175"/>
      <c r="CW71" s="1175"/>
      <c r="CX71" s="1176"/>
      <c r="CY71" s="1185"/>
      <c r="CZ71" s="1185"/>
      <c r="DA71" s="1185"/>
      <c r="DB71" s="1185"/>
      <c r="DC71" s="1185"/>
      <c r="DD71" s="1185"/>
      <c r="DE71" s="1185"/>
      <c r="DF71" s="1185"/>
      <c r="DG71" s="1185"/>
      <c r="DH71" s="1185"/>
      <c r="DI71" s="1185"/>
      <c r="DJ71" s="1185"/>
      <c r="DK71" s="1185"/>
      <c r="DL71" s="1178"/>
      <c r="DM71" s="1178"/>
      <c r="DO71" s="517"/>
      <c r="DP71" s="710" t="s">
        <v>109</v>
      </c>
      <c r="DQ71" s="710"/>
      <c r="DR71" s="710"/>
      <c r="DS71" s="710"/>
      <c r="DT71" s="710"/>
      <c r="DU71" s="710"/>
      <c r="DV71" s="710" t="s">
        <v>169</v>
      </c>
      <c r="DW71" s="710"/>
      <c r="DX71" s="710"/>
      <c r="DY71" s="710"/>
      <c r="DZ71" s="710"/>
      <c r="EA71" s="710"/>
      <c r="EB71" s="710"/>
      <c r="EC71" s="710"/>
      <c r="ED71" s="710"/>
      <c r="EE71" s="710"/>
      <c r="EF71" s="710"/>
      <c r="EG71" s="710"/>
      <c r="EH71" s="710"/>
      <c r="EI71" s="710" t="s">
        <v>166</v>
      </c>
      <c r="EJ71" s="710"/>
      <c r="EM71" s="518">
        <v>61</v>
      </c>
      <c r="EN71" s="1174"/>
      <c r="EO71" s="1175"/>
      <c r="EP71" s="1175"/>
      <c r="EQ71" s="1175"/>
      <c r="ER71" s="1175"/>
      <c r="ES71" s="1176"/>
      <c r="ET71" s="1185"/>
      <c r="EU71" s="1185"/>
      <c r="EV71" s="1185"/>
      <c r="EW71" s="1185"/>
      <c r="EX71" s="1185"/>
      <c r="EY71" s="1185"/>
      <c r="EZ71" s="1185"/>
      <c r="FA71" s="1185"/>
      <c r="FB71" s="1185"/>
      <c r="FC71" s="1185"/>
      <c r="FD71" s="1185"/>
      <c r="FE71" s="1185"/>
      <c r="FF71" s="1185"/>
      <c r="FG71" s="1178"/>
      <c r="FH71" s="1178"/>
      <c r="FJ71" s="517"/>
      <c r="FK71" s="710" t="s">
        <v>109</v>
      </c>
      <c r="FL71" s="710"/>
      <c r="FM71" s="710"/>
      <c r="FN71" s="710"/>
      <c r="FO71" s="710"/>
      <c r="FP71" s="710"/>
      <c r="FQ71" s="710" t="s">
        <v>169</v>
      </c>
      <c r="FR71" s="710"/>
      <c r="FS71" s="710"/>
      <c r="FT71" s="710"/>
      <c r="FU71" s="710"/>
      <c r="FV71" s="710"/>
      <c r="FW71" s="710"/>
      <c r="FX71" s="710"/>
      <c r="FY71" s="710"/>
      <c r="FZ71" s="710"/>
      <c r="GA71" s="710"/>
      <c r="GB71" s="710"/>
      <c r="GC71" s="710"/>
      <c r="GD71" s="710" t="s">
        <v>166</v>
      </c>
      <c r="GE71" s="710"/>
      <c r="GH71" s="518">
        <v>61</v>
      </c>
      <c r="GI71" s="1174"/>
      <c r="GJ71" s="1175"/>
      <c r="GK71" s="1175"/>
      <c r="GL71" s="1175"/>
      <c r="GM71" s="1175"/>
      <c r="GN71" s="1176"/>
      <c r="GO71" s="1185"/>
      <c r="GP71" s="1185"/>
      <c r="GQ71" s="1185"/>
      <c r="GR71" s="1185"/>
      <c r="GS71" s="1185"/>
      <c r="GT71" s="1185"/>
      <c r="GU71" s="1185"/>
      <c r="GV71" s="1185"/>
      <c r="GW71" s="1185"/>
      <c r="GX71" s="1185"/>
      <c r="GY71" s="1185"/>
      <c r="GZ71" s="1185"/>
      <c r="HA71" s="1185"/>
      <c r="HB71" s="1178"/>
      <c r="HC71" s="1178"/>
      <c r="HE71" s="517"/>
      <c r="HF71" s="710" t="s">
        <v>109</v>
      </c>
      <c r="HG71" s="710"/>
      <c r="HH71" s="710"/>
      <c r="HI71" s="710"/>
      <c r="HJ71" s="710"/>
      <c r="HK71" s="710"/>
      <c r="HL71" s="710" t="s">
        <v>169</v>
      </c>
      <c r="HM71" s="710"/>
      <c r="HN71" s="710"/>
      <c r="HO71" s="710"/>
      <c r="HP71" s="710"/>
      <c r="HQ71" s="710"/>
      <c r="HR71" s="710"/>
      <c r="HS71" s="710"/>
      <c r="HT71" s="710"/>
      <c r="HU71" s="710"/>
      <c r="HV71" s="710"/>
      <c r="HW71" s="710"/>
      <c r="HX71" s="710"/>
      <c r="HY71" s="710" t="s">
        <v>166</v>
      </c>
      <c r="HZ71" s="710"/>
    </row>
    <row r="72" spans="2:234" ht="17.149999999999999" customHeight="1" x14ac:dyDescent="0.25">
      <c r="B72" s="519">
        <v>62</v>
      </c>
      <c r="C72" s="1179"/>
      <c r="D72" s="1180"/>
      <c r="E72" s="1180"/>
      <c r="F72" s="1180"/>
      <c r="G72" s="1180"/>
      <c r="H72" s="1181"/>
      <c r="I72" s="1173"/>
      <c r="J72" s="1173"/>
      <c r="K72" s="1173"/>
      <c r="L72" s="1173"/>
      <c r="M72" s="1173"/>
      <c r="N72" s="1173"/>
      <c r="O72" s="1173"/>
      <c r="P72" s="1173"/>
      <c r="Q72" s="1173"/>
      <c r="R72" s="1173"/>
      <c r="S72" s="1173"/>
      <c r="T72" s="1173"/>
      <c r="U72" s="1173"/>
      <c r="V72" s="1183"/>
      <c r="W72" s="1183"/>
      <c r="Y72" s="518">
        <v>1</v>
      </c>
      <c r="Z72" s="1174"/>
      <c r="AA72" s="1175"/>
      <c r="AB72" s="1175"/>
      <c r="AC72" s="1175"/>
      <c r="AD72" s="1175"/>
      <c r="AE72" s="1176"/>
      <c r="AF72" s="1185"/>
      <c r="AG72" s="1185"/>
      <c r="AH72" s="1185"/>
      <c r="AI72" s="1185"/>
      <c r="AJ72" s="1185"/>
      <c r="AK72" s="1185"/>
      <c r="AL72" s="1185"/>
      <c r="AM72" s="1185"/>
      <c r="AN72" s="1185"/>
      <c r="AO72" s="1185"/>
      <c r="AP72" s="1185"/>
      <c r="AQ72" s="1185"/>
      <c r="AR72" s="1185"/>
      <c r="AS72" s="1178"/>
      <c r="AT72" s="1178"/>
      <c r="AW72" s="519">
        <v>62</v>
      </c>
      <c r="AX72" s="1179"/>
      <c r="AY72" s="1180"/>
      <c r="AZ72" s="1180"/>
      <c r="BA72" s="1180"/>
      <c r="BB72" s="1180"/>
      <c r="BC72" s="1181"/>
      <c r="BD72" s="1173"/>
      <c r="BE72" s="1173"/>
      <c r="BF72" s="1173"/>
      <c r="BG72" s="1173"/>
      <c r="BH72" s="1173"/>
      <c r="BI72" s="1173"/>
      <c r="BJ72" s="1173"/>
      <c r="BK72" s="1173"/>
      <c r="BL72" s="1173"/>
      <c r="BM72" s="1173"/>
      <c r="BN72" s="1173"/>
      <c r="BO72" s="1173"/>
      <c r="BP72" s="1173"/>
      <c r="BQ72" s="1183"/>
      <c r="BR72" s="1183"/>
      <c r="BT72" s="518">
        <v>1</v>
      </c>
      <c r="BU72" s="1174"/>
      <c r="BV72" s="1175"/>
      <c r="BW72" s="1175"/>
      <c r="BX72" s="1175"/>
      <c r="BY72" s="1175"/>
      <c r="BZ72" s="1176"/>
      <c r="CA72" s="1185"/>
      <c r="CB72" s="1185"/>
      <c r="CC72" s="1185"/>
      <c r="CD72" s="1185"/>
      <c r="CE72" s="1185"/>
      <c r="CF72" s="1185"/>
      <c r="CG72" s="1185"/>
      <c r="CH72" s="1185"/>
      <c r="CI72" s="1185"/>
      <c r="CJ72" s="1185"/>
      <c r="CK72" s="1185"/>
      <c r="CL72" s="1185"/>
      <c r="CM72" s="1185"/>
      <c r="CN72" s="1178"/>
      <c r="CO72" s="1178"/>
      <c r="CR72" s="519">
        <v>62</v>
      </c>
      <c r="CS72" s="1179"/>
      <c r="CT72" s="1180"/>
      <c r="CU72" s="1180"/>
      <c r="CV72" s="1180"/>
      <c r="CW72" s="1180"/>
      <c r="CX72" s="1181"/>
      <c r="CY72" s="1173"/>
      <c r="CZ72" s="1173"/>
      <c r="DA72" s="1173"/>
      <c r="DB72" s="1173"/>
      <c r="DC72" s="1173"/>
      <c r="DD72" s="1173"/>
      <c r="DE72" s="1173"/>
      <c r="DF72" s="1173"/>
      <c r="DG72" s="1173"/>
      <c r="DH72" s="1173"/>
      <c r="DI72" s="1173"/>
      <c r="DJ72" s="1173"/>
      <c r="DK72" s="1173"/>
      <c r="DL72" s="1183"/>
      <c r="DM72" s="1183"/>
      <c r="DO72" s="518">
        <v>1</v>
      </c>
      <c r="DP72" s="1174"/>
      <c r="DQ72" s="1175"/>
      <c r="DR72" s="1175"/>
      <c r="DS72" s="1175"/>
      <c r="DT72" s="1175"/>
      <c r="DU72" s="1176"/>
      <c r="DV72" s="1185"/>
      <c r="DW72" s="1185"/>
      <c r="DX72" s="1185"/>
      <c r="DY72" s="1185"/>
      <c r="DZ72" s="1185"/>
      <c r="EA72" s="1185"/>
      <c r="EB72" s="1185"/>
      <c r="EC72" s="1185"/>
      <c r="ED72" s="1185"/>
      <c r="EE72" s="1185"/>
      <c r="EF72" s="1185"/>
      <c r="EG72" s="1185"/>
      <c r="EH72" s="1185"/>
      <c r="EI72" s="1178"/>
      <c r="EJ72" s="1178"/>
      <c r="EM72" s="519">
        <v>62</v>
      </c>
      <c r="EN72" s="1179"/>
      <c r="EO72" s="1180"/>
      <c r="EP72" s="1180"/>
      <c r="EQ72" s="1180"/>
      <c r="ER72" s="1180"/>
      <c r="ES72" s="1181"/>
      <c r="ET72" s="1173"/>
      <c r="EU72" s="1173"/>
      <c r="EV72" s="1173"/>
      <c r="EW72" s="1173"/>
      <c r="EX72" s="1173"/>
      <c r="EY72" s="1173"/>
      <c r="EZ72" s="1173"/>
      <c r="FA72" s="1173"/>
      <c r="FB72" s="1173"/>
      <c r="FC72" s="1173"/>
      <c r="FD72" s="1173"/>
      <c r="FE72" s="1173"/>
      <c r="FF72" s="1173"/>
      <c r="FG72" s="1183"/>
      <c r="FH72" s="1183"/>
      <c r="FJ72" s="518">
        <v>1</v>
      </c>
      <c r="FK72" s="1174"/>
      <c r="FL72" s="1175"/>
      <c r="FM72" s="1175"/>
      <c r="FN72" s="1175"/>
      <c r="FO72" s="1175"/>
      <c r="FP72" s="1176"/>
      <c r="FQ72" s="1185"/>
      <c r="FR72" s="1185"/>
      <c r="FS72" s="1185"/>
      <c r="FT72" s="1185"/>
      <c r="FU72" s="1185"/>
      <c r="FV72" s="1185"/>
      <c r="FW72" s="1185"/>
      <c r="FX72" s="1185"/>
      <c r="FY72" s="1185"/>
      <c r="FZ72" s="1185"/>
      <c r="GA72" s="1185"/>
      <c r="GB72" s="1185"/>
      <c r="GC72" s="1185"/>
      <c r="GD72" s="1178"/>
      <c r="GE72" s="1178"/>
      <c r="GH72" s="519">
        <v>62</v>
      </c>
      <c r="GI72" s="1179"/>
      <c r="GJ72" s="1180"/>
      <c r="GK72" s="1180"/>
      <c r="GL72" s="1180"/>
      <c r="GM72" s="1180"/>
      <c r="GN72" s="1181"/>
      <c r="GO72" s="1173"/>
      <c r="GP72" s="1173"/>
      <c r="GQ72" s="1173"/>
      <c r="GR72" s="1173"/>
      <c r="GS72" s="1173"/>
      <c r="GT72" s="1173"/>
      <c r="GU72" s="1173"/>
      <c r="GV72" s="1173"/>
      <c r="GW72" s="1173"/>
      <c r="GX72" s="1173"/>
      <c r="GY72" s="1173"/>
      <c r="GZ72" s="1173"/>
      <c r="HA72" s="1173"/>
      <c r="HB72" s="1183"/>
      <c r="HC72" s="1183"/>
      <c r="HE72" s="518">
        <v>1</v>
      </c>
      <c r="HF72" s="1174"/>
      <c r="HG72" s="1175"/>
      <c r="HH72" s="1175"/>
      <c r="HI72" s="1175"/>
      <c r="HJ72" s="1175"/>
      <c r="HK72" s="1176"/>
      <c r="HL72" s="1185"/>
      <c r="HM72" s="1185"/>
      <c r="HN72" s="1185"/>
      <c r="HO72" s="1185"/>
      <c r="HP72" s="1185"/>
      <c r="HQ72" s="1185"/>
      <c r="HR72" s="1185"/>
      <c r="HS72" s="1185"/>
      <c r="HT72" s="1185"/>
      <c r="HU72" s="1185"/>
      <c r="HV72" s="1185"/>
      <c r="HW72" s="1185"/>
      <c r="HX72" s="1185"/>
      <c r="HY72" s="1178"/>
      <c r="HZ72" s="1178"/>
    </row>
    <row r="73" spans="2:234" ht="17.149999999999999" customHeight="1" x14ac:dyDescent="0.25">
      <c r="B73" s="518">
        <v>63</v>
      </c>
      <c r="C73" s="1174"/>
      <c r="D73" s="1175"/>
      <c r="E73" s="1175"/>
      <c r="F73" s="1175"/>
      <c r="G73" s="1175"/>
      <c r="H73" s="1176"/>
      <c r="I73" s="1185"/>
      <c r="J73" s="1185"/>
      <c r="K73" s="1185"/>
      <c r="L73" s="1185"/>
      <c r="M73" s="1185"/>
      <c r="N73" s="1185"/>
      <c r="O73" s="1185"/>
      <c r="P73" s="1185"/>
      <c r="Q73" s="1185"/>
      <c r="R73" s="1185"/>
      <c r="S73" s="1185"/>
      <c r="T73" s="1185"/>
      <c r="U73" s="1185"/>
      <c r="V73" s="1178"/>
      <c r="W73" s="1178"/>
      <c r="Y73" s="519">
        <v>2</v>
      </c>
      <c r="Z73" s="1179"/>
      <c r="AA73" s="1180"/>
      <c r="AB73" s="1180"/>
      <c r="AC73" s="1180"/>
      <c r="AD73" s="1180"/>
      <c r="AE73" s="1181"/>
      <c r="AF73" s="1173"/>
      <c r="AG73" s="1173"/>
      <c r="AH73" s="1173"/>
      <c r="AI73" s="1173"/>
      <c r="AJ73" s="1173"/>
      <c r="AK73" s="1173"/>
      <c r="AL73" s="1173"/>
      <c r="AM73" s="1173"/>
      <c r="AN73" s="1173"/>
      <c r="AO73" s="1173"/>
      <c r="AP73" s="1173"/>
      <c r="AQ73" s="1173"/>
      <c r="AR73" s="1173"/>
      <c r="AS73" s="1183"/>
      <c r="AT73" s="1183"/>
      <c r="AW73" s="518">
        <v>63</v>
      </c>
      <c r="AX73" s="1174"/>
      <c r="AY73" s="1175"/>
      <c r="AZ73" s="1175"/>
      <c r="BA73" s="1175"/>
      <c r="BB73" s="1175"/>
      <c r="BC73" s="1176"/>
      <c r="BD73" s="1185"/>
      <c r="BE73" s="1185"/>
      <c r="BF73" s="1185"/>
      <c r="BG73" s="1185"/>
      <c r="BH73" s="1185"/>
      <c r="BI73" s="1185"/>
      <c r="BJ73" s="1185"/>
      <c r="BK73" s="1185"/>
      <c r="BL73" s="1185"/>
      <c r="BM73" s="1185"/>
      <c r="BN73" s="1185"/>
      <c r="BO73" s="1185"/>
      <c r="BP73" s="1185"/>
      <c r="BQ73" s="1178"/>
      <c r="BR73" s="1178"/>
      <c r="BT73" s="519">
        <v>2</v>
      </c>
      <c r="BU73" s="1179"/>
      <c r="BV73" s="1180"/>
      <c r="BW73" s="1180"/>
      <c r="BX73" s="1180"/>
      <c r="BY73" s="1180"/>
      <c r="BZ73" s="1181"/>
      <c r="CA73" s="1173"/>
      <c r="CB73" s="1173"/>
      <c r="CC73" s="1173"/>
      <c r="CD73" s="1173"/>
      <c r="CE73" s="1173"/>
      <c r="CF73" s="1173"/>
      <c r="CG73" s="1173"/>
      <c r="CH73" s="1173"/>
      <c r="CI73" s="1173"/>
      <c r="CJ73" s="1173"/>
      <c r="CK73" s="1173"/>
      <c r="CL73" s="1173"/>
      <c r="CM73" s="1173"/>
      <c r="CN73" s="1183"/>
      <c r="CO73" s="1183"/>
      <c r="CR73" s="518">
        <v>63</v>
      </c>
      <c r="CS73" s="1174"/>
      <c r="CT73" s="1175"/>
      <c r="CU73" s="1175"/>
      <c r="CV73" s="1175"/>
      <c r="CW73" s="1175"/>
      <c r="CX73" s="1176"/>
      <c r="CY73" s="1185"/>
      <c r="CZ73" s="1185"/>
      <c r="DA73" s="1185"/>
      <c r="DB73" s="1185"/>
      <c r="DC73" s="1185"/>
      <c r="DD73" s="1185"/>
      <c r="DE73" s="1185"/>
      <c r="DF73" s="1185"/>
      <c r="DG73" s="1185"/>
      <c r="DH73" s="1185"/>
      <c r="DI73" s="1185"/>
      <c r="DJ73" s="1185"/>
      <c r="DK73" s="1185"/>
      <c r="DL73" s="1178"/>
      <c r="DM73" s="1178"/>
      <c r="DO73" s="519">
        <v>2</v>
      </c>
      <c r="DP73" s="1179"/>
      <c r="DQ73" s="1180"/>
      <c r="DR73" s="1180"/>
      <c r="DS73" s="1180"/>
      <c r="DT73" s="1180"/>
      <c r="DU73" s="1181"/>
      <c r="DV73" s="1173"/>
      <c r="DW73" s="1173"/>
      <c r="DX73" s="1173"/>
      <c r="DY73" s="1173"/>
      <c r="DZ73" s="1173"/>
      <c r="EA73" s="1173"/>
      <c r="EB73" s="1173"/>
      <c r="EC73" s="1173"/>
      <c r="ED73" s="1173"/>
      <c r="EE73" s="1173"/>
      <c r="EF73" s="1173"/>
      <c r="EG73" s="1173"/>
      <c r="EH73" s="1173"/>
      <c r="EI73" s="1183"/>
      <c r="EJ73" s="1183"/>
      <c r="EM73" s="518">
        <v>63</v>
      </c>
      <c r="EN73" s="1174"/>
      <c r="EO73" s="1175"/>
      <c r="EP73" s="1175"/>
      <c r="EQ73" s="1175"/>
      <c r="ER73" s="1175"/>
      <c r="ES73" s="1176"/>
      <c r="ET73" s="1185"/>
      <c r="EU73" s="1185"/>
      <c r="EV73" s="1185"/>
      <c r="EW73" s="1185"/>
      <c r="EX73" s="1185"/>
      <c r="EY73" s="1185"/>
      <c r="EZ73" s="1185"/>
      <c r="FA73" s="1185"/>
      <c r="FB73" s="1185"/>
      <c r="FC73" s="1185"/>
      <c r="FD73" s="1185"/>
      <c r="FE73" s="1185"/>
      <c r="FF73" s="1185"/>
      <c r="FG73" s="1178"/>
      <c r="FH73" s="1178"/>
      <c r="FJ73" s="519">
        <v>2</v>
      </c>
      <c r="FK73" s="1179"/>
      <c r="FL73" s="1180"/>
      <c r="FM73" s="1180"/>
      <c r="FN73" s="1180"/>
      <c r="FO73" s="1180"/>
      <c r="FP73" s="1181"/>
      <c r="FQ73" s="1173"/>
      <c r="FR73" s="1173"/>
      <c r="FS73" s="1173"/>
      <c r="FT73" s="1173"/>
      <c r="FU73" s="1173"/>
      <c r="FV73" s="1173"/>
      <c r="FW73" s="1173"/>
      <c r="FX73" s="1173"/>
      <c r="FY73" s="1173"/>
      <c r="FZ73" s="1173"/>
      <c r="GA73" s="1173"/>
      <c r="GB73" s="1173"/>
      <c r="GC73" s="1173"/>
      <c r="GD73" s="1183"/>
      <c r="GE73" s="1183"/>
      <c r="GH73" s="518">
        <v>63</v>
      </c>
      <c r="GI73" s="1174"/>
      <c r="GJ73" s="1175"/>
      <c r="GK73" s="1175"/>
      <c r="GL73" s="1175"/>
      <c r="GM73" s="1175"/>
      <c r="GN73" s="1176"/>
      <c r="GO73" s="1185"/>
      <c r="GP73" s="1185"/>
      <c r="GQ73" s="1185"/>
      <c r="GR73" s="1185"/>
      <c r="GS73" s="1185"/>
      <c r="GT73" s="1185"/>
      <c r="GU73" s="1185"/>
      <c r="GV73" s="1185"/>
      <c r="GW73" s="1185"/>
      <c r="GX73" s="1185"/>
      <c r="GY73" s="1185"/>
      <c r="GZ73" s="1185"/>
      <c r="HA73" s="1185"/>
      <c r="HB73" s="1178"/>
      <c r="HC73" s="1178"/>
      <c r="HE73" s="519">
        <v>2</v>
      </c>
      <c r="HF73" s="1179"/>
      <c r="HG73" s="1180"/>
      <c r="HH73" s="1180"/>
      <c r="HI73" s="1180"/>
      <c r="HJ73" s="1180"/>
      <c r="HK73" s="1181"/>
      <c r="HL73" s="1173"/>
      <c r="HM73" s="1173"/>
      <c r="HN73" s="1173"/>
      <c r="HO73" s="1173"/>
      <c r="HP73" s="1173"/>
      <c r="HQ73" s="1173"/>
      <c r="HR73" s="1173"/>
      <c r="HS73" s="1173"/>
      <c r="HT73" s="1173"/>
      <c r="HU73" s="1173"/>
      <c r="HV73" s="1173"/>
      <c r="HW73" s="1173"/>
      <c r="HX73" s="1173"/>
      <c r="HY73" s="1183"/>
      <c r="HZ73" s="1183"/>
    </row>
    <row r="74" spans="2:234" ht="17.149999999999999" customHeight="1" x14ac:dyDescent="0.25">
      <c r="B74" s="519">
        <v>64</v>
      </c>
      <c r="C74" s="1179"/>
      <c r="D74" s="1180"/>
      <c r="E74" s="1180"/>
      <c r="F74" s="1180"/>
      <c r="G74" s="1180"/>
      <c r="H74" s="1181"/>
      <c r="I74" s="1173"/>
      <c r="J74" s="1173"/>
      <c r="K74" s="1173"/>
      <c r="L74" s="1173"/>
      <c r="M74" s="1173"/>
      <c r="N74" s="1173"/>
      <c r="O74" s="1173"/>
      <c r="P74" s="1173"/>
      <c r="Q74" s="1173"/>
      <c r="R74" s="1173"/>
      <c r="S74" s="1173"/>
      <c r="T74" s="1173"/>
      <c r="U74" s="1173"/>
      <c r="V74" s="1183"/>
      <c r="W74" s="1183"/>
      <c r="Y74" s="518">
        <v>3</v>
      </c>
      <c r="Z74" s="1174"/>
      <c r="AA74" s="1175"/>
      <c r="AB74" s="1175"/>
      <c r="AC74" s="1175"/>
      <c r="AD74" s="1175"/>
      <c r="AE74" s="1176"/>
      <c r="AF74" s="1185"/>
      <c r="AG74" s="1185"/>
      <c r="AH74" s="1185"/>
      <c r="AI74" s="1185"/>
      <c r="AJ74" s="1185"/>
      <c r="AK74" s="1185"/>
      <c r="AL74" s="1185"/>
      <c r="AM74" s="1185"/>
      <c r="AN74" s="1185"/>
      <c r="AO74" s="1185"/>
      <c r="AP74" s="1185"/>
      <c r="AQ74" s="1185"/>
      <c r="AR74" s="1185"/>
      <c r="AS74" s="1178"/>
      <c r="AT74" s="1178"/>
      <c r="AW74" s="519">
        <v>64</v>
      </c>
      <c r="AX74" s="1179"/>
      <c r="AY74" s="1180"/>
      <c r="AZ74" s="1180"/>
      <c r="BA74" s="1180"/>
      <c r="BB74" s="1180"/>
      <c r="BC74" s="1181"/>
      <c r="BD74" s="1173"/>
      <c r="BE74" s="1173"/>
      <c r="BF74" s="1173"/>
      <c r="BG74" s="1173"/>
      <c r="BH74" s="1173"/>
      <c r="BI74" s="1173"/>
      <c r="BJ74" s="1173"/>
      <c r="BK74" s="1173"/>
      <c r="BL74" s="1173"/>
      <c r="BM74" s="1173"/>
      <c r="BN74" s="1173"/>
      <c r="BO74" s="1173"/>
      <c r="BP74" s="1173"/>
      <c r="BQ74" s="1183"/>
      <c r="BR74" s="1183"/>
      <c r="BT74" s="518">
        <v>3</v>
      </c>
      <c r="BU74" s="1174"/>
      <c r="BV74" s="1175"/>
      <c r="BW74" s="1175"/>
      <c r="BX74" s="1175"/>
      <c r="BY74" s="1175"/>
      <c r="BZ74" s="1176"/>
      <c r="CA74" s="1185"/>
      <c r="CB74" s="1185"/>
      <c r="CC74" s="1185"/>
      <c r="CD74" s="1185"/>
      <c r="CE74" s="1185"/>
      <c r="CF74" s="1185"/>
      <c r="CG74" s="1185"/>
      <c r="CH74" s="1185"/>
      <c r="CI74" s="1185"/>
      <c r="CJ74" s="1185"/>
      <c r="CK74" s="1185"/>
      <c r="CL74" s="1185"/>
      <c r="CM74" s="1185"/>
      <c r="CN74" s="1178"/>
      <c r="CO74" s="1178"/>
      <c r="CR74" s="519">
        <v>64</v>
      </c>
      <c r="CS74" s="1179"/>
      <c r="CT74" s="1180"/>
      <c r="CU74" s="1180"/>
      <c r="CV74" s="1180"/>
      <c r="CW74" s="1180"/>
      <c r="CX74" s="1181"/>
      <c r="CY74" s="1173"/>
      <c r="CZ74" s="1173"/>
      <c r="DA74" s="1173"/>
      <c r="DB74" s="1173"/>
      <c r="DC74" s="1173"/>
      <c r="DD74" s="1173"/>
      <c r="DE74" s="1173"/>
      <c r="DF74" s="1173"/>
      <c r="DG74" s="1173"/>
      <c r="DH74" s="1173"/>
      <c r="DI74" s="1173"/>
      <c r="DJ74" s="1173"/>
      <c r="DK74" s="1173"/>
      <c r="DL74" s="1183"/>
      <c r="DM74" s="1183"/>
      <c r="DO74" s="518">
        <v>3</v>
      </c>
      <c r="DP74" s="1174"/>
      <c r="DQ74" s="1175"/>
      <c r="DR74" s="1175"/>
      <c r="DS74" s="1175"/>
      <c r="DT74" s="1175"/>
      <c r="DU74" s="1176"/>
      <c r="DV74" s="1185"/>
      <c r="DW74" s="1185"/>
      <c r="DX74" s="1185"/>
      <c r="DY74" s="1185"/>
      <c r="DZ74" s="1185"/>
      <c r="EA74" s="1185"/>
      <c r="EB74" s="1185"/>
      <c r="EC74" s="1185"/>
      <c r="ED74" s="1185"/>
      <c r="EE74" s="1185"/>
      <c r="EF74" s="1185"/>
      <c r="EG74" s="1185"/>
      <c r="EH74" s="1185"/>
      <c r="EI74" s="1178"/>
      <c r="EJ74" s="1178"/>
      <c r="EM74" s="519">
        <v>64</v>
      </c>
      <c r="EN74" s="1179"/>
      <c r="EO74" s="1180"/>
      <c r="EP74" s="1180"/>
      <c r="EQ74" s="1180"/>
      <c r="ER74" s="1180"/>
      <c r="ES74" s="1181"/>
      <c r="ET74" s="1173"/>
      <c r="EU74" s="1173"/>
      <c r="EV74" s="1173"/>
      <c r="EW74" s="1173"/>
      <c r="EX74" s="1173"/>
      <c r="EY74" s="1173"/>
      <c r="EZ74" s="1173"/>
      <c r="FA74" s="1173"/>
      <c r="FB74" s="1173"/>
      <c r="FC74" s="1173"/>
      <c r="FD74" s="1173"/>
      <c r="FE74" s="1173"/>
      <c r="FF74" s="1173"/>
      <c r="FG74" s="1183"/>
      <c r="FH74" s="1183"/>
      <c r="FJ74" s="518">
        <v>3</v>
      </c>
      <c r="FK74" s="1174"/>
      <c r="FL74" s="1175"/>
      <c r="FM74" s="1175"/>
      <c r="FN74" s="1175"/>
      <c r="FO74" s="1175"/>
      <c r="FP74" s="1176"/>
      <c r="FQ74" s="1185"/>
      <c r="FR74" s="1185"/>
      <c r="FS74" s="1185"/>
      <c r="FT74" s="1185"/>
      <c r="FU74" s="1185"/>
      <c r="FV74" s="1185"/>
      <c r="FW74" s="1185"/>
      <c r="FX74" s="1185"/>
      <c r="FY74" s="1185"/>
      <c r="FZ74" s="1185"/>
      <c r="GA74" s="1185"/>
      <c r="GB74" s="1185"/>
      <c r="GC74" s="1185"/>
      <c r="GD74" s="1178"/>
      <c r="GE74" s="1178"/>
      <c r="GH74" s="519">
        <v>64</v>
      </c>
      <c r="GI74" s="1179"/>
      <c r="GJ74" s="1180"/>
      <c r="GK74" s="1180"/>
      <c r="GL74" s="1180"/>
      <c r="GM74" s="1180"/>
      <c r="GN74" s="1181"/>
      <c r="GO74" s="1173"/>
      <c r="GP74" s="1173"/>
      <c r="GQ74" s="1173"/>
      <c r="GR74" s="1173"/>
      <c r="GS74" s="1173"/>
      <c r="GT74" s="1173"/>
      <c r="GU74" s="1173"/>
      <c r="GV74" s="1173"/>
      <c r="GW74" s="1173"/>
      <c r="GX74" s="1173"/>
      <c r="GY74" s="1173"/>
      <c r="GZ74" s="1173"/>
      <c r="HA74" s="1173"/>
      <c r="HB74" s="1183"/>
      <c r="HC74" s="1183"/>
      <c r="HE74" s="518">
        <v>3</v>
      </c>
      <c r="HF74" s="1174"/>
      <c r="HG74" s="1175"/>
      <c r="HH74" s="1175"/>
      <c r="HI74" s="1175"/>
      <c r="HJ74" s="1175"/>
      <c r="HK74" s="1176"/>
      <c r="HL74" s="1185"/>
      <c r="HM74" s="1185"/>
      <c r="HN74" s="1185"/>
      <c r="HO74" s="1185"/>
      <c r="HP74" s="1185"/>
      <c r="HQ74" s="1185"/>
      <c r="HR74" s="1185"/>
      <c r="HS74" s="1185"/>
      <c r="HT74" s="1185"/>
      <c r="HU74" s="1185"/>
      <c r="HV74" s="1185"/>
      <c r="HW74" s="1185"/>
      <c r="HX74" s="1185"/>
      <c r="HY74" s="1178"/>
      <c r="HZ74" s="1178"/>
    </row>
    <row r="75" spans="2:234" ht="17.149999999999999" customHeight="1" x14ac:dyDescent="0.25">
      <c r="B75" s="518">
        <v>65</v>
      </c>
      <c r="C75" s="1174"/>
      <c r="D75" s="1175"/>
      <c r="E75" s="1175"/>
      <c r="F75" s="1175"/>
      <c r="G75" s="1175"/>
      <c r="H75" s="1176"/>
      <c r="I75" s="1185"/>
      <c r="J75" s="1185"/>
      <c r="K75" s="1185"/>
      <c r="L75" s="1185"/>
      <c r="M75" s="1185"/>
      <c r="N75" s="1185"/>
      <c r="O75" s="1185"/>
      <c r="P75" s="1185"/>
      <c r="Q75" s="1185"/>
      <c r="R75" s="1185"/>
      <c r="S75" s="1185"/>
      <c r="T75" s="1185"/>
      <c r="U75" s="1185"/>
      <c r="V75" s="1178"/>
      <c r="W75" s="1178"/>
      <c r="Y75" s="519">
        <v>4</v>
      </c>
      <c r="Z75" s="1179"/>
      <c r="AA75" s="1180"/>
      <c r="AB75" s="1180"/>
      <c r="AC75" s="1180"/>
      <c r="AD75" s="1180"/>
      <c r="AE75" s="1181"/>
      <c r="AF75" s="1173"/>
      <c r="AG75" s="1173"/>
      <c r="AH75" s="1173"/>
      <c r="AI75" s="1173"/>
      <c r="AJ75" s="1173"/>
      <c r="AK75" s="1173"/>
      <c r="AL75" s="1173"/>
      <c r="AM75" s="1173"/>
      <c r="AN75" s="1173"/>
      <c r="AO75" s="1173"/>
      <c r="AP75" s="1173"/>
      <c r="AQ75" s="1173"/>
      <c r="AR75" s="1173"/>
      <c r="AS75" s="1183"/>
      <c r="AT75" s="1183"/>
      <c r="AW75" s="518">
        <v>65</v>
      </c>
      <c r="AX75" s="1174"/>
      <c r="AY75" s="1175"/>
      <c r="AZ75" s="1175"/>
      <c r="BA75" s="1175"/>
      <c r="BB75" s="1175"/>
      <c r="BC75" s="1176"/>
      <c r="BD75" s="1185"/>
      <c r="BE75" s="1185"/>
      <c r="BF75" s="1185"/>
      <c r="BG75" s="1185"/>
      <c r="BH75" s="1185"/>
      <c r="BI75" s="1185"/>
      <c r="BJ75" s="1185"/>
      <c r="BK75" s="1185"/>
      <c r="BL75" s="1185"/>
      <c r="BM75" s="1185"/>
      <c r="BN75" s="1185"/>
      <c r="BO75" s="1185"/>
      <c r="BP75" s="1185"/>
      <c r="BQ75" s="1178"/>
      <c r="BR75" s="1178"/>
      <c r="BT75" s="519">
        <v>4</v>
      </c>
      <c r="BU75" s="1179"/>
      <c r="BV75" s="1180"/>
      <c r="BW75" s="1180"/>
      <c r="BX75" s="1180"/>
      <c r="BY75" s="1180"/>
      <c r="BZ75" s="1181"/>
      <c r="CA75" s="1173"/>
      <c r="CB75" s="1173"/>
      <c r="CC75" s="1173"/>
      <c r="CD75" s="1173"/>
      <c r="CE75" s="1173"/>
      <c r="CF75" s="1173"/>
      <c r="CG75" s="1173"/>
      <c r="CH75" s="1173"/>
      <c r="CI75" s="1173"/>
      <c r="CJ75" s="1173"/>
      <c r="CK75" s="1173"/>
      <c r="CL75" s="1173"/>
      <c r="CM75" s="1173"/>
      <c r="CN75" s="1183"/>
      <c r="CO75" s="1183"/>
      <c r="CR75" s="518">
        <v>65</v>
      </c>
      <c r="CS75" s="1174"/>
      <c r="CT75" s="1175"/>
      <c r="CU75" s="1175"/>
      <c r="CV75" s="1175"/>
      <c r="CW75" s="1175"/>
      <c r="CX75" s="1176"/>
      <c r="CY75" s="1185"/>
      <c r="CZ75" s="1185"/>
      <c r="DA75" s="1185"/>
      <c r="DB75" s="1185"/>
      <c r="DC75" s="1185"/>
      <c r="DD75" s="1185"/>
      <c r="DE75" s="1185"/>
      <c r="DF75" s="1185"/>
      <c r="DG75" s="1185"/>
      <c r="DH75" s="1185"/>
      <c r="DI75" s="1185"/>
      <c r="DJ75" s="1185"/>
      <c r="DK75" s="1185"/>
      <c r="DL75" s="1178"/>
      <c r="DM75" s="1178"/>
      <c r="DO75" s="519">
        <v>4</v>
      </c>
      <c r="DP75" s="1179"/>
      <c r="DQ75" s="1180"/>
      <c r="DR75" s="1180"/>
      <c r="DS75" s="1180"/>
      <c r="DT75" s="1180"/>
      <c r="DU75" s="1181"/>
      <c r="DV75" s="1173"/>
      <c r="DW75" s="1173"/>
      <c r="DX75" s="1173"/>
      <c r="DY75" s="1173"/>
      <c r="DZ75" s="1173"/>
      <c r="EA75" s="1173"/>
      <c r="EB75" s="1173"/>
      <c r="EC75" s="1173"/>
      <c r="ED75" s="1173"/>
      <c r="EE75" s="1173"/>
      <c r="EF75" s="1173"/>
      <c r="EG75" s="1173"/>
      <c r="EH75" s="1173"/>
      <c r="EI75" s="1183"/>
      <c r="EJ75" s="1183"/>
      <c r="EM75" s="518">
        <v>65</v>
      </c>
      <c r="EN75" s="1174"/>
      <c r="EO75" s="1175"/>
      <c r="EP75" s="1175"/>
      <c r="EQ75" s="1175"/>
      <c r="ER75" s="1175"/>
      <c r="ES75" s="1176"/>
      <c r="ET75" s="1185"/>
      <c r="EU75" s="1185"/>
      <c r="EV75" s="1185"/>
      <c r="EW75" s="1185"/>
      <c r="EX75" s="1185"/>
      <c r="EY75" s="1185"/>
      <c r="EZ75" s="1185"/>
      <c r="FA75" s="1185"/>
      <c r="FB75" s="1185"/>
      <c r="FC75" s="1185"/>
      <c r="FD75" s="1185"/>
      <c r="FE75" s="1185"/>
      <c r="FF75" s="1185"/>
      <c r="FG75" s="1178"/>
      <c r="FH75" s="1178"/>
      <c r="FJ75" s="519">
        <v>4</v>
      </c>
      <c r="FK75" s="1179"/>
      <c r="FL75" s="1180"/>
      <c r="FM75" s="1180"/>
      <c r="FN75" s="1180"/>
      <c r="FO75" s="1180"/>
      <c r="FP75" s="1181"/>
      <c r="FQ75" s="1173"/>
      <c r="FR75" s="1173"/>
      <c r="FS75" s="1173"/>
      <c r="FT75" s="1173"/>
      <c r="FU75" s="1173"/>
      <c r="FV75" s="1173"/>
      <c r="FW75" s="1173"/>
      <c r="FX75" s="1173"/>
      <c r="FY75" s="1173"/>
      <c r="FZ75" s="1173"/>
      <c r="GA75" s="1173"/>
      <c r="GB75" s="1173"/>
      <c r="GC75" s="1173"/>
      <c r="GD75" s="1183"/>
      <c r="GE75" s="1183"/>
      <c r="GH75" s="518">
        <v>65</v>
      </c>
      <c r="GI75" s="1174"/>
      <c r="GJ75" s="1175"/>
      <c r="GK75" s="1175"/>
      <c r="GL75" s="1175"/>
      <c r="GM75" s="1175"/>
      <c r="GN75" s="1176"/>
      <c r="GO75" s="1185"/>
      <c r="GP75" s="1185"/>
      <c r="GQ75" s="1185"/>
      <c r="GR75" s="1185"/>
      <c r="GS75" s="1185"/>
      <c r="GT75" s="1185"/>
      <c r="GU75" s="1185"/>
      <c r="GV75" s="1185"/>
      <c r="GW75" s="1185"/>
      <c r="GX75" s="1185"/>
      <c r="GY75" s="1185"/>
      <c r="GZ75" s="1185"/>
      <c r="HA75" s="1185"/>
      <c r="HB75" s="1178"/>
      <c r="HC75" s="1178"/>
      <c r="HE75" s="519">
        <v>4</v>
      </c>
      <c r="HF75" s="1179"/>
      <c r="HG75" s="1180"/>
      <c r="HH75" s="1180"/>
      <c r="HI75" s="1180"/>
      <c r="HJ75" s="1180"/>
      <c r="HK75" s="1181"/>
      <c r="HL75" s="1173"/>
      <c r="HM75" s="1173"/>
      <c r="HN75" s="1173"/>
      <c r="HO75" s="1173"/>
      <c r="HP75" s="1173"/>
      <c r="HQ75" s="1173"/>
      <c r="HR75" s="1173"/>
      <c r="HS75" s="1173"/>
      <c r="HT75" s="1173"/>
      <c r="HU75" s="1173"/>
      <c r="HV75" s="1173"/>
      <c r="HW75" s="1173"/>
      <c r="HX75" s="1173"/>
      <c r="HY75" s="1183"/>
      <c r="HZ75" s="1183"/>
    </row>
    <row r="76" spans="2:234" ht="17.149999999999999" customHeight="1" x14ac:dyDescent="0.25">
      <c r="B76" s="519">
        <v>66</v>
      </c>
      <c r="C76" s="1179"/>
      <c r="D76" s="1180"/>
      <c r="E76" s="1180"/>
      <c r="F76" s="1180"/>
      <c r="G76" s="1180"/>
      <c r="H76" s="1181"/>
      <c r="I76" s="1173"/>
      <c r="J76" s="1173"/>
      <c r="K76" s="1173"/>
      <c r="L76" s="1173"/>
      <c r="M76" s="1173"/>
      <c r="N76" s="1173"/>
      <c r="O76" s="1173"/>
      <c r="P76" s="1173"/>
      <c r="Q76" s="1173"/>
      <c r="R76" s="1173"/>
      <c r="S76" s="1173"/>
      <c r="T76" s="1173"/>
      <c r="U76" s="1173"/>
      <c r="V76" s="1183"/>
      <c r="W76" s="1183"/>
      <c r="Y76" s="518">
        <v>5</v>
      </c>
      <c r="Z76" s="1174"/>
      <c r="AA76" s="1175"/>
      <c r="AB76" s="1175"/>
      <c r="AC76" s="1175"/>
      <c r="AD76" s="1175"/>
      <c r="AE76" s="1176"/>
      <c r="AF76" s="1185"/>
      <c r="AG76" s="1185"/>
      <c r="AH76" s="1185"/>
      <c r="AI76" s="1185"/>
      <c r="AJ76" s="1185"/>
      <c r="AK76" s="1185"/>
      <c r="AL76" s="1185"/>
      <c r="AM76" s="1185"/>
      <c r="AN76" s="1185"/>
      <c r="AO76" s="1185"/>
      <c r="AP76" s="1185"/>
      <c r="AQ76" s="1185"/>
      <c r="AR76" s="1185"/>
      <c r="AS76" s="1178"/>
      <c r="AT76" s="1178"/>
      <c r="AW76" s="519">
        <v>66</v>
      </c>
      <c r="AX76" s="1179"/>
      <c r="AY76" s="1180"/>
      <c r="AZ76" s="1180"/>
      <c r="BA76" s="1180"/>
      <c r="BB76" s="1180"/>
      <c r="BC76" s="1181"/>
      <c r="BD76" s="1173"/>
      <c r="BE76" s="1173"/>
      <c r="BF76" s="1173"/>
      <c r="BG76" s="1173"/>
      <c r="BH76" s="1173"/>
      <c r="BI76" s="1173"/>
      <c r="BJ76" s="1173"/>
      <c r="BK76" s="1173"/>
      <c r="BL76" s="1173"/>
      <c r="BM76" s="1173"/>
      <c r="BN76" s="1173"/>
      <c r="BO76" s="1173"/>
      <c r="BP76" s="1173"/>
      <c r="BQ76" s="1183"/>
      <c r="BR76" s="1183"/>
      <c r="BT76" s="518">
        <v>5</v>
      </c>
      <c r="BU76" s="1174"/>
      <c r="BV76" s="1175"/>
      <c r="BW76" s="1175"/>
      <c r="BX76" s="1175"/>
      <c r="BY76" s="1175"/>
      <c r="BZ76" s="1176"/>
      <c r="CA76" s="1185"/>
      <c r="CB76" s="1185"/>
      <c r="CC76" s="1185"/>
      <c r="CD76" s="1185"/>
      <c r="CE76" s="1185"/>
      <c r="CF76" s="1185"/>
      <c r="CG76" s="1185"/>
      <c r="CH76" s="1185"/>
      <c r="CI76" s="1185"/>
      <c r="CJ76" s="1185"/>
      <c r="CK76" s="1185"/>
      <c r="CL76" s="1185"/>
      <c r="CM76" s="1185"/>
      <c r="CN76" s="1178"/>
      <c r="CO76" s="1178"/>
      <c r="CR76" s="519">
        <v>66</v>
      </c>
      <c r="CS76" s="1179"/>
      <c r="CT76" s="1180"/>
      <c r="CU76" s="1180"/>
      <c r="CV76" s="1180"/>
      <c r="CW76" s="1180"/>
      <c r="CX76" s="1181"/>
      <c r="CY76" s="1173"/>
      <c r="CZ76" s="1173"/>
      <c r="DA76" s="1173"/>
      <c r="DB76" s="1173"/>
      <c r="DC76" s="1173"/>
      <c r="DD76" s="1173"/>
      <c r="DE76" s="1173"/>
      <c r="DF76" s="1173"/>
      <c r="DG76" s="1173"/>
      <c r="DH76" s="1173"/>
      <c r="DI76" s="1173"/>
      <c r="DJ76" s="1173"/>
      <c r="DK76" s="1173"/>
      <c r="DL76" s="1183"/>
      <c r="DM76" s="1183"/>
      <c r="DO76" s="518">
        <v>5</v>
      </c>
      <c r="DP76" s="1174"/>
      <c r="DQ76" s="1175"/>
      <c r="DR76" s="1175"/>
      <c r="DS76" s="1175"/>
      <c r="DT76" s="1175"/>
      <c r="DU76" s="1176"/>
      <c r="DV76" s="1185"/>
      <c r="DW76" s="1185"/>
      <c r="DX76" s="1185"/>
      <c r="DY76" s="1185"/>
      <c r="DZ76" s="1185"/>
      <c r="EA76" s="1185"/>
      <c r="EB76" s="1185"/>
      <c r="EC76" s="1185"/>
      <c r="ED76" s="1185"/>
      <c r="EE76" s="1185"/>
      <c r="EF76" s="1185"/>
      <c r="EG76" s="1185"/>
      <c r="EH76" s="1185"/>
      <c r="EI76" s="1178"/>
      <c r="EJ76" s="1178"/>
      <c r="EM76" s="519">
        <v>66</v>
      </c>
      <c r="EN76" s="1179"/>
      <c r="EO76" s="1180"/>
      <c r="EP76" s="1180"/>
      <c r="EQ76" s="1180"/>
      <c r="ER76" s="1180"/>
      <c r="ES76" s="1181"/>
      <c r="ET76" s="1173"/>
      <c r="EU76" s="1173"/>
      <c r="EV76" s="1173"/>
      <c r="EW76" s="1173"/>
      <c r="EX76" s="1173"/>
      <c r="EY76" s="1173"/>
      <c r="EZ76" s="1173"/>
      <c r="FA76" s="1173"/>
      <c r="FB76" s="1173"/>
      <c r="FC76" s="1173"/>
      <c r="FD76" s="1173"/>
      <c r="FE76" s="1173"/>
      <c r="FF76" s="1173"/>
      <c r="FG76" s="1183"/>
      <c r="FH76" s="1183"/>
      <c r="FJ76" s="518">
        <v>5</v>
      </c>
      <c r="FK76" s="1174"/>
      <c r="FL76" s="1175"/>
      <c r="FM76" s="1175"/>
      <c r="FN76" s="1175"/>
      <c r="FO76" s="1175"/>
      <c r="FP76" s="1176"/>
      <c r="FQ76" s="1185"/>
      <c r="FR76" s="1185"/>
      <c r="FS76" s="1185"/>
      <c r="FT76" s="1185"/>
      <c r="FU76" s="1185"/>
      <c r="FV76" s="1185"/>
      <c r="FW76" s="1185"/>
      <c r="FX76" s="1185"/>
      <c r="FY76" s="1185"/>
      <c r="FZ76" s="1185"/>
      <c r="GA76" s="1185"/>
      <c r="GB76" s="1185"/>
      <c r="GC76" s="1185"/>
      <c r="GD76" s="1178"/>
      <c r="GE76" s="1178"/>
      <c r="GH76" s="519">
        <v>66</v>
      </c>
      <c r="GI76" s="1179"/>
      <c r="GJ76" s="1180"/>
      <c r="GK76" s="1180"/>
      <c r="GL76" s="1180"/>
      <c r="GM76" s="1180"/>
      <c r="GN76" s="1181"/>
      <c r="GO76" s="1173"/>
      <c r="GP76" s="1173"/>
      <c r="GQ76" s="1173"/>
      <c r="GR76" s="1173"/>
      <c r="GS76" s="1173"/>
      <c r="GT76" s="1173"/>
      <c r="GU76" s="1173"/>
      <c r="GV76" s="1173"/>
      <c r="GW76" s="1173"/>
      <c r="GX76" s="1173"/>
      <c r="GY76" s="1173"/>
      <c r="GZ76" s="1173"/>
      <c r="HA76" s="1173"/>
      <c r="HB76" s="1183"/>
      <c r="HC76" s="1183"/>
      <c r="HE76" s="518">
        <v>5</v>
      </c>
      <c r="HF76" s="1174"/>
      <c r="HG76" s="1175"/>
      <c r="HH76" s="1175"/>
      <c r="HI76" s="1175"/>
      <c r="HJ76" s="1175"/>
      <c r="HK76" s="1176"/>
      <c r="HL76" s="1185"/>
      <c r="HM76" s="1185"/>
      <c r="HN76" s="1185"/>
      <c r="HO76" s="1185"/>
      <c r="HP76" s="1185"/>
      <c r="HQ76" s="1185"/>
      <c r="HR76" s="1185"/>
      <c r="HS76" s="1185"/>
      <c r="HT76" s="1185"/>
      <c r="HU76" s="1185"/>
      <c r="HV76" s="1185"/>
      <c r="HW76" s="1185"/>
      <c r="HX76" s="1185"/>
      <c r="HY76" s="1178"/>
      <c r="HZ76" s="1178"/>
    </row>
    <row r="77" spans="2:234" ht="17.149999999999999" customHeight="1" x14ac:dyDescent="0.25">
      <c r="B77" s="518">
        <v>67</v>
      </c>
      <c r="C77" s="1174"/>
      <c r="D77" s="1175"/>
      <c r="E77" s="1175"/>
      <c r="F77" s="1175"/>
      <c r="G77" s="1175"/>
      <c r="H77" s="1176"/>
      <c r="I77" s="1185"/>
      <c r="J77" s="1185"/>
      <c r="K77" s="1185"/>
      <c r="L77" s="1185"/>
      <c r="M77" s="1185"/>
      <c r="N77" s="1185"/>
      <c r="O77" s="1185"/>
      <c r="P77" s="1185"/>
      <c r="Q77" s="1185"/>
      <c r="R77" s="1185"/>
      <c r="S77" s="1185"/>
      <c r="T77" s="1185"/>
      <c r="U77" s="1185"/>
      <c r="V77" s="1178"/>
      <c r="W77" s="1178"/>
      <c r="Y77" s="519">
        <v>6</v>
      </c>
      <c r="Z77" s="1179"/>
      <c r="AA77" s="1180"/>
      <c r="AB77" s="1180"/>
      <c r="AC77" s="1180"/>
      <c r="AD77" s="1180"/>
      <c r="AE77" s="1181"/>
      <c r="AF77" s="1173"/>
      <c r="AG77" s="1173"/>
      <c r="AH77" s="1173"/>
      <c r="AI77" s="1173"/>
      <c r="AJ77" s="1173"/>
      <c r="AK77" s="1173"/>
      <c r="AL77" s="1173"/>
      <c r="AM77" s="1173"/>
      <c r="AN77" s="1173"/>
      <c r="AO77" s="1173"/>
      <c r="AP77" s="1173"/>
      <c r="AQ77" s="1173"/>
      <c r="AR77" s="1173"/>
      <c r="AS77" s="1183"/>
      <c r="AT77" s="1183"/>
      <c r="AW77" s="518">
        <v>67</v>
      </c>
      <c r="AX77" s="1174"/>
      <c r="AY77" s="1175"/>
      <c r="AZ77" s="1175"/>
      <c r="BA77" s="1175"/>
      <c r="BB77" s="1175"/>
      <c r="BC77" s="1176"/>
      <c r="BD77" s="1185"/>
      <c r="BE77" s="1185"/>
      <c r="BF77" s="1185"/>
      <c r="BG77" s="1185"/>
      <c r="BH77" s="1185"/>
      <c r="BI77" s="1185"/>
      <c r="BJ77" s="1185"/>
      <c r="BK77" s="1185"/>
      <c r="BL77" s="1185"/>
      <c r="BM77" s="1185"/>
      <c r="BN77" s="1185"/>
      <c r="BO77" s="1185"/>
      <c r="BP77" s="1185"/>
      <c r="BQ77" s="1178"/>
      <c r="BR77" s="1178"/>
      <c r="BT77" s="519">
        <v>6</v>
      </c>
      <c r="BU77" s="1179"/>
      <c r="BV77" s="1180"/>
      <c r="BW77" s="1180"/>
      <c r="BX77" s="1180"/>
      <c r="BY77" s="1180"/>
      <c r="BZ77" s="1181"/>
      <c r="CA77" s="1173"/>
      <c r="CB77" s="1173"/>
      <c r="CC77" s="1173"/>
      <c r="CD77" s="1173"/>
      <c r="CE77" s="1173"/>
      <c r="CF77" s="1173"/>
      <c r="CG77" s="1173"/>
      <c r="CH77" s="1173"/>
      <c r="CI77" s="1173"/>
      <c r="CJ77" s="1173"/>
      <c r="CK77" s="1173"/>
      <c r="CL77" s="1173"/>
      <c r="CM77" s="1173"/>
      <c r="CN77" s="1183"/>
      <c r="CO77" s="1183"/>
      <c r="CR77" s="518">
        <v>67</v>
      </c>
      <c r="CS77" s="1174"/>
      <c r="CT77" s="1175"/>
      <c r="CU77" s="1175"/>
      <c r="CV77" s="1175"/>
      <c r="CW77" s="1175"/>
      <c r="CX77" s="1176"/>
      <c r="CY77" s="1185"/>
      <c r="CZ77" s="1185"/>
      <c r="DA77" s="1185"/>
      <c r="DB77" s="1185"/>
      <c r="DC77" s="1185"/>
      <c r="DD77" s="1185"/>
      <c r="DE77" s="1185"/>
      <c r="DF77" s="1185"/>
      <c r="DG77" s="1185"/>
      <c r="DH77" s="1185"/>
      <c r="DI77" s="1185"/>
      <c r="DJ77" s="1185"/>
      <c r="DK77" s="1185"/>
      <c r="DL77" s="1178"/>
      <c r="DM77" s="1178"/>
      <c r="DO77" s="519">
        <v>6</v>
      </c>
      <c r="DP77" s="1179"/>
      <c r="DQ77" s="1180"/>
      <c r="DR77" s="1180"/>
      <c r="DS77" s="1180"/>
      <c r="DT77" s="1180"/>
      <c r="DU77" s="1181"/>
      <c r="DV77" s="1173"/>
      <c r="DW77" s="1173"/>
      <c r="DX77" s="1173"/>
      <c r="DY77" s="1173"/>
      <c r="DZ77" s="1173"/>
      <c r="EA77" s="1173"/>
      <c r="EB77" s="1173"/>
      <c r="EC77" s="1173"/>
      <c r="ED77" s="1173"/>
      <c r="EE77" s="1173"/>
      <c r="EF77" s="1173"/>
      <c r="EG77" s="1173"/>
      <c r="EH77" s="1173"/>
      <c r="EI77" s="1183"/>
      <c r="EJ77" s="1183"/>
      <c r="EM77" s="518">
        <v>67</v>
      </c>
      <c r="EN77" s="1174"/>
      <c r="EO77" s="1175"/>
      <c r="EP77" s="1175"/>
      <c r="EQ77" s="1175"/>
      <c r="ER77" s="1175"/>
      <c r="ES77" s="1176"/>
      <c r="ET77" s="1185"/>
      <c r="EU77" s="1185"/>
      <c r="EV77" s="1185"/>
      <c r="EW77" s="1185"/>
      <c r="EX77" s="1185"/>
      <c r="EY77" s="1185"/>
      <c r="EZ77" s="1185"/>
      <c r="FA77" s="1185"/>
      <c r="FB77" s="1185"/>
      <c r="FC77" s="1185"/>
      <c r="FD77" s="1185"/>
      <c r="FE77" s="1185"/>
      <c r="FF77" s="1185"/>
      <c r="FG77" s="1178"/>
      <c r="FH77" s="1178"/>
      <c r="FJ77" s="519">
        <v>6</v>
      </c>
      <c r="FK77" s="1179"/>
      <c r="FL77" s="1180"/>
      <c r="FM77" s="1180"/>
      <c r="FN77" s="1180"/>
      <c r="FO77" s="1180"/>
      <c r="FP77" s="1181"/>
      <c r="FQ77" s="1173"/>
      <c r="FR77" s="1173"/>
      <c r="FS77" s="1173"/>
      <c r="FT77" s="1173"/>
      <c r="FU77" s="1173"/>
      <c r="FV77" s="1173"/>
      <c r="FW77" s="1173"/>
      <c r="FX77" s="1173"/>
      <c r="FY77" s="1173"/>
      <c r="FZ77" s="1173"/>
      <c r="GA77" s="1173"/>
      <c r="GB77" s="1173"/>
      <c r="GC77" s="1173"/>
      <c r="GD77" s="1183"/>
      <c r="GE77" s="1183"/>
      <c r="GH77" s="518">
        <v>67</v>
      </c>
      <c r="GI77" s="1174"/>
      <c r="GJ77" s="1175"/>
      <c r="GK77" s="1175"/>
      <c r="GL77" s="1175"/>
      <c r="GM77" s="1175"/>
      <c r="GN77" s="1176"/>
      <c r="GO77" s="1185"/>
      <c r="GP77" s="1185"/>
      <c r="GQ77" s="1185"/>
      <c r="GR77" s="1185"/>
      <c r="GS77" s="1185"/>
      <c r="GT77" s="1185"/>
      <c r="GU77" s="1185"/>
      <c r="GV77" s="1185"/>
      <c r="GW77" s="1185"/>
      <c r="GX77" s="1185"/>
      <c r="GY77" s="1185"/>
      <c r="GZ77" s="1185"/>
      <c r="HA77" s="1185"/>
      <c r="HB77" s="1178"/>
      <c r="HC77" s="1178"/>
      <c r="HE77" s="519">
        <v>6</v>
      </c>
      <c r="HF77" s="1179"/>
      <c r="HG77" s="1180"/>
      <c r="HH77" s="1180"/>
      <c r="HI77" s="1180"/>
      <c r="HJ77" s="1180"/>
      <c r="HK77" s="1181"/>
      <c r="HL77" s="1173"/>
      <c r="HM77" s="1173"/>
      <c r="HN77" s="1173"/>
      <c r="HO77" s="1173"/>
      <c r="HP77" s="1173"/>
      <c r="HQ77" s="1173"/>
      <c r="HR77" s="1173"/>
      <c r="HS77" s="1173"/>
      <c r="HT77" s="1173"/>
      <c r="HU77" s="1173"/>
      <c r="HV77" s="1173"/>
      <c r="HW77" s="1173"/>
      <c r="HX77" s="1173"/>
      <c r="HY77" s="1183"/>
      <c r="HZ77" s="1183"/>
    </row>
    <row r="78" spans="2:234" ht="17.149999999999999" customHeight="1" x14ac:dyDescent="0.25">
      <c r="B78" s="519">
        <v>68</v>
      </c>
      <c r="C78" s="1179"/>
      <c r="D78" s="1180"/>
      <c r="E78" s="1180"/>
      <c r="F78" s="1180"/>
      <c r="G78" s="1180"/>
      <c r="H78" s="1181"/>
      <c r="I78" s="1173"/>
      <c r="J78" s="1173"/>
      <c r="K78" s="1173"/>
      <c r="L78" s="1173"/>
      <c r="M78" s="1173"/>
      <c r="N78" s="1173"/>
      <c r="O78" s="1173"/>
      <c r="P78" s="1173"/>
      <c r="Q78" s="1173"/>
      <c r="R78" s="1173"/>
      <c r="S78" s="1173"/>
      <c r="T78" s="1173"/>
      <c r="U78" s="1173"/>
      <c r="V78" s="1183"/>
      <c r="W78" s="1183"/>
      <c r="Y78" s="518">
        <v>7</v>
      </c>
      <c r="Z78" s="1174"/>
      <c r="AA78" s="1175"/>
      <c r="AB78" s="1175"/>
      <c r="AC78" s="1175"/>
      <c r="AD78" s="1175"/>
      <c r="AE78" s="1176"/>
      <c r="AF78" s="1185"/>
      <c r="AG78" s="1185"/>
      <c r="AH78" s="1185"/>
      <c r="AI78" s="1185"/>
      <c r="AJ78" s="1185"/>
      <c r="AK78" s="1185"/>
      <c r="AL78" s="1185"/>
      <c r="AM78" s="1185"/>
      <c r="AN78" s="1185"/>
      <c r="AO78" s="1185"/>
      <c r="AP78" s="1185"/>
      <c r="AQ78" s="1185"/>
      <c r="AR78" s="1185"/>
      <c r="AS78" s="1178"/>
      <c r="AT78" s="1178"/>
      <c r="AW78" s="519">
        <v>68</v>
      </c>
      <c r="AX78" s="1179"/>
      <c r="AY78" s="1180"/>
      <c r="AZ78" s="1180"/>
      <c r="BA78" s="1180"/>
      <c r="BB78" s="1180"/>
      <c r="BC78" s="1181"/>
      <c r="BD78" s="1173"/>
      <c r="BE78" s="1173"/>
      <c r="BF78" s="1173"/>
      <c r="BG78" s="1173"/>
      <c r="BH78" s="1173"/>
      <c r="BI78" s="1173"/>
      <c r="BJ78" s="1173"/>
      <c r="BK78" s="1173"/>
      <c r="BL78" s="1173"/>
      <c r="BM78" s="1173"/>
      <c r="BN78" s="1173"/>
      <c r="BO78" s="1173"/>
      <c r="BP78" s="1173"/>
      <c r="BQ78" s="1183"/>
      <c r="BR78" s="1183"/>
      <c r="BT78" s="518">
        <v>7</v>
      </c>
      <c r="BU78" s="1174"/>
      <c r="BV78" s="1175"/>
      <c r="BW78" s="1175"/>
      <c r="BX78" s="1175"/>
      <c r="BY78" s="1175"/>
      <c r="BZ78" s="1176"/>
      <c r="CA78" s="1185"/>
      <c r="CB78" s="1185"/>
      <c r="CC78" s="1185"/>
      <c r="CD78" s="1185"/>
      <c r="CE78" s="1185"/>
      <c r="CF78" s="1185"/>
      <c r="CG78" s="1185"/>
      <c r="CH78" s="1185"/>
      <c r="CI78" s="1185"/>
      <c r="CJ78" s="1185"/>
      <c r="CK78" s="1185"/>
      <c r="CL78" s="1185"/>
      <c r="CM78" s="1185"/>
      <c r="CN78" s="1178"/>
      <c r="CO78" s="1178"/>
      <c r="CR78" s="519">
        <v>68</v>
      </c>
      <c r="CS78" s="1179"/>
      <c r="CT78" s="1180"/>
      <c r="CU78" s="1180"/>
      <c r="CV78" s="1180"/>
      <c r="CW78" s="1180"/>
      <c r="CX78" s="1181"/>
      <c r="CY78" s="1173"/>
      <c r="CZ78" s="1173"/>
      <c r="DA78" s="1173"/>
      <c r="DB78" s="1173"/>
      <c r="DC78" s="1173"/>
      <c r="DD78" s="1173"/>
      <c r="DE78" s="1173"/>
      <c r="DF78" s="1173"/>
      <c r="DG78" s="1173"/>
      <c r="DH78" s="1173"/>
      <c r="DI78" s="1173"/>
      <c r="DJ78" s="1173"/>
      <c r="DK78" s="1173"/>
      <c r="DL78" s="1183"/>
      <c r="DM78" s="1183"/>
      <c r="DO78" s="518">
        <v>7</v>
      </c>
      <c r="DP78" s="1174"/>
      <c r="DQ78" s="1175"/>
      <c r="DR78" s="1175"/>
      <c r="DS78" s="1175"/>
      <c r="DT78" s="1175"/>
      <c r="DU78" s="1176"/>
      <c r="DV78" s="1185"/>
      <c r="DW78" s="1185"/>
      <c r="DX78" s="1185"/>
      <c r="DY78" s="1185"/>
      <c r="DZ78" s="1185"/>
      <c r="EA78" s="1185"/>
      <c r="EB78" s="1185"/>
      <c r="EC78" s="1185"/>
      <c r="ED78" s="1185"/>
      <c r="EE78" s="1185"/>
      <c r="EF78" s="1185"/>
      <c r="EG78" s="1185"/>
      <c r="EH78" s="1185"/>
      <c r="EI78" s="1178"/>
      <c r="EJ78" s="1178"/>
      <c r="EM78" s="519">
        <v>68</v>
      </c>
      <c r="EN78" s="1179"/>
      <c r="EO78" s="1180"/>
      <c r="EP78" s="1180"/>
      <c r="EQ78" s="1180"/>
      <c r="ER78" s="1180"/>
      <c r="ES78" s="1181"/>
      <c r="ET78" s="1173"/>
      <c r="EU78" s="1173"/>
      <c r="EV78" s="1173"/>
      <c r="EW78" s="1173"/>
      <c r="EX78" s="1173"/>
      <c r="EY78" s="1173"/>
      <c r="EZ78" s="1173"/>
      <c r="FA78" s="1173"/>
      <c r="FB78" s="1173"/>
      <c r="FC78" s="1173"/>
      <c r="FD78" s="1173"/>
      <c r="FE78" s="1173"/>
      <c r="FF78" s="1173"/>
      <c r="FG78" s="1183"/>
      <c r="FH78" s="1183"/>
      <c r="FJ78" s="518">
        <v>7</v>
      </c>
      <c r="FK78" s="1174"/>
      <c r="FL78" s="1175"/>
      <c r="FM78" s="1175"/>
      <c r="FN78" s="1175"/>
      <c r="FO78" s="1175"/>
      <c r="FP78" s="1176"/>
      <c r="FQ78" s="1185"/>
      <c r="FR78" s="1185"/>
      <c r="FS78" s="1185"/>
      <c r="FT78" s="1185"/>
      <c r="FU78" s="1185"/>
      <c r="FV78" s="1185"/>
      <c r="FW78" s="1185"/>
      <c r="FX78" s="1185"/>
      <c r="FY78" s="1185"/>
      <c r="FZ78" s="1185"/>
      <c r="GA78" s="1185"/>
      <c r="GB78" s="1185"/>
      <c r="GC78" s="1185"/>
      <c r="GD78" s="1178"/>
      <c r="GE78" s="1178"/>
      <c r="GH78" s="519">
        <v>68</v>
      </c>
      <c r="GI78" s="1179"/>
      <c r="GJ78" s="1180"/>
      <c r="GK78" s="1180"/>
      <c r="GL78" s="1180"/>
      <c r="GM78" s="1180"/>
      <c r="GN78" s="1181"/>
      <c r="GO78" s="1173"/>
      <c r="GP78" s="1173"/>
      <c r="GQ78" s="1173"/>
      <c r="GR78" s="1173"/>
      <c r="GS78" s="1173"/>
      <c r="GT78" s="1173"/>
      <c r="GU78" s="1173"/>
      <c r="GV78" s="1173"/>
      <c r="GW78" s="1173"/>
      <c r="GX78" s="1173"/>
      <c r="GY78" s="1173"/>
      <c r="GZ78" s="1173"/>
      <c r="HA78" s="1173"/>
      <c r="HB78" s="1183"/>
      <c r="HC78" s="1183"/>
      <c r="HE78" s="518">
        <v>7</v>
      </c>
      <c r="HF78" s="1174"/>
      <c r="HG78" s="1175"/>
      <c r="HH78" s="1175"/>
      <c r="HI78" s="1175"/>
      <c r="HJ78" s="1175"/>
      <c r="HK78" s="1176"/>
      <c r="HL78" s="1185"/>
      <c r="HM78" s="1185"/>
      <c r="HN78" s="1185"/>
      <c r="HO78" s="1185"/>
      <c r="HP78" s="1185"/>
      <c r="HQ78" s="1185"/>
      <c r="HR78" s="1185"/>
      <c r="HS78" s="1185"/>
      <c r="HT78" s="1185"/>
      <c r="HU78" s="1185"/>
      <c r="HV78" s="1185"/>
      <c r="HW78" s="1185"/>
      <c r="HX78" s="1185"/>
      <c r="HY78" s="1178"/>
      <c r="HZ78" s="1178"/>
    </row>
    <row r="79" spans="2:234" ht="17.149999999999999" customHeight="1" x14ac:dyDescent="0.25">
      <c r="B79" s="518">
        <v>69</v>
      </c>
      <c r="C79" s="1174"/>
      <c r="D79" s="1175"/>
      <c r="E79" s="1175"/>
      <c r="F79" s="1175"/>
      <c r="G79" s="1175"/>
      <c r="H79" s="1176"/>
      <c r="I79" s="1185"/>
      <c r="J79" s="1185"/>
      <c r="K79" s="1185"/>
      <c r="L79" s="1185"/>
      <c r="M79" s="1185"/>
      <c r="N79" s="1185"/>
      <c r="O79" s="1185"/>
      <c r="P79" s="1185"/>
      <c r="Q79" s="1185"/>
      <c r="R79" s="1185"/>
      <c r="S79" s="1185"/>
      <c r="T79" s="1185"/>
      <c r="U79" s="1185"/>
      <c r="V79" s="1178"/>
      <c r="W79" s="1178"/>
      <c r="Y79" s="519">
        <v>8</v>
      </c>
      <c r="Z79" s="1179"/>
      <c r="AA79" s="1180"/>
      <c r="AB79" s="1180"/>
      <c r="AC79" s="1180"/>
      <c r="AD79" s="1180"/>
      <c r="AE79" s="1181"/>
      <c r="AF79" s="1173"/>
      <c r="AG79" s="1173"/>
      <c r="AH79" s="1173"/>
      <c r="AI79" s="1173"/>
      <c r="AJ79" s="1173"/>
      <c r="AK79" s="1173"/>
      <c r="AL79" s="1173"/>
      <c r="AM79" s="1173"/>
      <c r="AN79" s="1173"/>
      <c r="AO79" s="1173"/>
      <c r="AP79" s="1173"/>
      <c r="AQ79" s="1173"/>
      <c r="AR79" s="1173"/>
      <c r="AS79" s="1183"/>
      <c r="AT79" s="1183"/>
      <c r="AW79" s="518">
        <v>69</v>
      </c>
      <c r="AX79" s="1174"/>
      <c r="AY79" s="1175"/>
      <c r="AZ79" s="1175"/>
      <c r="BA79" s="1175"/>
      <c r="BB79" s="1175"/>
      <c r="BC79" s="1176"/>
      <c r="BD79" s="1185"/>
      <c r="BE79" s="1185"/>
      <c r="BF79" s="1185"/>
      <c r="BG79" s="1185"/>
      <c r="BH79" s="1185"/>
      <c r="BI79" s="1185"/>
      <c r="BJ79" s="1185"/>
      <c r="BK79" s="1185"/>
      <c r="BL79" s="1185"/>
      <c r="BM79" s="1185"/>
      <c r="BN79" s="1185"/>
      <c r="BO79" s="1185"/>
      <c r="BP79" s="1185"/>
      <c r="BQ79" s="1178"/>
      <c r="BR79" s="1178"/>
      <c r="BT79" s="519">
        <v>8</v>
      </c>
      <c r="BU79" s="1179"/>
      <c r="BV79" s="1180"/>
      <c r="BW79" s="1180"/>
      <c r="BX79" s="1180"/>
      <c r="BY79" s="1180"/>
      <c r="BZ79" s="1181"/>
      <c r="CA79" s="1173"/>
      <c r="CB79" s="1173"/>
      <c r="CC79" s="1173"/>
      <c r="CD79" s="1173"/>
      <c r="CE79" s="1173"/>
      <c r="CF79" s="1173"/>
      <c r="CG79" s="1173"/>
      <c r="CH79" s="1173"/>
      <c r="CI79" s="1173"/>
      <c r="CJ79" s="1173"/>
      <c r="CK79" s="1173"/>
      <c r="CL79" s="1173"/>
      <c r="CM79" s="1173"/>
      <c r="CN79" s="1183"/>
      <c r="CO79" s="1183"/>
      <c r="CR79" s="518">
        <v>69</v>
      </c>
      <c r="CS79" s="1174"/>
      <c r="CT79" s="1175"/>
      <c r="CU79" s="1175"/>
      <c r="CV79" s="1175"/>
      <c r="CW79" s="1175"/>
      <c r="CX79" s="1176"/>
      <c r="CY79" s="1185"/>
      <c r="CZ79" s="1185"/>
      <c r="DA79" s="1185"/>
      <c r="DB79" s="1185"/>
      <c r="DC79" s="1185"/>
      <c r="DD79" s="1185"/>
      <c r="DE79" s="1185"/>
      <c r="DF79" s="1185"/>
      <c r="DG79" s="1185"/>
      <c r="DH79" s="1185"/>
      <c r="DI79" s="1185"/>
      <c r="DJ79" s="1185"/>
      <c r="DK79" s="1185"/>
      <c r="DL79" s="1178"/>
      <c r="DM79" s="1178"/>
      <c r="DO79" s="519">
        <v>8</v>
      </c>
      <c r="DP79" s="1179"/>
      <c r="DQ79" s="1180"/>
      <c r="DR79" s="1180"/>
      <c r="DS79" s="1180"/>
      <c r="DT79" s="1180"/>
      <c r="DU79" s="1181"/>
      <c r="DV79" s="1173"/>
      <c r="DW79" s="1173"/>
      <c r="DX79" s="1173"/>
      <c r="DY79" s="1173"/>
      <c r="DZ79" s="1173"/>
      <c r="EA79" s="1173"/>
      <c r="EB79" s="1173"/>
      <c r="EC79" s="1173"/>
      <c r="ED79" s="1173"/>
      <c r="EE79" s="1173"/>
      <c r="EF79" s="1173"/>
      <c r="EG79" s="1173"/>
      <c r="EH79" s="1173"/>
      <c r="EI79" s="1183"/>
      <c r="EJ79" s="1183"/>
      <c r="EM79" s="518">
        <v>69</v>
      </c>
      <c r="EN79" s="1174"/>
      <c r="EO79" s="1175"/>
      <c r="EP79" s="1175"/>
      <c r="EQ79" s="1175"/>
      <c r="ER79" s="1175"/>
      <c r="ES79" s="1176"/>
      <c r="ET79" s="1185"/>
      <c r="EU79" s="1185"/>
      <c r="EV79" s="1185"/>
      <c r="EW79" s="1185"/>
      <c r="EX79" s="1185"/>
      <c r="EY79" s="1185"/>
      <c r="EZ79" s="1185"/>
      <c r="FA79" s="1185"/>
      <c r="FB79" s="1185"/>
      <c r="FC79" s="1185"/>
      <c r="FD79" s="1185"/>
      <c r="FE79" s="1185"/>
      <c r="FF79" s="1185"/>
      <c r="FG79" s="1178"/>
      <c r="FH79" s="1178"/>
      <c r="FJ79" s="519">
        <v>8</v>
      </c>
      <c r="FK79" s="1179"/>
      <c r="FL79" s="1180"/>
      <c r="FM79" s="1180"/>
      <c r="FN79" s="1180"/>
      <c r="FO79" s="1180"/>
      <c r="FP79" s="1181"/>
      <c r="FQ79" s="1173"/>
      <c r="FR79" s="1173"/>
      <c r="FS79" s="1173"/>
      <c r="FT79" s="1173"/>
      <c r="FU79" s="1173"/>
      <c r="FV79" s="1173"/>
      <c r="FW79" s="1173"/>
      <c r="FX79" s="1173"/>
      <c r="FY79" s="1173"/>
      <c r="FZ79" s="1173"/>
      <c r="GA79" s="1173"/>
      <c r="GB79" s="1173"/>
      <c r="GC79" s="1173"/>
      <c r="GD79" s="1183"/>
      <c r="GE79" s="1183"/>
      <c r="GH79" s="518">
        <v>69</v>
      </c>
      <c r="GI79" s="1174"/>
      <c r="GJ79" s="1175"/>
      <c r="GK79" s="1175"/>
      <c r="GL79" s="1175"/>
      <c r="GM79" s="1175"/>
      <c r="GN79" s="1176"/>
      <c r="GO79" s="1185"/>
      <c r="GP79" s="1185"/>
      <c r="GQ79" s="1185"/>
      <c r="GR79" s="1185"/>
      <c r="GS79" s="1185"/>
      <c r="GT79" s="1185"/>
      <c r="GU79" s="1185"/>
      <c r="GV79" s="1185"/>
      <c r="GW79" s="1185"/>
      <c r="GX79" s="1185"/>
      <c r="GY79" s="1185"/>
      <c r="GZ79" s="1185"/>
      <c r="HA79" s="1185"/>
      <c r="HB79" s="1178"/>
      <c r="HC79" s="1178"/>
      <c r="HE79" s="519">
        <v>8</v>
      </c>
      <c r="HF79" s="1179"/>
      <c r="HG79" s="1180"/>
      <c r="HH79" s="1180"/>
      <c r="HI79" s="1180"/>
      <c r="HJ79" s="1180"/>
      <c r="HK79" s="1181"/>
      <c r="HL79" s="1173"/>
      <c r="HM79" s="1173"/>
      <c r="HN79" s="1173"/>
      <c r="HO79" s="1173"/>
      <c r="HP79" s="1173"/>
      <c r="HQ79" s="1173"/>
      <c r="HR79" s="1173"/>
      <c r="HS79" s="1173"/>
      <c r="HT79" s="1173"/>
      <c r="HU79" s="1173"/>
      <c r="HV79" s="1173"/>
      <c r="HW79" s="1173"/>
      <c r="HX79" s="1173"/>
      <c r="HY79" s="1183"/>
      <c r="HZ79" s="1183"/>
    </row>
    <row r="80" spans="2:234" ht="17.149999999999999" customHeight="1" x14ac:dyDescent="0.25">
      <c r="B80" s="519">
        <v>70</v>
      </c>
      <c r="C80" s="1179"/>
      <c r="D80" s="1180"/>
      <c r="E80" s="1180"/>
      <c r="F80" s="1180"/>
      <c r="G80" s="1180"/>
      <c r="H80" s="1181"/>
      <c r="I80" s="1173"/>
      <c r="J80" s="1173"/>
      <c r="K80" s="1173"/>
      <c r="L80" s="1173"/>
      <c r="M80" s="1173"/>
      <c r="N80" s="1173"/>
      <c r="O80" s="1173"/>
      <c r="P80" s="1173"/>
      <c r="Q80" s="1173"/>
      <c r="R80" s="1173"/>
      <c r="S80" s="1173"/>
      <c r="T80" s="1173"/>
      <c r="U80" s="1173"/>
      <c r="V80" s="1183"/>
      <c r="W80" s="1183"/>
      <c r="Y80" s="518">
        <v>9</v>
      </c>
      <c r="Z80" s="1174"/>
      <c r="AA80" s="1175"/>
      <c r="AB80" s="1175"/>
      <c r="AC80" s="1175"/>
      <c r="AD80" s="1175"/>
      <c r="AE80" s="1176"/>
      <c r="AF80" s="1185"/>
      <c r="AG80" s="1185"/>
      <c r="AH80" s="1185"/>
      <c r="AI80" s="1185"/>
      <c r="AJ80" s="1185"/>
      <c r="AK80" s="1185"/>
      <c r="AL80" s="1185"/>
      <c r="AM80" s="1185"/>
      <c r="AN80" s="1185"/>
      <c r="AO80" s="1185"/>
      <c r="AP80" s="1185"/>
      <c r="AQ80" s="1185"/>
      <c r="AR80" s="1185"/>
      <c r="AS80" s="1178"/>
      <c r="AT80" s="1178"/>
      <c r="AW80" s="519">
        <v>70</v>
      </c>
      <c r="AX80" s="1179"/>
      <c r="AY80" s="1180"/>
      <c r="AZ80" s="1180"/>
      <c r="BA80" s="1180"/>
      <c r="BB80" s="1180"/>
      <c r="BC80" s="1181"/>
      <c r="BD80" s="1173"/>
      <c r="BE80" s="1173"/>
      <c r="BF80" s="1173"/>
      <c r="BG80" s="1173"/>
      <c r="BH80" s="1173"/>
      <c r="BI80" s="1173"/>
      <c r="BJ80" s="1173"/>
      <c r="BK80" s="1173"/>
      <c r="BL80" s="1173"/>
      <c r="BM80" s="1173"/>
      <c r="BN80" s="1173"/>
      <c r="BO80" s="1173"/>
      <c r="BP80" s="1173"/>
      <c r="BQ80" s="1183"/>
      <c r="BR80" s="1183"/>
      <c r="BT80" s="518">
        <v>9</v>
      </c>
      <c r="BU80" s="1174"/>
      <c r="BV80" s="1175"/>
      <c r="BW80" s="1175"/>
      <c r="BX80" s="1175"/>
      <c r="BY80" s="1175"/>
      <c r="BZ80" s="1176"/>
      <c r="CA80" s="1185"/>
      <c r="CB80" s="1185"/>
      <c r="CC80" s="1185"/>
      <c r="CD80" s="1185"/>
      <c r="CE80" s="1185"/>
      <c r="CF80" s="1185"/>
      <c r="CG80" s="1185"/>
      <c r="CH80" s="1185"/>
      <c r="CI80" s="1185"/>
      <c r="CJ80" s="1185"/>
      <c r="CK80" s="1185"/>
      <c r="CL80" s="1185"/>
      <c r="CM80" s="1185"/>
      <c r="CN80" s="1178"/>
      <c r="CO80" s="1178"/>
      <c r="CR80" s="519">
        <v>70</v>
      </c>
      <c r="CS80" s="1179"/>
      <c r="CT80" s="1180"/>
      <c r="CU80" s="1180"/>
      <c r="CV80" s="1180"/>
      <c r="CW80" s="1180"/>
      <c r="CX80" s="1181"/>
      <c r="CY80" s="1173"/>
      <c r="CZ80" s="1173"/>
      <c r="DA80" s="1173"/>
      <c r="DB80" s="1173"/>
      <c r="DC80" s="1173"/>
      <c r="DD80" s="1173"/>
      <c r="DE80" s="1173"/>
      <c r="DF80" s="1173"/>
      <c r="DG80" s="1173"/>
      <c r="DH80" s="1173"/>
      <c r="DI80" s="1173"/>
      <c r="DJ80" s="1173"/>
      <c r="DK80" s="1173"/>
      <c r="DL80" s="1183"/>
      <c r="DM80" s="1183"/>
      <c r="DO80" s="518">
        <v>9</v>
      </c>
      <c r="DP80" s="1174"/>
      <c r="DQ80" s="1175"/>
      <c r="DR80" s="1175"/>
      <c r="DS80" s="1175"/>
      <c r="DT80" s="1175"/>
      <c r="DU80" s="1176"/>
      <c r="DV80" s="1185"/>
      <c r="DW80" s="1185"/>
      <c r="DX80" s="1185"/>
      <c r="DY80" s="1185"/>
      <c r="DZ80" s="1185"/>
      <c r="EA80" s="1185"/>
      <c r="EB80" s="1185"/>
      <c r="EC80" s="1185"/>
      <c r="ED80" s="1185"/>
      <c r="EE80" s="1185"/>
      <c r="EF80" s="1185"/>
      <c r="EG80" s="1185"/>
      <c r="EH80" s="1185"/>
      <c r="EI80" s="1178"/>
      <c r="EJ80" s="1178"/>
      <c r="EM80" s="519">
        <v>70</v>
      </c>
      <c r="EN80" s="1179"/>
      <c r="EO80" s="1180"/>
      <c r="EP80" s="1180"/>
      <c r="EQ80" s="1180"/>
      <c r="ER80" s="1180"/>
      <c r="ES80" s="1181"/>
      <c r="ET80" s="1173"/>
      <c r="EU80" s="1173"/>
      <c r="EV80" s="1173"/>
      <c r="EW80" s="1173"/>
      <c r="EX80" s="1173"/>
      <c r="EY80" s="1173"/>
      <c r="EZ80" s="1173"/>
      <c r="FA80" s="1173"/>
      <c r="FB80" s="1173"/>
      <c r="FC80" s="1173"/>
      <c r="FD80" s="1173"/>
      <c r="FE80" s="1173"/>
      <c r="FF80" s="1173"/>
      <c r="FG80" s="1183"/>
      <c r="FH80" s="1183"/>
      <c r="FJ80" s="518">
        <v>9</v>
      </c>
      <c r="FK80" s="1174"/>
      <c r="FL80" s="1175"/>
      <c r="FM80" s="1175"/>
      <c r="FN80" s="1175"/>
      <c r="FO80" s="1175"/>
      <c r="FP80" s="1176"/>
      <c r="FQ80" s="1185"/>
      <c r="FR80" s="1185"/>
      <c r="FS80" s="1185"/>
      <c r="FT80" s="1185"/>
      <c r="FU80" s="1185"/>
      <c r="FV80" s="1185"/>
      <c r="FW80" s="1185"/>
      <c r="FX80" s="1185"/>
      <c r="FY80" s="1185"/>
      <c r="FZ80" s="1185"/>
      <c r="GA80" s="1185"/>
      <c r="GB80" s="1185"/>
      <c r="GC80" s="1185"/>
      <c r="GD80" s="1178"/>
      <c r="GE80" s="1178"/>
      <c r="GH80" s="519">
        <v>70</v>
      </c>
      <c r="GI80" s="1179"/>
      <c r="GJ80" s="1180"/>
      <c r="GK80" s="1180"/>
      <c r="GL80" s="1180"/>
      <c r="GM80" s="1180"/>
      <c r="GN80" s="1181"/>
      <c r="GO80" s="1173"/>
      <c r="GP80" s="1173"/>
      <c r="GQ80" s="1173"/>
      <c r="GR80" s="1173"/>
      <c r="GS80" s="1173"/>
      <c r="GT80" s="1173"/>
      <c r="GU80" s="1173"/>
      <c r="GV80" s="1173"/>
      <c r="GW80" s="1173"/>
      <c r="GX80" s="1173"/>
      <c r="GY80" s="1173"/>
      <c r="GZ80" s="1173"/>
      <c r="HA80" s="1173"/>
      <c r="HB80" s="1183"/>
      <c r="HC80" s="1183"/>
      <c r="HE80" s="518">
        <v>9</v>
      </c>
      <c r="HF80" s="1174"/>
      <c r="HG80" s="1175"/>
      <c r="HH80" s="1175"/>
      <c r="HI80" s="1175"/>
      <c r="HJ80" s="1175"/>
      <c r="HK80" s="1176"/>
      <c r="HL80" s="1185"/>
      <c r="HM80" s="1185"/>
      <c r="HN80" s="1185"/>
      <c r="HO80" s="1185"/>
      <c r="HP80" s="1185"/>
      <c r="HQ80" s="1185"/>
      <c r="HR80" s="1185"/>
      <c r="HS80" s="1185"/>
      <c r="HT80" s="1185"/>
      <c r="HU80" s="1185"/>
      <c r="HV80" s="1185"/>
      <c r="HW80" s="1185"/>
      <c r="HX80" s="1185"/>
      <c r="HY80" s="1178"/>
      <c r="HZ80" s="1178"/>
    </row>
    <row r="81" spans="2:234" ht="17.149999999999999" customHeight="1" x14ac:dyDescent="0.25">
      <c r="B81" s="518">
        <v>71</v>
      </c>
      <c r="C81" s="1174"/>
      <c r="D81" s="1175"/>
      <c r="E81" s="1175"/>
      <c r="F81" s="1175"/>
      <c r="G81" s="1175"/>
      <c r="H81" s="1176"/>
      <c r="I81" s="1185"/>
      <c r="J81" s="1185"/>
      <c r="K81" s="1185"/>
      <c r="L81" s="1185"/>
      <c r="M81" s="1185"/>
      <c r="N81" s="1185"/>
      <c r="O81" s="1185"/>
      <c r="P81" s="1185"/>
      <c r="Q81" s="1185"/>
      <c r="R81" s="1185"/>
      <c r="S81" s="1185"/>
      <c r="T81" s="1185"/>
      <c r="U81" s="1185"/>
      <c r="V81" s="1178"/>
      <c r="W81" s="1178"/>
      <c r="Y81" s="519">
        <v>10</v>
      </c>
      <c r="Z81" s="1179"/>
      <c r="AA81" s="1180"/>
      <c r="AB81" s="1180"/>
      <c r="AC81" s="1180"/>
      <c r="AD81" s="1180"/>
      <c r="AE81" s="1181"/>
      <c r="AF81" s="1173"/>
      <c r="AG81" s="1173"/>
      <c r="AH81" s="1173"/>
      <c r="AI81" s="1173"/>
      <c r="AJ81" s="1173"/>
      <c r="AK81" s="1173"/>
      <c r="AL81" s="1173"/>
      <c r="AM81" s="1173"/>
      <c r="AN81" s="1173"/>
      <c r="AO81" s="1173"/>
      <c r="AP81" s="1173"/>
      <c r="AQ81" s="1173"/>
      <c r="AR81" s="1173"/>
      <c r="AS81" s="1183"/>
      <c r="AT81" s="1183"/>
      <c r="AW81" s="518">
        <v>71</v>
      </c>
      <c r="AX81" s="1174"/>
      <c r="AY81" s="1175"/>
      <c r="AZ81" s="1175"/>
      <c r="BA81" s="1175"/>
      <c r="BB81" s="1175"/>
      <c r="BC81" s="1176"/>
      <c r="BD81" s="1185"/>
      <c r="BE81" s="1185"/>
      <c r="BF81" s="1185"/>
      <c r="BG81" s="1185"/>
      <c r="BH81" s="1185"/>
      <c r="BI81" s="1185"/>
      <c r="BJ81" s="1185"/>
      <c r="BK81" s="1185"/>
      <c r="BL81" s="1185"/>
      <c r="BM81" s="1185"/>
      <c r="BN81" s="1185"/>
      <c r="BO81" s="1185"/>
      <c r="BP81" s="1185"/>
      <c r="BQ81" s="1178"/>
      <c r="BR81" s="1178"/>
      <c r="BT81" s="519">
        <v>10</v>
      </c>
      <c r="BU81" s="1179"/>
      <c r="BV81" s="1180"/>
      <c r="BW81" s="1180"/>
      <c r="BX81" s="1180"/>
      <c r="BY81" s="1180"/>
      <c r="BZ81" s="1181"/>
      <c r="CA81" s="1173"/>
      <c r="CB81" s="1173"/>
      <c r="CC81" s="1173"/>
      <c r="CD81" s="1173"/>
      <c r="CE81" s="1173"/>
      <c r="CF81" s="1173"/>
      <c r="CG81" s="1173"/>
      <c r="CH81" s="1173"/>
      <c r="CI81" s="1173"/>
      <c r="CJ81" s="1173"/>
      <c r="CK81" s="1173"/>
      <c r="CL81" s="1173"/>
      <c r="CM81" s="1173"/>
      <c r="CN81" s="1183"/>
      <c r="CO81" s="1183"/>
      <c r="CR81" s="518">
        <v>71</v>
      </c>
      <c r="CS81" s="1174"/>
      <c r="CT81" s="1175"/>
      <c r="CU81" s="1175"/>
      <c r="CV81" s="1175"/>
      <c r="CW81" s="1175"/>
      <c r="CX81" s="1176"/>
      <c r="CY81" s="1185"/>
      <c r="CZ81" s="1185"/>
      <c r="DA81" s="1185"/>
      <c r="DB81" s="1185"/>
      <c r="DC81" s="1185"/>
      <c r="DD81" s="1185"/>
      <c r="DE81" s="1185"/>
      <c r="DF81" s="1185"/>
      <c r="DG81" s="1185"/>
      <c r="DH81" s="1185"/>
      <c r="DI81" s="1185"/>
      <c r="DJ81" s="1185"/>
      <c r="DK81" s="1185"/>
      <c r="DL81" s="1178"/>
      <c r="DM81" s="1178"/>
      <c r="DO81" s="519">
        <v>10</v>
      </c>
      <c r="DP81" s="1179"/>
      <c r="DQ81" s="1180"/>
      <c r="DR81" s="1180"/>
      <c r="DS81" s="1180"/>
      <c r="DT81" s="1180"/>
      <c r="DU81" s="1181"/>
      <c r="DV81" s="1173"/>
      <c r="DW81" s="1173"/>
      <c r="DX81" s="1173"/>
      <c r="DY81" s="1173"/>
      <c r="DZ81" s="1173"/>
      <c r="EA81" s="1173"/>
      <c r="EB81" s="1173"/>
      <c r="EC81" s="1173"/>
      <c r="ED81" s="1173"/>
      <c r="EE81" s="1173"/>
      <c r="EF81" s="1173"/>
      <c r="EG81" s="1173"/>
      <c r="EH81" s="1173"/>
      <c r="EI81" s="1183"/>
      <c r="EJ81" s="1183"/>
      <c r="EM81" s="518">
        <v>71</v>
      </c>
      <c r="EN81" s="1174"/>
      <c r="EO81" s="1175"/>
      <c r="EP81" s="1175"/>
      <c r="EQ81" s="1175"/>
      <c r="ER81" s="1175"/>
      <c r="ES81" s="1176"/>
      <c r="ET81" s="1185"/>
      <c r="EU81" s="1185"/>
      <c r="EV81" s="1185"/>
      <c r="EW81" s="1185"/>
      <c r="EX81" s="1185"/>
      <c r="EY81" s="1185"/>
      <c r="EZ81" s="1185"/>
      <c r="FA81" s="1185"/>
      <c r="FB81" s="1185"/>
      <c r="FC81" s="1185"/>
      <c r="FD81" s="1185"/>
      <c r="FE81" s="1185"/>
      <c r="FF81" s="1185"/>
      <c r="FG81" s="1178"/>
      <c r="FH81" s="1178"/>
      <c r="FJ81" s="519">
        <v>10</v>
      </c>
      <c r="FK81" s="1179"/>
      <c r="FL81" s="1180"/>
      <c r="FM81" s="1180"/>
      <c r="FN81" s="1180"/>
      <c r="FO81" s="1180"/>
      <c r="FP81" s="1181"/>
      <c r="FQ81" s="1173"/>
      <c r="FR81" s="1173"/>
      <c r="FS81" s="1173"/>
      <c r="FT81" s="1173"/>
      <c r="FU81" s="1173"/>
      <c r="FV81" s="1173"/>
      <c r="FW81" s="1173"/>
      <c r="FX81" s="1173"/>
      <c r="FY81" s="1173"/>
      <c r="FZ81" s="1173"/>
      <c r="GA81" s="1173"/>
      <c r="GB81" s="1173"/>
      <c r="GC81" s="1173"/>
      <c r="GD81" s="1183"/>
      <c r="GE81" s="1183"/>
      <c r="GH81" s="518">
        <v>71</v>
      </c>
      <c r="GI81" s="1174"/>
      <c r="GJ81" s="1175"/>
      <c r="GK81" s="1175"/>
      <c r="GL81" s="1175"/>
      <c r="GM81" s="1175"/>
      <c r="GN81" s="1176"/>
      <c r="GO81" s="1185"/>
      <c r="GP81" s="1185"/>
      <c r="GQ81" s="1185"/>
      <c r="GR81" s="1185"/>
      <c r="GS81" s="1185"/>
      <c r="GT81" s="1185"/>
      <c r="GU81" s="1185"/>
      <c r="GV81" s="1185"/>
      <c r="GW81" s="1185"/>
      <c r="GX81" s="1185"/>
      <c r="GY81" s="1185"/>
      <c r="GZ81" s="1185"/>
      <c r="HA81" s="1185"/>
      <c r="HB81" s="1178"/>
      <c r="HC81" s="1178"/>
      <c r="HE81" s="519">
        <v>10</v>
      </c>
      <c r="HF81" s="1179"/>
      <c r="HG81" s="1180"/>
      <c r="HH81" s="1180"/>
      <c r="HI81" s="1180"/>
      <c r="HJ81" s="1180"/>
      <c r="HK81" s="1181"/>
      <c r="HL81" s="1173"/>
      <c r="HM81" s="1173"/>
      <c r="HN81" s="1173"/>
      <c r="HO81" s="1173"/>
      <c r="HP81" s="1173"/>
      <c r="HQ81" s="1173"/>
      <c r="HR81" s="1173"/>
      <c r="HS81" s="1173"/>
      <c r="HT81" s="1173"/>
      <c r="HU81" s="1173"/>
      <c r="HV81" s="1173"/>
      <c r="HW81" s="1173"/>
      <c r="HX81" s="1173"/>
      <c r="HY81" s="1183"/>
      <c r="HZ81" s="1183"/>
    </row>
    <row r="82" spans="2:234" ht="17.149999999999999" customHeight="1" x14ac:dyDescent="0.25">
      <c r="B82" s="519">
        <v>72</v>
      </c>
      <c r="C82" s="1179"/>
      <c r="D82" s="1180"/>
      <c r="E82" s="1180"/>
      <c r="F82" s="1180"/>
      <c r="G82" s="1180"/>
      <c r="H82" s="1181"/>
      <c r="I82" s="1173"/>
      <c r="J82" s="1173"/>
      <c r="K82" s="1173"/>
      <c r="L82" s="1173"/>
      <c r="M82" s="1173"/>
      <c r="N82" s="1173"/>
      <c r="O82" s="1173"/>
      <c r="P82" s="1173"/>
      <c r="Q82" s="1173"/>
      <c r="R82" s="1173"/>
      <c r="S82" s="1173"/>
      <c r="T82" s="1173"/>
      <c r="U82" s="1173"/>
      <c r="V82" s="1183"/>
      <c r="W82" s="1183"/>
      <c r="Y82" s="518">
        <v>11</v>
      </c>
      <c r="Z82" s="1174"/>
      <c r="AA82" s="1175"/>
      <c r="AB82" s="1175"/>
      <c r="AC82" s="1175"/>
      <c r="AD82" s="1175"/>
      <c r="AE82" s="1176"/>
      <c r="AF82" s="1185"/>
      <c r="AG82" s="1185"/>
      <c r="AH82" s="1185"/>
      <c r="AI82" s="1185"/>
      <c r="AJ82" s="1185"/>
      <c r="AK82" s="1185"/>
      <c r="AL82" s="1185"/>
      <c r="AM82" s="1185"/>
      <c r="AN82" s="1185"/>
      <c r="AO82" s="1185"/>
      <c r="AP82" s="1185"/>
      <c r="AQ82" s="1185"/>
      <c r="AR82" s="1185"/>
      <c r="AS82" s="1178"/>
      <c r="AT82" s="1178"/>
      <c r="AW82" s="519">
        <v>72</v>
      </c>
      <c r="AX82" s="1179"/>
      <c r="AY82" s="1180"/>
      <c r="AZ82" s="1180"/>
      <c r="BA82" s="1180"/>
      <c r="BB82" s="1180"/>
      <c r="BC82" s="1181"/>
      <c r="BD82" s="1173"/>
      <c r="BE82" s="1173"/>
      <c r="BF82" s="1173"/>
      <c r="BG82" s="1173"/>
      <c r="BH82" s="1173"/>
      <c r="BI82" s="1173"/>
      <c r="BJ82" s="1173"/>
      <c r="BK82" s="1173"/>
      <c r="BL82" s="1173"/>
      <c r="BM82" s="1173"/>
      <c r="BN82" s="1173"/>
      <c r="BO82" s="1173"/>
      <c r="BP82" s="1173"/>
      <c r="BQ82" s="1183"/>
      <c r="BR82" s="1183"/>
      <c r="BT82" s="518">
        <v>11</v>
      </c>
      <c r="BU82" s="1174"/>
      <c r="BV82" s="1175"/>
      <c r="BW82" s="1175"/>
      <c r="BX82" s="1175"/>
      <c r="BY82" s="1175"/>
      <c r="BZ82" s="1176"/>
      <c r="CA82" s="1185"/>
      <c r="CB82" s="1185"/>
      <c r="CC82" s="1185"/>
      <c r="CD82" s="1185"/>
      <c r="CE82" s="1185"/>
      <c r="CF82" s="1185"/>
      <c r="CG82" s="1185"/>
      <c r="CH82" s="1185"/>
      <c r="CI82" s="1185"/>
      <c r="CJ82" s="1185"/>
      <c r="CK82" s="1185"/>
      <c r="CL82" s="1185"/>
      <c r="CM82" s="1185"/>
      <c r="CN82" s="1178"/>
      <c r="CO82" s="1178"/>
      <c r="CR82" s="519">
        <v>72</v>
      </c>
      <c r="CS82" s="1179"/>
      <c r="CT82" s="1180"/>
      <c r="CU82" s="1180"/>
      <c r="CV82" s="1180"/>
      <c r="CW82" s="1180"/>
      <c r="CX82" s="1181"/>
      <c r="CY82" s="1173"/>
      <c r="CZ82" s="1173"/>
      <c r="DA82" s="1173"/>
      <c r="DB82" s="1173"/>
      <c r="DC82" s="1173"/>
      <c r="DD82" s="1173"/>
      <c r="DE82" s="1173"/>
      <c r="DF82" s="1173"/>
      <c r="DG82" s="1173"/>
      <c r="DH82" s="1173"/>
      <c r="DI82" s="1173"/>
      <c r="DJ82" s="1173"/>
      <c r="DK82" s="1173"/>
      <c r="DL82" s="1183"/>
      <c r="DM82" s="1183"/>
      <c r="DO82" s="518">
        <v>11</v>
      </c>
      <c r="DP82" s="1174"/>
      <c r="DQ82" s="1175"/>
      <c r="DR82" s="1175"/>
      <c r="DS82" s="1175"/>
      <c r="DT82" s="1175"/>
      <c r="DU82" s="1176"/>
      <c r="DV82" s="1185"/>
      <c r="DW82" s="1185"/>
      <c r="DX82" s="1185"/>
      <c r="DY82" s="1185"/>
      <c r="DZ82" s="1185"/>
      <c r="EA82" s="1185"/>
      <c r="EB82" s="1185"/>
      <c r="EC82" s="1185"/>
      <c r="ED82" s="1185"/>
      <c r="EE82" s="1185"/>
      <c r="EF82" s="1185"/>
      <c r="EG82" s="1185"/>
      <c r="EH82" s="1185"/>
      <c r="EI82" s="1178"/>
      <c r="EJ82" s="1178"/>
      <c r="EM82" s="519">
        <v>72</v>
      </c>
      <c r="EN82" s="1179"/>
      <c r="EO82" s="1180"/>
      <c r="EP82" s="1180"/>
      <c r="EQ82" s="1180"/>
      <c r="ER82" s="1180"/>
      <c r="ES82" s="1181"/>
      <c r="ET82" s="1173"/>
      <c r="EU82" s="1173"/>
      <c r="EV82" s="1173"/>
      <c r="EW82" s="1173"/>
      <c r="EX82" s="1173"/>
      <c r="EY82" s="1173"/>
      <c r="EZ82" s="1173"/>
      <c r="FA82" s="1173"/>
      <c r="FB82" s="1173"/>
      <c r="FC82" s="1173"/>
      <c r="FD82" s="1173"/>
      <c r="FE82" s="1173"/>
      <c r="FF82" s="1173"/>
      <c r="FG82" s="1183"/>
      <c r="FH82" s="1183"/>
      <c r="FJ82" s="518">
        <v>11</v>
      </c>
      <c r="FK82" s="1174"/>
      <c r="FL82" s="1175"/>
      <c r="FM82" s="1175"/>
      <c r="FN82" s="1175"/>
      <c r="FO82" s="1175"/>
      <c r="FP82" s="1176"/>
      <c r="FQ82" s="1185"/>
      <c r="FR82" s="1185"/>
      <c r="FS82" s="1185"/>
      <c r="FT82" s="1185"/>
      <c r="FU82" s="1185"/>
      <c r="FV82" s="1185"/>
      <c r="FW82" s="1185"/>
      <c r="FX82" s="1185"/>
      <c r="FY82" s="1185"/>
      <c r="FZ82" s="1185"/>
      <c r="GA82" s="1185"/>
      <c r="GB82" s="1185"/>
      <c r="GC82" s="1185"/>
      <c r="GD82" s="1178"/>
      <c r="GE82" s="1178"/>
      <c r="GH82" s="519">
        <v>72</v>
      </c>
      <c r="GI82" s="1179"/>
      <c r="GJ82" s="1180"/>
      <c r="GK82" s="1180"/>
      <c r="GL82" s="1180"/>
      <c r="GM82" s="1180"/>
      <c r="GN82" s="1181"/>
      <c r="GO82" s="1173"/>
      <c r="GP82" s="1173"/>
      <c r="GQ82" s="1173"/>
      <c r="GR82" s="1173"/>
      <c r="GS82" s="1173"/>
      <c r="GT82" s="1173"/>
      <c r="GU82" s="1173"/>
      <c r="GV82" s="1173"/>
      <c r="GW82" s="1173"/>
      <c r="GX82" s="1173"/>
      <c r="GY82" s="1173"/>
      <c r="GZ82" s="1173"/>
      <c r="HA82" s="1173"/>
      <c r="HB82" s="1183"/>
      <c r="HC82" s="1183"/>
      <c r="HE82" s="518">
        <v>11</v>
      </c>
      <c r="HF82" s="1174"/>
      <c r="HG82" s="1175"/>
      <c r="HH82" s="1175"/>
      <c r="HI82" s="1175"/>
      <c r="HJ82" s="1175"/>
      <c r="HK82" s="1176"/>
      <c r="HL82" s="1185"/>
      <c r="HM82" s="1185"/>
      <c r="HN82" s="1185"/>
      <c r="HO82" s="1185"/>
      <c r="HP82" s="1185"/>
      <c r="HQ82" s="1185"/>
      <c r="HR82" s="1185"/>
      <c r="HS82" s="1185"/>
      <c r="HT82" s="1185"/>
      <c r="HU82" s="1185"/>
      <c r="HV82" s="1185"/>
      <c r="HW82" s="1185"/>
      <c r="HX82" s="1185"/>
      <c r="HY82" s="1178"/>
      <c r="HZ82" s="1178"/>
    </row>
    <row r="83" spans="2:234" ht="17.149999999999999" customHeight="1" x14ac:dyDescent="0.25">
      <c r="B83" s="518">
        <v>73</v>
      </c>
      <c r="C83" s="1174"/>
      <c r="D83" s="1175"/>
      <c r="E83" s="1175"/>
      <c r="F83" s="1175"/>
      <c r="G83" s="1175"/>
      <c r="H83" s="1176"/>
      <c r="I83" s="1185"/>
      <c r="J83" s="1185"/>
      <c r="K83" s="1185"/>
      <c r="L83" s="1185"/>
      <c r="M83" s="1185"/>
      <c r="N83" s="1185"/>
      <c r="O83" s="1185"/>
      <c r="P83" s="1185"/>
      <c r="Q83" s="1185"/>
      <c r="R83" s="1185"/>
      <c r="S83" s="1185"/>
      <c r="T83" s="1185"/>
      <c r="U83" s="1185"/>
      <c r="V83" s="1178"/>
      <c r="W83" s="1178"/>
      <c r="Y83" s="519">
        <v>12</v>
      </c>
      <c r="Z83" s="1179"/>
      <c r="AA83" s="1180"/>
      <c r="AB83" s="1180"/>
      <c r="AC83" s="1180"/>
      <c r="AD83" s="1180"/>
      <c r="AE83" s="1181"/>
      <c r="AF83" s="1173"/>
      <c r="AG83" s="1173"/>
      <c r="AH83" s="1173"/>
      <c r="AI83" s="1173"/>
      <c r="AJ83" s="1173"/>
      <c r="AK83" s="1173"/>
      <c r="AL83" s="1173"/>
      <c r="AM83" s="1173"/>
      <c r="AN83" s="1173"/>
      <c r="AO83" s="1173"/>
      <c r="AP83" s="1173"/>
      <c r="AQ83" s="1173"/>
      <c r="AR83" s="1173"/>
      <c r="AS83" s="1183"/>
      <c r="AT83" s="1183"/>
      <c r="AW83" s="518">
        <v>73</v>
      </c>
      <c r="AX83" s="1174"/>
      <c r="AY83" s="1175"/>
      <c r="AZ83" s="1175"/>
      <c r="BA83" s="1175"/>
      <c r="BB83" s="1175"/>
      <c r="BC83" s="1176"/>
      <c r="BD83" s="1185"/>
      <c r="BE83" s="1185"/>
      <c r="BF83" s="1185"/>
      <c r="BG83" s="1185"/>
      <c r="BH83" s="1185"/>
      <c r="BI83" s="1185"/>
      <c r="BJ83" s="1185"/>
      <c r="BK83" s="1185"/>
      <c r="BL83" s="1185"/>
      <c r="BM83" s="1185"/>
      <c r="BN83" s="1185"/>
      <c r="BO83" s="1185"/>
      <c r="BP83" s="1185"/>
      <c r="BQ83" s="1178"/>
      <c r="BR83" s="1178"/>
      <c r="BT83" s="519">
        <v>12</v>
      </c>
      <c r="BU83" s="1179"/>
      <c r="BV83" s="1180"/>
      <c r="BW83" s="1180"/>
      <c r="BX83" s="1180"/>
      <c r="BY83" s="1180"/>
      <c r="BZ83" s="1181"/>
      <c r="CA83" s="1173"/>
      <c r="CB83" s="1173"/>
      <c r="CC83" s="1173"/>
      <c r="CD83" s="1173"/>
      <c r="CE83" s="1173"/>
      <c r="CF83" s="1173"/>
      <c r="CG83" s="1173"/>
      <c r="CH83" s="1173"/>
      <c r="CI83" s="1173"/>
      <c r="CJ83" s="1173"/>
      <c r="CK83" s="1173"/>
      <c r="CL83" s="1173"/>
      <c r="CM83" s="1173"/>
      <c r="CN83" s="1183"/>
      <c r="CO83" s="1183"/>
      <c r="CR83" s="518">
        <v>73</v>
      </c>
      <c r="CS83" s="1174"/>
      <c r="CT83" s="1175"/>
      <c r="CU83" s="1175"/>
      <c r="CV83" s="1175"/>
      <c r="CW83" s="1175"/>
      <c r="CX83" s="1176"/>
      <c r="CY83" s="1185"/>
      <c r="CZ83" s="1185"/>
      <c r="DA83" s="1185"/>
      <c r="DB83" s="1185"/>
      <c r="DC83" s="1185"/>
      <c r="DD83" s="1185"/>
      <c r="DE83" s="1185"/>
      <c r="DF83" s="1185"/>
      <c r="DG83" s="1185"/>
      <c r="DH83" s="1185"/>
      <c r="DI83" s="1185"/>
      <c r="DJ83" s="1185"/>
      <c r="DK83" s="1185"/>
      <c r="DL83" s="1178"/>
      <c r="DM83" s="1178"/>
      <c r="DO83" s="519">
        <v>12</v>
      </c>
      <c r="DP83" s="1179"/>
      <c r="DQ83" s="1180"/>
      <c r="DR83" s="1180"/>
      <c r="DS83" s="1180"/>
      <c r="DT83" s="1180"/>
      <c r="DU83" s="1181"/>
      <c r="DV83" s="1173"/>
      <c r="DW83" s="1173"/>
      <c r="DX83" s="1173"/>
      <c r="DY83" s="1173"/>
      <c r="DZ83" s="1173"/>
      <c r="EA83" s="1173"/>
      <c r="EB83" s="1173"/>
      <c r="EC83" s="1173"/>
      <c r="ED83" s="1173"/>
      <c r="EE83" s="1173"/>
      <c r="EF83" s="1173"/>
      <c r="EG83" s="1173"/>
      <c r="EH83" s="1173"/>
      <c r="EI83" s="1183"/>
      <c r="EJ83" s="1183"/>
      <c r="EM83" s="518">
        <v>73</v>
      </c>
      <c r="EN83" s="1174"/>
      <c r="EO83" s="1175"/>
      <c r="EP83" s="1175"/>
      <c r="EQ83" s="1175"/>
      <c r="ER83" s="1175"/>
      <c r="ES83" s="1176"/>
      <c r="ET83" s="1185"/>
      <c r="EU83" s="1185"/>
      <c r="EV83" s="1185"/>
      <c r="EW83" s="1185"/>
      <c r="EX83" s="1185"/>
      <c r="EY83" s="1185"/>
      <c r="EZ83" s="1185"/>
      <c r="FA83" s="1185"/>
      <c r="FB83" s="1185"/>
      <c r="FC83" s="1185"/>
      <c r="FD83" s="1185"/>
      <c r="FE83" s="1185"/>
      <c r="FF83" s="1185"/>
      <c r="FG83" s="1178"/>
      <c r="FH83" s="1178"/>
      <c r="FJ83" s="519">
        <v>12</v>
      </c>
      <c r="FK83" s="1179"/>
      <c r="FL83" s="1180"/>
      <c r="FM83" s="1180"/>
      <c r="FN83" s="1180"/>
      <c r="FO83" s="1180"/>
      <c r="FP83" s="1181"/>
      <c r="FQ83" s="1173"/>
      <c r="FR83" s="1173"/>
      <c r="FS83" s="1173"/>
      <c r="FT83" s="1173"/>
      <c r="FU83" s="1173"/>
      <c r="FV83" s="1173"/>
      <c r="FW83" s="1173"/>
      <c r="FX83" s="1173"/>
      <c r="FY83" s="1173"/>
      <c r="FZ83" s="1173"/>
      <c r="GA83" s="1173"/>
      <c r="GB83" s="1173"/>
      <c r="GC83" s="1173"/>
      <c r="GD83" s="1183"/>
      <c r="GE83" s="1183"/>
      <c r="GH83" s="518">
        <v>73</v>
      </c>
      <c r="GI83" s="1174"/>
      <c r="GJ83" s="1175"/>
      <c r="GK83" s="1175"/>
      <c r="GL83" s="1175"/>
      <c r="GM83" s="1175"/>
      <c r="GN83" s="1176"/>
      <c r="GO83" s="1185"/>
      <c r="GP83" s="1185"/>
      <c r="GQ83" s="1185"/>
      <c r="GR83" s="1185"/>
      <c r="GS83" s="1185"/>
      <c r="GT83" s="1185"/>
      <c r="GU83" s="1185"/>
      <c r="GV83" s="1185"/>
      <c r="GW83" s="1185"/>
      <c r="GX83" s="1185"/>
      <c r="GY83" s="1185"/>
      <c r="GZ83" s="1185"/>
      <c r="HA83" s="1185"/>
      <c r="HB83" s="1178"/>
      <c r="HC83" s="1178"/>
      <c r="HE83" s="519">
        <v>12</v>
      </c>
      <c r="HF83" s="1179"/>
      <c r="HG83" s="1180"/>
      <c r="HH83" s="1180"/>
      <c r="HI83" s="1180"/>
      <c r="HJ83" s="1180"/>
      <c r="HK83" s="1181"/>
      <c r="HL83" s="1173"/>
      <c r="HM83" s="1173"/>
      <c r="HN83" s="1173"/>
      <c r="HO83" s="1173"/>
      <c r="HP83" s="1173"/>
      <c r="HQ83" s="1173"/>
      <c r="HR83" s="1173"/>
      <c r="HS83" s="1173"/>
      <c r="HT83" s="1173"/>
      <c r="HU83" s="1173"/>
      <c r="HV83" s="1173"/>
      <c r="HW83" s="1173"/>
      <c r="HX83" s="1173"/>
      <c r="HY83" s="1183"/>
      <c r="HZ83" s="1183"/>
    </row>
    <row r="84" spans="2:234" ht="17.149999999999999" customHeight="1" x14ac:dyDescent="0.25">
      <c r="B84" s="519">
        <v>74</v>
      </c>
      <c r="C84" s="1179"/>
      <c r="D84" s="1180"/>
      <c r="E84" s="1180"/>
      <c r="F84" s="1180"/>
      <c r="G84" s="1180"/>
      <c r="H84" s="1181"/>
      <c r="I84" s="1173"/>
      <c r="J84" s="1173"/>
      <c r="K84" s="1173"/>
      <c r="L84" s="1173"/>
      <c r="M84" s="1173"/>
      <c r="N84" s="1173"/>
      <c r="O84" s="1173"/>
      <c r="P84" s="1173"/>
      <c r="Q84" s="1173"/>
      <c r="R84" s="1173"/>
      <c r="S84" s="1173"/>
      <c r="T84" s="1173"/>
      <c r="U84" s="1173"/>
      <c r="V84" s="1183"/>
      <c r="W84" s="1183"/>
      <c r="Y84" s="518">
        <v>13</v>
      </c>
      <c r="Z84" s="1174"/>
      <c r="AA84" s="1175"/>
      <c r="AB84" s="1175"/>
      <c r="AC84" s="1175"/>
      <c r="AD84" s="1175"/>
      <c r="AE84" s="1176"/>
      <c r="AF84" s="1185"/>
      <c r="AG84" s="1185"/>
      <c r="AH84" s="1185"/>
      <c r="AI84" s="1185"/>
      <c r="AJ84" s="1185"/>
      <c r="AK84" s="1185"/>
      <c r="AL84" s="1185"/>
      <c r="AM84" s="1185"/>
      <c r="AN84" s="1185"/>
      <c r="AO84" s="1185"/>
      <c r="AP84" s="1185"/>
      <c r="AQ84" s="1185"/>
      <c r="AR84" s="1185"/>
      <c r="AS84" s="1178"/>
      <c r="AT84" s="1178"/>
      <c r="AW84" s="519">
        <v>74</v>
      </c>
      <c r="AX84" s="1179"/>
      <c r="AY84" s="1180"/>
      <c r="AZ84" s="1180"/>
      <c r="BA84" s="1180"/>
      <c r="BB84" s="1180"/>
      <c r="BC84" s="1181"/>
      <c r="BD84" s="1173"/>
      <c r="BE84" s="1173"/>
      <c r="BF84" s="1173"/>
      <c r="BG84" s="1173"/>
      <c r="BH84" s="1173"/>
      <c r="BI84" s="1173"/>
      <c r="BJ84" s="1173"/>
      <c r="BK84" s="1173"/>
      <c r="BL84" s="1173"/>
      <c r="BM84" s="1173"/>
      <c r="BN84" s="1173"/>
      <c r="BO84" s="1173"/>
      <c r="BP84" s="1173"/>
      <c r="BQ84" s="1183"/>
      <c r="BR84" s="1183"/>
      <c r="BT84" s="518">
        <v>13</v>
      </c>
      <c r="BU84" s="1174"/>
      <c r="BV84" s="1175"/>
      <c r="BW84" s="1175"/>
      <c r="BX84" s="1175"/>
      <c r="BY84" s="1175"/>
      <c r="BZ84" s="1176"/>
      <c r="CA84" s="1185"/>
      <c r="CB84" s="1185"/>
      <c r="CC84" s="1185"/>
      <c r="CD84" s="1185"/>
      <c r="CE84" s="1185"/>
      <c r="CF84" s="1185"/>
      <c r="CG84" s="1185"/>
      <c r="CH84" s="1185"/>
      <c r="CI84" s="1185"/>
      <c r="CJ84" s="1185"/>
      <c r="CK84" s="1185"/>
      <c r="CL84" s="1185"/>
      <c r="CM84" s="1185"/>
      <c r="CN84" s="1178"/>
      <c r="CO84" s="1178"/>
      <c r="CR84" s="519">
        <v>74</v>
      </c>
      <c r="CS84" s="1179"/>
      <c r="CT84" s="1180"/>
      <c r="CU84" s="1180"/>
      <c r="CV84" s="1180"/>
      <c r="CW84" s="1180"/>
      <c r="CX84" s="1181"/>
      <c r="CY84" s="1173"/>
      <c r="CZ84" s="1173"/>
      <c r="DA84" s="1173"/>
      <c r="DB84" s="1173"/>
      <c r="DC84" s="1173"/>
      <c r="DD84" s="1173"/>
      <c r="DE84" s="1173"/>
      <c r="DF84" s="1173"/>
      <c r="DG84" s="1173"/>
      <c r="DH84" s="1173"/>
      <c r="DI84" s="1173"/>
      <c r="DJ84" s="1173"/>
      <c r="DK84" s="1173"/>
      <c r="DL84" s="1183"/>
      <c r="DM84" s="1183"/>
      <c r="DO84" s="518">
        <v>13</v>
      </c>
      <c r="DP84" s="1174"/>
      <c r="DQ84" s="1175"/>
      <c r="DR84" s="1175"/>
      <c r="DS84" s="1175"/>
      <c r="DT84" s="1175"/>
      <c r="DU84" s="1176"/>
      <c r="DV84" s="1185"/>
      <c r="DW84" s="1185"/>
      <c r="DX84" s="1185"/>
      <c r="DY84" s="1185"/>
      <c r="DZ84" s="1185"/>
      <c r="EA84" s="1185"/>
      <c r="EB84" s="1185"/>
      <c r="EC84" s="1185"/>
      <c r="ED84" s="1185"/>
      <c r="EE84" s="1185"/>
      <c r="EF84" s="1185"/>
      <c r="EG84" s="1185"/>
      <c r="EH84" s="1185"/>
      <c r="EI84" s="1178"/>
      <c r="EJ84" s="1178"/>
      <c r="EM84" s="519">
        <v>74</v>
      </c>
      <c r="EN84" s="1179"/>
      <c r="EO84" s="1180"/>
      <c r="EP84" s="1180"/>
      <c r="EQ84" s="1180"/>
      <c r="ER84" s="1180"/>
      <c r="ES84" s="1181"/>
      <c r="ET84" s="1173"/>
      <c r="EU84" s="1173"/>
      <c r="EV84" s="1173"/>
      <c r="EW84" s="1173"/>
      <c r="EX84" s="1173"/>
      <c r="EY84" s="1173"/>
      <c r="EZ84" s="1173"/>
      <c r="FA84" s="1173"/>
      <c r="FB84" s="1173"/>
      <c r="FC84" s="1173"/>
      <c r="FD84" s="1173"/>
      <c r="FE84" s="1173"/>
      <c r="FF84" s="1173"/>
      <c r="FG84" s="1183"/>
      <c r="FH84" s="1183"/>
      <c r="FJ84" s="518">
        <v>13</v>
      </c>
      <c r="FK84" s="1174"/>
      <c r="FL84" s="1175"/>
      <c r="FM84" s="1175"/>
      <c r="FN84" s="1175"/>
      <c r="FO84" s="1175"/>
      <c r="FP84" s="1176"/>
      <c r="FQ84" s="1185"/>
      <c r="FR84" s="1185"/>
      <c r="FS84" s="1185"/>
      <c r="FT84" s="1185"/>
      <c r="FU84" s="1185"/>
      <c r="FV84" s="1185"/>
      <c r="FW84" s="1185"/>
      <c r="FX84" s="1185"/>
      <c r="FY84" s="1185"/>
      <c r="FZ84" s="1185"/>
      <c r="GA84" s="1185"/>
      <c r="GB84" s="1185"/>
      <c r="GC84" s="1185"/>
      <c r="GD84" s="1178"/>
      <c r="GE84" s="1178"/>
      <c r="GH84" s="519">
        <v>74</v>
      </c>
      <c r="GI84" s="1179"/>
      <c r="GJ84" s="1180"/>
      <c r="GK84" s="1180"/>
      <c r="GL84" s="1180"/>
      <c r="GM84" s="1180"/>
      <c r="GN84" s="1181"/>
      <c r="GO84" s="1173"/>
      <c r="GP84" s="1173"/>
      <c r="GQ84" s="1173"/>
      <c r="GR84" s="1173"/>
      <c r="GS84" s="1173"/>
      <c r="GT84" s="1173"/>
      <c r="GU84" s="1173"/>
      <c r="GV84" s="1173"/>
      <c r="GW84" s="1173"/>
      <c r="GX84" s="1173"/>
      <c r="GY84" s="1173"/>
      <c r="GZ84" s="1173"/>
      <c r="HA84" s="1173"/>
      <c r="HB84" s="1183"/>
      <c r="HC84" s="1183"/>
      <c r="HE84" s="518">
        <v>13</v>
      </c>
      <c r="HF84" s="1174"/>
      <c r="HG84" s="1175"/>
      <c r="HH84" s="1175"/>
      <c r="HI84" s="1175"/>
      <c r="HJ84" s="1175"/>
      <c r="HK84" s="1176"/>
      <c r="HL84" s="1185"/>
      <c r="HM84" s="1185"/>
      <c r="HN84" s="1185"/>
      <c r="HO84" s="1185"/>
      <c r="HP84" s="1185"/>
      <c r="HQ84" s="1185"/>
      <c r="HR84" s="1185"/>
      <c r="HS84" s="1185"/>
      <c r="HT84" s="1185"/>
      <c r="HU84" s="1185"/>
      <c r="HV84" s="1185"/>
      <c r="HW84" s="1185"/>
      <c r="HX84" s="1185"/>
      <c r="HY84" s="1178"/>
      <c r="HZ84" s="1178"/>
    </row>
    <row r="85" spans="2:234" ht="17.149999999999999" customHeight="1" x14ac:dyDescent="0.25">
      <c r="B85" s="518">
        <v>75</v>
      </c>
      <c r="C85" s="1174"/>
      <c r="D85" s="1175"/>
      <c r="E85" s="1175"/>
      <c r="F85" s="1175"/>
      <c r="G85" s="1175"/>
      <c r="H85" s="1176"/>
      <c r="I85" s="1185"/>
      <c r="J85" s="1185"/>
      <c r="K85" s="1185"/>
      <c r="L85" s="1185"/>
      <c r="M85" s="1185"/>
      <c r="N85" s="1185"/>
      <c r="O85" s="1185"/>
      <c r="P85" s="1185"/>
      <c r="Q85" s="1185"/>
      <c r="R85" s="1185"/>
      <c r="S85" s="1185"/>
      <c r="T85" s="1185"/>
      <c r="U85" s="1185"/>
      <c r="V85" s="1178"/>
      <c r="W85" s="1178"/>
      <c r="Y85" s="519">
        <v>14</v>
      </c>
      <c r="Z85" s="1179"/>
      <c r="AA85" s="1180"/>
      <c r="AB85" s="1180"/>
      <c r="AC85" s="1180"/>
      <c r="AD85" s="1180"/>
      <c r="AE85" s="1181"/>
      <c r="AF85" s="1173"/>
      <c r="AG85" s="1173"/>
      <c r="AH85" s="1173"/>
      <c r="AI85" s="1173"/>
      <c r="AJ85" s="1173"/>
      <c r="AK85" s="1173"/>
      <c r="AL85" s="1173"/>
      <c r="AM85" s="1173"/>
      <c r="AN85" s="1173"/>
      <c r="AO85" s="1173"/>
      <c r="AP85" s="1173"/>
      <c r="AQ85" s="1173"/>
      <c r="AR85" s="1173"/>
      <c r="AS85" s="1183"/>
      <c r="AT85" s="1183"/>
      <c r="AW85" s="518">
        <v>75</v>
      </c>
      <c r="AX85" s="1174"/>
      <c r="AY85" s="1175"/>
      <c r="AZ85" s="1175"/>
      <c r="BA85" s="1175"/>
      <c r="BB85" s="1175"/>
      <c r="BC85" s="1176"/>
      <c r="BD85" s="1185"/>
      <c r="BE85" s="1185"/>
      <c r="BF85" s="1185"/>
      <c r="BG85" s="1185"/>
      <c r="BH85" s="1185"/>
      <c r="BI85" s="1185"/>
      <c r="BJ85" s="1185"/>
      <c r="BK85" s="1185"/>
      <c r="BL85" s="1185"/>
      <c r="BM85" s="1185"/>
      <c r="BN85" s="1185"/>
      <c r="BO85" s="1185"/>
      <c r="BP85" s="1185"/>
      <c r="BQ85" s="1178"/>
      <c r="BR85" s="1178"/>
      <c r="BT85" s="519">
        <v>14</v>
      </c>
      <c r="BU85" s="1179"/>
      <c r="BV85" s="1180"/>
      <c r="BW85" s="1180"/>
      <c r="BX85" s="1180"/>
      <c r="BY85" s="1180"/>
      <c r="BZ85" s="1181"/>
      <c r="CA85" s="1173"/>
      <c r="CB85" s="1173"/>
      <c r="CC85" s="1173"/>
      <c r="CD85" s="1173"/>
      <c r="CE85" s="1173"/>
      <c r="CF85" s="1173"/>
      <c r="CG85" s="1173"/>
      <c r="CH85" s="1173"/>
      <c r="CI85" s="1173"/>
      <c r="CJ85" s="1173"/>
      <c r="CK85" s="1173"/>
      <c r="CL85" s="1173"/>
      <c r="CM85" s="1173"/>
      <c r="CN85" s="1183"/>
      <c r="CO85" s="1183"/>
      <c r="CR85" s="518">
        <v>75</v>
      </c>
      <c r="CS85" s="1174"/>
      <c r="CT85" s="1175"/>
      <c r="CU85" s="1175"/>
      <c r="CV85" s="1175"/>
      <c r="CW85" s="1175"/>
      <c r="CX85" s="1176"/>
      <c r="CY85" s="1185"/>
      <c r="CZ85" s="1185"/>
      <c r="DA85" s="1185"/>
      <c r="DB85" s="1185"/>
      <c r="DC85" s="1185"/>
      <c r="DD85" s="1185"/>
      <c r="DE85" s="1185"/>
      <c r="DF85" s="1185"/>
      <c r="DG85" s="1185"/>
      <c r="DH85" s="1185"/>
      <c r="DI85" s="1185"/>
      <c r="DJ85" s="1185"/>
      <c r="DK85" s="1185"/>
      <c r="DL85" s="1178"/>
      <c r="DM85" s="1178"/>
      <c r="DO85" s="519">
        <v>14</v>
      </c>
      <c r="DP85" s="1179"/>
      <c r="DQ85" s="1180"/>
      <c r="DR85" s="1180"/>
      <c r="DS85" s="1180"/>
      <c r="DT85" s="1180"/>
      <c r="DU85" s="1181"/>
      <c r="DV85" s="1173"/>
      <c r="DW85" s="1173"/>
      <c r="DX85" s="1173"/>
      <c r="DY85" s="1173"/>
      <c r="DZ85" s="1173"/>
      <c r="EA85" s="1173"/>
      <c r="EB85" s="1173"/>
      <c r="EC85" s="1173"/>
      <c r="ED85" s="1173"/>
      <c r="EE85" s="1173"/>
      <c r="EF85" s="1173"/>
      <c r="EG85" s="1173"/>
      <c r="EH85" s="1173"/>
      <c r="EI85" s="1183"/>
      <c r="EJ85" s="1183"/>
      <c r="EM85" s="518">
        <v>75</v>
      </c>
      <c r="EN85" s="1174"/>
      <c r="EO85" s="1175"/>
      <c r="EP85" s="1175"/>
      <c r="EQ85" s="1175"/>
      <c r="ER85" s="1175"/>
      <c r="ES85" s="1176"/>
      <c r="ET85" s="1185"/>
      <c r="EU85" s="1185"/>
      <c r="EV85" s="1185"/>
      <c r="EW85" s="1185"/>
      <c r="EX85" s="1185"/>
      <c r="EY85" s="1185"/>
      <c r="EZ85" s="1185"/>
      <c r="FA85" s="1185"/>
      <c r="FB85" s="1185"/>
      <c r="FC85" s="1185"/>
      <c r="FD85" s="1185"/>
      <c r="FE85" s="1185"/>
      <c r="FF85" s="1185"/>
      <c r="FG85" s="1178"/>
      <c r="FH85" s="1178"/>
      <c r="FJ85" s="519">
        <v>14</v>
      </c>
      <c r="FK85" s="1179"/>
      <c r="FL85" s="1180"/>
      <c r="FM85" s="1180"/>
      <c r="FN85" s="1180"/>
      <c r="FO85" s="1180"/>
      <c r="FP85" s="1181"/>
      <c r="FQ85" s="1173"/>
      <c r="FR85" s="1173"/>
      <c r="FS85" s="1173"/>
      <c r="FT85" s="1173"/>
      <c r="FU85" s="1173"/>
      <c r="FV85" s="1173"/>
      <c r="FW85" s="1173"/>
      <c r="FX85" s="1173"/>
      <c r="FY85" s="1173"/>
      <c r="FZ85" s="1173"/>
      <c r="GA85" s="1173"/>
      <c r="GB85" s="1173"/>
      <c r="GC85" s="1173"/>
      <c r="GD85" s="1183"/>
      <c r="GE85" s="1183"/>
      <c r="GH85" s="518">
        <v>75</v>
      </c>
      <c r="GI85" s="1174"/>
      <c r="GJ85" s="1175"/>
      <c r="GK85" s="1175"/>
      <c r="GL85" s="1175"/>
      <c r="GM85" s="1175"/>
      <c r="GN85" s="1176"/>
      <c r="GO85" s="1185"/>
      <c r="GP85" s="1185"/>
      <c r="GQ85" s="1185"/>
      <c r="GR85" s="1185"/>
      <c r="GS85" s="1185"/>
      <c r="GT85" s="1185"/>
      <c r="GU85" s="1185"/>
      <c r="GV85" s="1185"/>
      <c r="GW85" s="1185"/>
      <c r="GX85" s="1185"/>
      <c r="GY85" s="1185"/>
      <c r="GZ85" s="1185"/>
      <c r="HA85" s="1185"/>
      <c r="HB85" s="1178"/>
      <c r="HC85" s="1178"/>
      <c r="HE85" s="519">
        <v>14</v>
      </c>
      <c r="HF85" s="1179"/>
      <c r="HG85" s="1180"/>
      <c r="HH85" s="1180"/>
      <c r="HI85" s="1180"/>
      <c r="HJ85" s="1180"/>
      <c r="HK85" s="1181"/>
      <c r="HL85" s="1173"/>
      <c r="HM85" s="1173"/>
      <c r="HN85" s="1173"/>
      <c r="HO85" s="1173"/>
      <c r="HP85" s="1173"/>
      <c r="HQ85" s="1173"/>
      <c r="HR85" s="1173"/>
      <c r="HS85" s="1173"/>
      <c r="HT85" s="1173"/>
      <c r="HU85" s="1173"/>
      <c r="HV85" s="1173"/>
      <c r="HW85" s="1173"/>
      <c r="HX85" s="1173"/>
      <c r="HY85" s="1183"/>
      <c r="HZ85" s="1183"/>
    </row>
    <row r="86" spans="2:234" ht="17.149999999999999" customHeight="1" x14ac:dyDescent="0.25">
      <c r="B86" s="519">
        <v>76</v>
      </c>
      <c r="C86" s="1179"/>
      <c r="D86" s="1180"/>
      <c r="E86" s="1180"/>
      <c r="F86" s="1180"/>
      <c r="G86" s="1180"/>
      <c r="H86" s="1181"/>
      <c r="I86" s="1173"/>
      <c r="J86" s="1173"/>
      <c r="K86" s="1173"/>
      <c r="L86" s="1173"/>
      <c r="M86" s="1173"/>
      <c r="N86" s="1173"/>
      <c r="O86" s="1173"/>
      <c r="P86" s="1173"/>
      <c r="Q86" s="1173"/>
      <c r="R86" s="1173"/>
      <c r="S86" s="1173"/>
      <c r="T86" s="1173"/>
      <c r="U86" s="1173"/>
      <c r="V86" s="1183"/>
      <c r="W86" s="1183"/>
      <c r="Y86" s="518">
        <v>15</v>
      </c>
      <c r="Z86" s="1174"/>
      <c r="AA86" s="1175"/>
      <c r="AB86" s="1175"/>
      <c r="AC86" s="1175"/>
      <c r="AD86" s="1175"/>
      <c r="AE86" s="1176"/>
      <c r="AF86" s="1185"/>
      <c r="AG86" s="1185"/>
      <c r="AH86" s="1185"/>
      <c r="AI86" s="1185"/>
      <c r="AJ86" s="1185"/>
      <c r="AK86" s="1185"/>
      <c r="AL86" s="1185"/>
      <c r="AM86" s="1185"/>
      <c r="AN86" s="1185"/>
      <c r="AO86" s="1185"/>
      <c r="AP86" s="1185"/>
      <c r="AQ86" s="1185"/>
      <c r="AR86" s="1185"/>
      <c r="AS86" s="1178"/>
      <c r="AT86" s="1178"/>
      <c r="AW86" s="519">
        <v>76</v>
      </c>
      <c r="AX86" s="1179"/>
      <c r="AY86" s="1180"/>
      <c r="AZ86" s="1180"/>
      <c r="BA86" s="1180"/>
      <c r="BB86" s="1180"/>
      <c r="BC86" s="1181"/>
      <c r="BD86" s="1173"/>
      <c r="BE86" s="1173"/>
      <c r="BF86" s="1173"/>
      <c r="BG86" s="1173"/>
      <c r="BH86" s="1173"/>
      <c r="BI86" s="1173"/>
      <c r="BJ86" s="1173"/>
      <c r="BK86" s="1173"/>
      <c r="BL86" s="1173"/>
      <c r="BM86" s="1173"/>
      <c r="BN86" s="1173"/>
      <c r="BO86" s="1173"/>
      <c r="BP86" s="1173"/>
      <c r="BQ86" s="1183"/>
      <c r="BR86" s="1183"/>
      <c r="BT86" s="518">
        <v>15</v>
      </c>
      <c r="BU86" s="1174"/>
      <c r="BV86" s="1175"/>
      <c r="BW86" s="1175"/>
      <c r="BX86" s="1175"/>
      <c r="BY86" s="1175"/>
      <c r="BZ86" s="1176"/>
      <c r="CA86" s="1185"/>
      <c r="CB86" s="1185"/>
      <c r="CC86" s="1185"/>
      <c r="CD86" s="1185"/>
      <c r="CE86" s="1185"/>
      <c r="CF86" s="1185"/>
      <c r="CG86" s="1185"/>
      <c r="CH86" s="1185"/>
      <c r="CI86" s="1185"/>
      <c r="CJ86" s="1185"/>
      <c r="CK86" s="1185"/>
      <c r="CL86" s="1185"/>
      <c r="CM86" s="1185"/>
      <c r="CN86" s="1178"/>
      <c r="CO86" s="1178"/>
      <c r="CR86" s="519">
        <v>76</v>
      </c>
      <c r="CS86" s="1179"/>
      <c r="CT86" s="1180"/>
      <c r="CU86" s="1180"/>
      <c r="CV86" s="1180"/>
      <c r="CW86" s="1180"/>
      <c r="CX86" s="1181"/>
      <c r="CY86" s="1173"/>
      <c r="CZ86" s="1173"/>
      <c r="DA86" s="1173"/>
      <c r="DB86" s="1173"/>
      <c r="DC86" s="1173"/>
      <c r="DD86" s="1173"/>
      <c r="DE86" s="1173"/>
      <c r="DF86" s="1173"/>
      <c r="DG86" s="1173"/>
      <c r="DH86" s="1173"/>
      <c r="DI86" s="1173"/>
      <c r="DJ86" s="1173"/>
      <c r="DK86" s="1173"/>
      <c r="DL86" s="1183"/>
      <c r="DM86" s="1183"/>
      <c r="DO86" s="518">
        <v>15</v>
      </c>
      <c r="DP86" s="1174"/>
      <c r="DQ86" s="1175"/>
      <c r="DR86" s="1175"/>
      <c r="DS86" s="1175"/>
      <c r="DT86" s="1175"/>
      <c r="DU86" s="1176"/>
      <c r="DV86" s="1185"/>
      <c r="DW86" s="1185"/>
      <c r="DX86" s="1185"/>
      <c r="DY86" s="1185"/>
      <c r="DZ86" s="1185"/>
      <c r="EA86" s="1185"/>
      <c r="EB86" s="1185"/>
      <c r="EC86" s="1185"/>
      <c r="ED86" s="1185"/>
      <c r="EE86" s="1185"/>
      <c r="EF86" s="1185"/>
      <c r="EG86" s="1185"/>
      <c r="EH86" s="1185"/>
      <c r="EI86" s="1178"/>
      <c r="EJ86" s="1178"/>
      <c r="EM86" s="519">
        <v>76</v>
      </c>
      <c r="EN86" s="1179"/>
      <c r="EO86" s="1180"/>
      <c r="EP86" s="1180"/>
      <c r="EQ86" s="1180"/>
      <c r="ER86" s="1180"/>
      <c r="ES86" s="1181"/>
      <c r="ET86" s="1173"/>
      <c r="EU86" s="1173"/>
      <c r="EV86" s="1173"/>
      <c r="EW86" s="1173"/>
      <c r="EX86" s="1173"/>
      <c r="EY86" s="1173"/>
      <c r="EZ86" s="1173"/>
      <c r="FA86" s="1173"/>
      <c r="FB86" s="1173"/>
      <c r="FC86" s="1173"/>
      <c r="FD86" s="1173"/>
      <c r="FE86" s="1173"/>
      <c r="FF86" s="1173"/>
      <c r="FG86" s="1183"/>
      <c r="FH86" s="1183"/>
      <c r="FJ86" s="518">
        <v>15</v>
      </c>
      <c r="FK86" s="1174"/>
      <c r="FL86" s="1175"/>
      <c r="FM86" s="1175"/>
      <c r="FN86" s="1175"/>
      <c r="FO86" s="1175"/>
      <c r="FP86" s="1176"/>
      <c r="FQ86" s="1185"/>
      <c r="FR86" s="1185"/>
      <c r="FS86" s="1185"/>
      <c r="FT86" s="1185"/>
      <c r="FU86" s="1185"/>
      <c r="FV86" s="1185"/>
      <c r="FW86" s="1185"/>
      <c r="FX86" s="1185"/>
      <c r="FY86" s="1185"/>
      <c r="FZ86" s="1185"/>
      <c r="GA86" s="1185"/>
      <c r="GB86" s="1185"/>
      <c r="GC86" s="1185"/>
      <c r="GD86" s="1178"/>
      <c r="GE86" s="1178"/>
      <c r="GH86" s="519">
        <v>76</v>
      </c>
      <c r="GI86" s="1179"/>
      <c r="GJ86" s="1180"/>
      <c r="GK86" s="1180"/>
      <c r="GL86" s="1180"/>
      <c r="GM86" s="1180"/>
      <c r="GN86" s="1181"/>
      <c r="GO86" s="1173"/>
      <c r="GP86" s="1173"/>
      <c r="GQ86" s="1173"/>
      <c r="GR86" s="1173"/>
      <c r="GS86" s="1173"/>
      <c r="GT86" s="1173"/>
      <c r="GU86" s="1173"/>
      <c r="GV86" s="1173"/>
      <c r="GW86" s="1173"/>
      <c r="GX86" s="1173"/>
      <c r="GY86" s="1173"/>
      <c r="GZ86" s="1173"/>
      <c r="HA86" s="1173"/>
      <c r="HB86" s="1183"/>
      <c r="HC86" s="1183"/>
      <c r="HE86" s="518">
        <v>15</v>
      </c>
      <c r="HF86" s="1174"/>
      <c r="HG86" s="1175"/>
      <c r="HH86" s="1175"/>
      <c r="HI86" s="1175"/>
      <c r="HJ86" s="1175"/>
      <c r="HK86" s="1176"/>
      <c r="HL86" s="1185"/>
      <c r="HM86" s="1185"/>
      <c r="HN86" s="1185"/>
      <c r="HO86" s="1185"/>
      <c r="HP86" s="1185"/>
      <c r="HQ86" s="1185"/>
      <c r="HR86" s="1185"/>
      <c r="HS86" s="1185"/>
      <c r="HT86" s="1185"/>
      <c r="HU86" s="1185"/>
      <c r="HV86" s="1185"/>
      <c r="HW86" s="1185"/>
      <c r="HX86" s="1185"/>
      <c r="HY86" s="1178"/>
      <c r="HZ86" s="1178"/>
    </row>
    <row r="87" spans="2:234" ht="17.149999999999999" customHeight="1" x14ac:dyDescent="0.25">
      <c r="B87" s="518">
        <v>77</v>
      </c>
      <c r="C87" s="1174"/>
      <c r="D87" s="1175"/>
      <c r="E87" s="1175"/>
      <c r="F87" s="1175"/>
      <c r="G87" s="1175"/>
      <c r="H87" s="1176"/>
      <c r="I87" s="1185"/>
      <c r="J87" s="1185"/>
      <c r="K87" s="1185"/>
      <c r="L87" s="1185"/>
      <c r="M87" s="1185"/>
      <c r="N87" s="1185"/>
      <c r="O87" s="1185"/>
      <c r="P87" s="1185"/>
      <c r="Q87" s="1185"/>
      <c r="R87" s="1185"/>
      <c r="S87" s="1185"/>
      <c r="T87" s="1185"/>
      <c r="U87" s="1185"/>
      <c r="V87" s="1178"/>
      <c r="W87" s="1178"/>
      <c r="Y87" s="519">
        <v>16</v>
      </c>
      <c r="Z87" s="1179"/>
      <c r="AA87" s="1180"/>
      <c r="AB87" s="1180"/>
      <c r="AC87" s="1180"/>
      <c r="AD87" s="1180"/>
      <c r="AE87" s="1181"/>
      <c r="AF87" s="1173"/>
      <c r="AG87" s="1173"/>
      <c r="AH87" s="1173"/>
      <c r="AI87" s="1173"/>
      <c r="AJ87" s="1173"/>
      <c r="AK87" s="1173"/>
      <c r="AL87" s="1173"/>
      <c r="AM87" s="1173"/>
      <c r="AN87" s="1173"/>
      <c r="AO87" s="1173"/>
      <c r="AP87" s="1173"/>
      <c r="AQ87" s="1173"/>
      <c r="AR87" s="1173"/>
      <c r="AS87" s="1183"/>
      <c r="AT87" s="1183"/>
      <c r="AW87" s="518">
        <v>77</v>
      </c>
      <c r="AX87" s="1174"/>
      <c r="AY87" s="1175"/>
      <c r="AZ87" s="1175"/>
      <c r="BA87" s="1175"/>
      <c r="BB87" s="1175"/>
      <c r="BC87" s="1176"/>
      <c r="BD87" s="1185"/>
      <c r="BE87" s="1185"/>
      <c r="BF87" s="1185"/>
      <c r="BG87" s="1185"/>
      <c r="BH87" s="1185"/>
      <c r="BI87" s="1185"/>
      <c r="BJ87" s="1185"/>
      <c r="BK87" s="1185"/>
      <c r="BL87" s="1185"/>
      <c r="BM87" s="1185"/>
      <c r="BN87" s="1185"/>
      <c r="BO87" s="1185"/>
      <c r="BP87" s="1185"/>
      <c r="BQ87" s="1178"/>
      <c r="BR87" s="1178"/>
      <c r="BT87" s="519">
        <v>16</v>
      </c>
      <c r="BU87" s="1179"/>
      <c r="BV87" s="1180"/>
      <c r="BW87" s="1180"/>
      <c r="BX87" s="1180"/>
      <c r="BY87" s="1180"/>
      <c r="BZ87" s="1181"/>
      <c r="CA87" s="1173"/>
      <c r="CB87" s="1173"/>
      <c r="CC87" s="1173"/>
      <c r="CD87" s="1173"/>
      <c r="CE87" s="1173"/>
      <c r="CF87" s="1173"/>
      <c r="CG87" s="1173"/>
      <c r="CH87" s="1173"/>
      <c r="CI87" s="1173"/>
      <c r="CJ87" s="1173"/>
      <c r="CK87" s="1173"/>
      <c r="CL87" s="1173"/>
      <c r="CM87" s="1173"/>
      <c r="CN87" s="1183"/>
      <c r="CO87" s="1183"/>
      <c r="CR87" s="518">
        <v>77</v>
      </c>
      <c r="CS87" s="1174"/>
      <c r="CT87" s="1175"/>
      <c r="CU87" s="1175"/>
      <c r="CV87" s="1175"/>
      <c r="CW87" s="1175"/>
      <c r="CX87" s="1176"/>
      <c r="CY87" s="1185"/>
      <c r="CZ87" s="1185"/>
      <c r="DA87" s="1185"/>
      <c r="DB87" s="1185"/>
      <c r="DC87" s="1185"/>
      <c r="DD87" s="1185"/>
      <c r="DE87" s="1185"/>
      <c r="DF87" s="1185"/>
      <c r="DG87" s="1185"/>
      <c r="DH87" s="1185"/>
      <c r="DI87" s="1185"/>
      <c r="DJ87" s="1185"/>
      <c r="DK87" s="1185"/>
      <c r="DL87" s="1178"/>
      <c r="DM87" s="1178"/>
      <c r="DO87" s="519">
        <v>16</v>
      </c>
      <c r="DP87" s="1179"/>
      <c r="DQ87" s="1180"/>
      <c r="DR87" s="1180"/>
      <c r="DS87" s="1180"/>
      <c r="DT87" s="1180"/>
      <c r="DU87" s="1181"/>
      <c r="DV87" s="1173"/>
      <c r="DW87" s="1173"/>
      <c r="DX87" s="1173"/>
      <c r="DY87" s="1173"/>
      <c r="DZ87" s="1173"/>
      <c r="EA87" s="1173"/>
      <c r="EB87" s="1173"/>
      <c r="EC87" s="1173"/>
      <c r="ED87" s="1173"/>
      <c r="EE87" s="1173"/>
      <c r="EF87" s="1173"/>
      <c r="EG87" s="1173"/>
      <c r="EH87" s="1173"/>
      <c r="EI87" s="1183"/>
      <c r="EJ87" s="1183"/>
      <c r="EM87" s="518">
        <v>77</v>
      </c>
      <c r="EN87" s="1174"/>
      <c r="EO87" s="1175"/>
      <c r="EP87" s="1175"/>
      <c r="EQ87" s="1175"/>
      <c r="ER87" s="1175"/>
      <c r="ES87" s="1176"/>
      <c r="ET87" s="1185"/>
      <c r="EU87" s="1185"/>
      <c r="EV87" s="1185"/>
      <c r="EW87" s="1185"/>
      <c r="EX87" s="1185"/>
      <c r="EY87" s="1185"/>
      <c r="EZ87" s="1185"/>
      <c r="FA87" s="1185"/>
      <c r="FB87" s="1185"/>
      <c r="FC87" s="1185"/>
      <c r="FD87" s="1185"/>
      <c r="FE87" s="1185"/>
      <c r="FF87" s="1185"/>
      <c r="FG87" s="1178"/>
      <c r="FH87" s="1178"/>
      <c r="FJ87" s="519">
        <v>16</v>
      </c>
      <c r="FK87" s="1179"/>
      <c r="FL87" s="1180"/>
      <c r="FM87" s="1180"/>
      <c r="FN87" s="1180"/>
      <c r="FO87" s="1180"/>
      <c r="FP87" s="1181"/>
      <c r="FQ87" s="1173"/>
      <c r="FR87" s="1173"/>
      <c r="FS87" s="1173"/>
      <c r="FT87" s="1173"/>
      <c r="FU87" s="1173"/>
      <c r="FV87" s="1173"/>
      <c r="FW87" s="1173"/>
      <c r="FX87" s="1173"/>
      <c r="FY87" s="1173"/>
      <c r="FZ87" s="1173"/>
      <c r="GA87" s="1173"/>
      <c r="GB87" s="1173"/>
      <c r="GC87" s="1173"/>
      <c r="GD87" s="1183"/>
      <c r="GE87" s="1183"/>
      <c r="GH87" s="518">
        <v>77</v>
      </c>
      <c r="GI87" s="1174"/>
      <c r="GJ87" s="1175"/>
      <c r="GK87" s="1175"/>
      <c r="GL87" s="1175"/>
      <c r="GM87" s="1175"/>
      <c r="GN87" s="1176"/>
      <c r="GO87" s="1185"/>
      <c r="GP87" s="1185"/>
      <c r="GQ87" s="1185"/>
      <c r="GR87" s="1185"/>
      <c r="GS87" s="1185"/>
      <c r="GT87" s="1185"/>
      <c r="GU87" s="1185"/>
      <c r="GV87" s="1185"/>
      <c r="GW87" s="1185"/>
      <c r="GX87" s="1185"/>
      <c r="GY87" s="1185"/>
      <c r="GZ87" s="1185"/>
      <c r="HA87" s="1185"/>
      <c r="HB87" s="1178"/>
      <c r="HC87" s="1178"/>
      <c r="HE87" s="519">
        <v>16</v>
      </c>
      <c r="HF87" s="1179"/>
      <c r="HG87" s="1180"/>
      <c r="HH87" s="1180"/>
      <c r="HI87" s="1180"/>
      <c r="HJ87" s="1180"/>
      <c r="HK87" s="1181"/>
      <c r="HL87" s="1173"/>
      <c r="HM87" s="1173"/>
      <c r="HN87" s="1173"/>
      <c r="HO87" s="1173"/>
      <c r="HP87" s="1173"/>
      <c r="HQ87" s="1173"/>
      <c r="HR87" s="1173"/>
      <c r="HS87" s="1173"/>
      <c r="HT87" s="1173"/>
      <c r="HU87" s="1173"/>
      <c r="HV87" s="1173"/>
      <c r="HW87" s="1173"/>
      <c r="HX87" s="1173"/>
      <c r="HY87" s="1183"/>
      <c r="HZ87" s="1183"/>
    </row>
    <row r="88" spans="2:234" ht="17.149999999999999" customHeight="1" x14ac:dyDescent="0.25">
      <c r="B88" s="519">
        <v>78</v>
      </c>
      <c r="C88" s="1179"/>
      <c r="D88" s="1180"/>
      <c r="E88" s="1180"/>
      <c r="F88" s="1180"/>
      <c r="G88" s="1180"/>
      <c r="H88" s="1181"/>
      <c r="I88" s="1173"/>
      <c r="J88" s="1173"/>
      <c r="K88" s="1173"/>
      <c r="L88" s="1173"/>
      <c r="M88" s="1173"/>
      <c r="N88" s="1173"/>
      <c r="O88" s="1173"/>
      <c r="P88" s="1173"/>
      <c r="Q88" s="1173"/>
      <c r="R88" s="1173"/>
      <c r="S88" s="1173"/>
      <c r="T88" s="1173"/>
      <c r="U88" s="1173"/>
      <c r="V88" s="1183"/>
      <c r="W88" s="1183"/>
      <c r="Y88" s="518">
        <v>17</v>
      </c>
      <c r="Z88" s="1174"/>
      <c r="AA88" s="1175"/>
      <c r="AB88" s="1175"/>
      <c r="AC88" s="1175"/>
      <c r="AD88" s="1175"/>
      <c r="AE88" s="1176"/>
      <c r="AF88" s="1185"/>
      <c r="AG88" s="1185"/>
      <c r="AH88" s="1185"/>
      <c r="AI88" s="1185"/>
      <c r="AJ88" s="1185"/>
      <c r="AK88" s="1185"/>
      <c r="AL88" s="1185"/>
      <c r="AM88" s="1185"/>
      <c r="AN88" s="1185"/>
      <c r="AO88" s="1185"/>
      <c r="AP88" s="1185"/>
      <c r="AQ88" s="1185"/>
      <c r="AR88" s="1185"/>
      <c r="AS88" s="1178"/>
      <c r="AT88" s="1178"/>
      <c r="AW88" s="519">
        <v>78</v>
      </c>
      <c r="AX88" s="1179"/>
      <c r="AY88" s="1180"/>
      <c r="AZ88" s="1180"/>
      <c r="BA88" s="1180"/>
      <c r="BB88" s="1180"/>
      <c r="BC88" s="1181"/>
      <c r="BD88" s="1173"/>
      <c r="BE88" s="1173"/>
      <c r="BF88" s="1173"/>
      <c r="BG88" s="1173"/>
      <c r="BH88" s="1173"/>
      <c r="BI88" s="1173"/>
      <c r="BJ88" s="1173"/>
      <c r="BK88" s="1173"/>
      <c r="BL88" s="1173"/>
      <c r="BM88" s="1173"/>
      <c r="BN88" s="1173"/>
      <c r="BO88" s="1173"/>
      <c r="BP88" s="1173"/>
      <c r="BQ88" s="1183"/>
      <c r="BR88" s="1183"/>
      <c r="BT88" s="518">
        <v>17</v>
      </c>
      <c r="BU88" s="1174"/>
      <c r="BV88" s="1175"/>
      <c r="BW88" s="1175"/>
      <c r="BX88" s="1175"/>
      <c r="BY88" s="1175"/>
      <c r="BZ88" s="1176"/>
      <c r="CA88" s="1185"/>
      <c r="CB88" s="1185"/>
      <c r="CC88" s="1185"/>
      <c r="CD88" s="1185"/>
      <c r="CE88" s="1185"/>
      <c r="CF88" s="1185"/>
      <c r="CG88" s="1185"/>
      <c r="CH88" s="1185"/>
      <c r="CI88" s="1185"/>
      <c r="CJ88" s="1185"/>
      <c r="CK88" s="1185"/>
      <c r="CL88" s="1185"/>
      <c r="CM88" s="1185"/>
      <c r="CN88" s="1178"/>
      <c r="CO88" s="1178"/>
      <c r="CR88" s="519">
        <v>78</v>
      </c>
      <c r="CS88" s="1179"/>
      <c r="CT88" s="1180"/>
      <c r="CU88" s="1180"/>
      <c r="CV88" s="1180"/>
      <c r="CW88" s="1180"/>
      <c r="CX88" s="1181"/>
      <c r="CY88" s="1173"/>
      <c r="CZ88" s="1173"/>
      <c r="DA88" s="1173"/>
      <c r="DB88" s="1173"/>
      <c r="DC88" s="1173"/>
      <c r="DD88" s="1173"/>
      <c r="DE88" s="1173"/>
      <c r="DF88" s="1173"/>
      <c r="DG88" s="1173"/>
      <c r="DH88" s="1173"/>
      <c r="DI88" s="1173"/>
      <c r="DJ88" s="1173"/>
      <c r="DK88" s="1173"/>
      <c r="DL88" s="1183"/>
      <c r="DM88" s="1183"/>
      <c r="DO88" s="518">
        <v>17</v>
      </c>
      <c r="DP88" s="1174"/>
      <c r="DQ88" s="1175"/>
      <c r="DR88" s="1175"/>
      <c r="DS88" s="1175"/>
      <c r="DT88" s="1175"/>
      <c r="DU88" s="1176"/>
      <c r="DV88" s="1185"/>
      <c r="DW88" s="1185"/>
      <c r="DX88" s="1185"/>
      <c r="DY88" s="1185"/>
      <c r="DZ88" s="1185"/>
      <c r="EA88" s="1185"/>
      <c r="EB88" s="1185"/>
      <c r="EC88" s="1185"/>
      <c r="ED88" s="1185"/>
      <c r="EE88" s="1185"/>
      <c r="EF88" s="1185"/>
      <c r="EG88" s="1185"/>
      <c r="EH88" s="1185"/>
      <c r="EI88" s="1178"/>
      <c r="EJ88" s="1178"/>
      <c r="EM88" s="519">
        <v>78</v>
      </c>
      <c r="EN88" s="1179"/>
      <c r="EO88" s="1180"/>
      <c r="EP88" s="1180"/>
      <c r="EQ88" s="1180"/>
      <c r="ER88" s="1180"/>
      <c r="ES88" s="1181"/>
      <c r="ET88" s="1173"/>
      <c r="EU88" s="1173"/>
      <c r="EV88" s="1173"/>
      <c r="EW88" s="1173"/>
      <c r="EX88" s="1173"/>
      <c r="EY88" s="1173"/>
      <c r="EZ88" s="1173"/>
      <c r="FA88" s="1173"/>
      <c r="FB88" s="1173"/>
      <c r="FC88" s="1173"/>
      <c r="FD88" s="1173"/>
      <c r="FE88" s="1173"/>
      <c r="FF88" s="1173"/>
      <c r="FG88" s="1183"/>
      <c r="FH88" s="1183"/>
      <c r="FJ88" s="518">
        <v>17</v>
      </c>
      <c r="FK88" s="1174"/>
      <c r="FL88" s="1175"/>
      <c r="FM88" s="1175"/>
      <c r="FN88" s="1175"/>
      <c r="FO88" s="1175"/>
      <c r="FP88" s="1176"/>
      <c r="FQ88" s="1185"/>
      <c r="FR88" s="1185"/>
      <c r="FS88" s="1185"/>
      <c r="FT88" s="1185"/>
      <c r="FU88" s="1185"/>
      <c r="FV88" s="1185"/>
      <c r="FW88" s="1185"/>
      <c r="FX88" s="1185"/>
      <c r="FY88" s="1185"/>
      <c r="FZ88" s="1185"/>
      <c r="GA88" s="1185"/>
      <c r="GB88" s="1185"/>
      <c r="GC88" s="1185"/>
      <c r="GD88" s="1178"/>
      <c r="GE88" s="1178"/>
      <c r="GH88" s="519">
        <v>78</v>
      </c>
      <c r="GI88" s="1179"/>
      <c r="GJ88" s="1180"/>
      <c r="GK88" s="1180"/>
      <c r="GL88" s="1180"/>
      <c r="GM88" s="1180"/>
      <c r="GN88" s="1181"/>
      <c r="GO88" s="1173"/>
      <c r="GP88" s="1173"/>
      <c r="GQ88" s="1173"/>
      <c r="GR88" s="1173"/>
      <c r="GS88" s="1173"/>
      <c r="GT88" s="1173"/>
      <c r="GU88" s="1173"/>
      <c r="GV88" s="1173"/>
      <c r="GW88" s="1173"/>
      <c r="GX88" s="1173"/>
      <c r="GY88" s="1173"/>
      <c r="GZ88" s="1173"/>
      <c r="HA88" s="1173"/>
      <c r="HB88" s="1183"/>
      <c r="HC88" s="1183"/>
      <c r="HE88" s="518">
        <v>17</v>
      </c>
      <c r="HF88" s="1174"/>
      <c r="HG88" s="1175"/>
      <c r="HH88" s="1175"/>
      <c r="HI88" s="1175"/>
      <c r="HJ88" s="1175"/>
      <c r="HK88" s="1176"/>
      <c r="HL88" s="1185"/>
      <c r="HM88" s="1185"/>
      <c r="HN88" s="1185"/>
      <c r="HO88" s="1185"/>
      <c r="HP88" s="1185"/>
      <c r="HQ88" s="1185"/>
      <c r="HR88" s="1185"/>
      <c r="HS88" s="1185"/>
      <c r="HT88" s="1185"/>
      <c r="HU88" s="1185"/>
      <c r="HV88" s="1185"/>
      <c r="HW88" s="1185"/>
      <c r="HX88" s="1185"/>
      <c r="HY88" s="1178"/>
      <c r="HZ88" s="1178"/>
    </row>
    <row r="89" spans="2:234" ht="17.149999999999999" customHeight="1" x14ac:dyDescent="0.25">
      <c r="B89" s="518">
        <v>79</v>
      </c>
      <c r="C89" s="1174"/>
      <c r="D89" s="1175"/>
      <c r="E89" s="1175"/>
      <c r="F89" s="1175"/>
      <c r="G89" s="1175"/>
      <c r="H89" s="1176"/>
      <c r="I89" s="1185"/>
      <c r="J89" s="1185"/>
      <c r="K89" s="1185"/>
      <c r="L89" s="1185"/>
      <c r="M89" s="1185"/>
      <c r="N89" s="1185"/>
      <c r="O89" s="1185"/>
      <c r="P89" s="1185"/>
      <c r="Q89" s="1185"/>
      <c r="R89" s="1185"/>
      <c r="S89" s="1185"/>
      <c r="T89" s="1185"/>
      <c r="U89" s="1185"/>
      <c r="V89" s="1178"/>
      <c r="W89" s="1178"/>
      <c r="Y89" s="519">
        <v>18</v>
      </c>
      <c r="Z89" s="1179"/>
      <c r="AA89" s="1180"/>
      <c r="AB89" s="1180"/>
      <c r="AC89" s="1180"/>
      <c r="AD89" s="1180"/>
      <c r="AE89" s="1181"/>
      <c r="AF89" s="1173"/>
      <c r="AG89" s="1173"/>
      <c r="AH89" s="1173"/>
      <c r="AI89" s="1173"/>
      <c r="AJ89" s="1173"/>
      <c r="AK89" s="1173"/>
      <c r="AL89" s="1173"/>
      <c r="AM89" s="1173"/>
      <c r="AN89" s="1173"/>
      <c r="AO89" s="1173"/>
      <c r="AP89" s="1173"/>
      <c r="AQ89" s="1173"/>
      <c r="AR89" s="1173"/>
      <c r="AS89" s="1183"/>
      <c r="AT89" s="1183"/>
      <c r="AW89" s="518">
        <v>79</v>
      </c>
      <c r="AX89" s="1174"/>
      <c r="AY89" s="1175"/>
      <c r="AZ89" s="1175"/>
      <c r="BA89" s="1175"/>
      <c r="BB89" s="1175"/>
      <c r="BC89" s="1176"/>
      <c r="BD89" s="1185"/>
      <c r="BE89" s="1185"/>
      <c r="BF89" s="1185"/>
      <c r="BG89" s="1185"/>
      <c r="BH89" s="1185"/>
      <c r="BI89" s="1185"/>
      <c r="BJ89" s="1185"/>
      <c r="BK89" s="1185"/>
      <c r="BL89" s="1185"/>
      <c r="BM89" s="1185"/>
      <c r="BN89" s="1185"/>
      <c r="BO89" s="1185"/>
      <c r="BP89" s="1185"/>
      <c r="BQ89" s="1178"/>
      <c r="BR89" s="1178"/>
      <c r="BT89" s="519">
        <v>18</v>
      </c>
      <c r="BU89" s="1179"/>
      <c r="BV89" s="1180"/>
      <c r="BW89" s="1180"/>
      <c r="BX89" s="1180"/>
      <c r="BY89" s="1180"/>
      <c r="BZ89" s="1181"/>
      <c r="CA89" s="1173"/>
      <c r="CB89" s="1173"/>
      <c r="CC89" s="1173"/>
      <c r="CD89" s="1173"/>
      <c r="CE89" s="1173"/>
      <c r="CF89" s="1173"/>
      <c r="CG89" s="1173"/>
      <c r="CH89" s="1173"/>
      <c r="CI89" s="1173"/>
      <c r="CJ89" s="1173"/>
      <c r="CK89" s="1173"/>
      <c r="CL89" s="1173"/>
      <c r="CM89" s="1173"/>
      <c r="CN89" s="1183"/>
      <c r="CO89" s="1183"/>
      <c r="CR89" s="518">
        <v>79</v>
      </c>
      <c r="CS89" s="1174"/>
      <c r="CT89" s="1175"/>
      <c r="CU89" s="1175"/>
      <c r="CV89" s="1175"/>
      <c r="CW89" s="1175"/>
      <c r="CX89" s="1176"/>
      <c r="CY89" s="1185"/>
      <c r="CZ89" s="1185"/>
      <c r="DA89" s="1185"/>
      <c r="DB89" s="1185"/>
      <c r="DC89" s="1185"/>
      <c r="DD89" s="1185"/>
      <c r="DE89" s="1185"/>
      <c r="DF89" s="1185"/>
      <c r="DG89" s="1185"/>
      <c r="DH89" s="1185"/>
      <c r="DI89" s="1185"/>
      <c r="DJ89" s="1185"/>
      <c r="DK89" s="1185"/>
      <c r="DL89" s="1178"/>
      <c r="DM89" s="1178"/>
      <c r="DO89" s="519">
        <v>18</v>
      </c>
      <c r="DP89" s="1179"/>
      <c r="DQ89" s="1180"/>
      <c r="DR89" s="1180"/>
      <c r="DS89" s="1180"/>
      <c r="DT89" s="1180"/>
      <c r="DU89" s="1181"/>
      <c r="DV89" s="1173"/>
      <c r="DW89" s="1173"/>
      <c r="DX89" s="1173"/>
      <c r="DY89" s="1173"/>
      <c r="DZ89" s="1173"/>
      <c r="EA89" s="1173"/>
      <c r="EB89" s="1173"/>
      <c r="EC89" s="1173"/>
      <c r="ED89" s="1173"/>
      <c r="EE89" s="1173"/>
      <c r="EF89" s="1173"/>
      <c r="EG89" s="1173"/>
      <c r="EH89" s="1173"/>
      <c r="EI89" s="1183"/>
      <c r="EJ89" s="1183"/>
      <c r="EM89" s="518">
        <v>79</v>
      </c>
      <c r="EN89" s="1174"/>
      <c r="EO89" s="1175"/>
      <c r="EP89" s="1175"/>
      <c r="EQ89" s="1175"/>
      <c r="ER89" s="1175"/>
      <c r="ES89" s="1176"/>
      <c r="ET89" s="1185"/>
      <c r="EU89" s="1185"/>
      <c r="EV89" s="1185"/>
      <c r="EW89" s="1185"/>
      <c r="EX89" s="1185"/>
      <c r="EY89" s="1185"/>
      <c r="EZ89" s="1185"/>
      <c r="FA89" s="1185"/>
      <c r="FB89" s="1185"/>
      <c r="FC89" s="1185"/>
      <c r="FD89" s="1185"/>
      <c r="FE89" s="1185"/>
      <c r="FF89" s="1185"/>
      <c r="FG89" s="1178"/>
      <c r="FH89" s="1178"/>
      <c r="FJ89" s="519">
        <v>18</v>
      </c>
      <c r="FK89" s="1179"/>
      <c r="FL89" s="1180"/>
      <c r="FM89" s="1180"/>
      <c r="FN89" s="1180"/>
      <c r="FO89" s="1180"/>
      <c r="FP89" s="1181"/>
      <c r="FQ89" s="1173"/>
      <c r="FR89" s="1173"/>
      <c r="FS89" s="1173"/>
      <c r="FT89" s="1173"/>
      <c r="FU89" s="1173"/>
      <c r="FV89" s="1173"/>
      <c r="FW89" s="1173"/>
      <c r="FX89" s="1173"/>
      <c r="FY89" s="1173"/>
      <c r="FZ89" s="1173"/>
      <c r="GA89" s="1173"/>
      <c r="GB89" s="1173"/>
      <c r="GC89" s="1173"/>
      <c r="GD89" s="1183"/>
      <c r="GE89" s="1183"/>
      <c r="GH89" s="518">
        <v>79</v>
      </c>
      <c r="GI89" s="1174"/>
      <c r="GJ89" s="1175"/>
      <c r="GK89" s="1175"/>
      <c r="GL89" s="1175"/>
      <c r="GM89" s="1175"/>
      <c r="GN89" s="1176"/>
      <c r="GO89" s="1185"/>
      <c r="GP89" s="1185"/>
      <c r="GQ89" s="1185"/>
      <c r="GR89" s="1185"/>
      <c r="GS89" s="1185"/>
      <c r="GT89" s="1185"/>
      <c r="GU89" s="1185"/>
      <c r="GV89" s="1185"/>
      <c r="GW89" s="1185"/>
      <c r="GX89" s="1185"/>
      <c r="GY89" s="1185"/>
      <c r="GZ89" s="1185"/>
      <c r="HA89" s="1185"/>
      <c r="HB89" s="1178"/>
      <c r="HC89" s="1178"/>
      <c r="HE89" s="519">
        <v>18</v>
      </c>
      <c r="HF89" s="1179"/>
      <c r="HG89" s="1180"/>
      <c r="HH89" s="1180"/>
      <c r="HI89" s="1180"/>
      <c r="HJ89" s="1180"/>
      <c r="HK89" s="1181"/>
      <c r="HL89" s="1173"/>
      <c r="HM89" s="1173"/>
      <c r="HN89" s="1173"/>
      <c r="HO89" s="1173"/>
      <c r="HP89" s="1173"/>
      <c r="HQ89" s="1173"/>
      <c r="HR89" s="1173"/>
      <c r="HS89" s="1173"/>
      <c r="HT89" s="1173"/>
      <c r="HU89" s="1173"/>
      <c r="HV89" s="1173"/>
      <c r="HW89" s="1173"/>
      <c r="HX89" s="1173"/>
      <c r="HY89" s="1183"/>
      <c r="HZ89" s="1183"/>
    </row>
    <row r="90" spans="2:234" ht="17.149999999999999" customHeight="1" x14ac:dyDescent="0.25">
      <c r="B90" s="519">
        <v>80</v>
      </c>
      <c r="C90" s="1179"/>
      <c r="D90" s="1180"/>
      <c r="E90" s="1180"/>
      <c r="F90" s="1180"/>
      <c r="G90" s="1180"/>
      <c r="H90" s="1181"/>
      <c r="I90" s="1173"/>
      <c r="J90" s="1173"/>
      <c r="K90" s="1173"/>
      <c r="L90" s="1173"/>
      <c r="M90" s="1173"/>
      <c r="N90" s="1173"/>
      <c r="O90" s="1173"/>
      <c r="P90" s="1173"/>
      <c r="Q90" s="1173"/>
      <c r="R90" s="1173"/>
      <c r="S90" s="1173"/>
      <c r="T90" s="1173"/>
      <c r="U90" s="1173"/>
      <c r="V90" s="1183"/>
      <c r="W90" s="1183"/>
      <c r="Y90" s="518">
        <v>19</v>
      </c>
      <c r="Z90" s="1174"/>
      <c r="AA90" s="1175"/>
      <c r="AB90" s="1175"/>
      <c r="AC90" s="1175"/>
      <c r="AD90" s="1175"/>
      <c r="AE90" s="1176"/>
      <c r="AF90" s="1185"/>
      <c r="AG90" s="1185"/>
      <c r="AH90" s="1185"/>
      <c r="AI90" s="1185"/>
      <c r="AJ90" s="1185"/>
      <c r="AK90" s="1185"/>
      <c r="AL90" s="1185"/>
      <c r="AM90" s="1185"/>
      <c r="AN90" s="1185"/>
      <c r="AO90" s="1185"/>
      <c r="AP90" s="1185"/>
      <c r="AQ90" s="1185"/>
      <c r="AR90" s="1185"/>
      <c r="AS90" s="1178"/>
      <c r="AT90" s="1178"/>
      <c r="AW90" s="519">
        <v>80</v>
      </c>
      <c r="AX90" s="1179"/>
      <c r="AY90" s="1180"/>
      <c r="AZ90" s="1180"/>
      <c r="BA90" s="1180"/>
      <c r="BB90" s="1180"/>
      <c r="BC90" s="1181"/>
      <c r="BD90" s="1173"/>
      <c r="BE90" s="1173"/>
      <c r="BF90" s="1173"/>
      <c r="BG90" s="1173"/>
      <c r="BH90" s="1173"/>
      <c r="BI90" s="1173"/>
      <c r="BJ90" s="1173"/>
      <c r="BK90" s="1173"/>
      <c r="BL90" s="1173"/>
      <c r="BM90" s="1173"/>
      <c r="BN90" s="1173"/>
      <c r="BO90" s="1173"/>
      <c r="BP90" s="1173"/>
      <c r="BQ90" s="1183"/>
      <c r="BR90" s="1183"/>
      <c r="BT90" s="518">
        <v>19</v>
      </c>
      <c r="BU90" s="1174"/>
      <c r="BV90" s="1175"/>
      <c r="BW90" s="1175"/>
      <c r="BX90" s="1175"/>
      <c r="BY90" s="1175"/>
      <c r="BZ90" s="1176"/>
      <c r="CA90" s="1185"/>
      <c r="CB90" s="1185"/>
      <c r="CC90" s="1185"/>
      <c r="CD90" s="1185"/>
      <c r="CE90" s="1185"/>
      <c r="CF90" s="1185"/>
      <c r="CG90" s="1185"/>
      <c r="CH90" s="1185"/>
      <c r="CI90" s="1185"/>
      <c r="CJ90" s="1185"/>
      <c r="CK90" s="1185"/>
      <c r="CL90" s="1185"/>
      <c r="CM90" s="1185"/>
      <c r="CN90" s="1178"/>
      <c r="CO90" s="1178"/>
      <c r="CR90" s="519">
        <v>80</v>
      </c>
      <c r="CS90" s="1179"/>
      <c r="CT90" s="1180"/>
      <c r="CU90" s="1180"/>
      <c r="CV90" s="1180"/>
      <c r="CW90" s="1180"/>
      <c r="CX90" s="1181"/>
      <c r="CY90" s="1173"/>
      <c r="CZ90" s="1173"/>
      <c r="DA90" s="1173"/>
      <c r="DB90" s="1173"/>
      <c r="DC90" s="1173"/>
      <c r="DD90" s="1173"/>
      <c r="DE90" s="1173"/>
      <c r="DF90" s="1173"/>
      <c r="DG90" s="1173"/>
      <c r="DH90" s="1173"/>
      <c r="DI90" s="1173"/>
      <c r="DJ90" s="1173"/>
      <c r="DK90" s="1173"/>
      <c r="DL90" s="1183"/>
      <c r="DM90" s="1183"/>
      <c r="DO90" s="518">
        <v>19</v>
      </c>
      <c r="DP90" s="1174"/>
      <c r="DQ90" s="1175"/>
      <c r="DR90" s="1175"/>
      <c r="DS90" s="1175"/>
      <c r="DT90" s="1175"/>
      <c r="DU90" s="1176"/>
      <c r="DV90" s="1185"/>
      <c r="DW90" s="1185"/>
      <c r="DX90" s="1185"/>
      <c r="DY90" s="1185"/>
      <c r="DZ90" s="1185"/>
      <c r="EA90" s="1185"/>
      <c r="EB90" s="1185"/>
      <c r="EC90" s="1185"/>
      <c r="ED90" s="1185"/>
      <c r="EE90" s="1185"/>
      <c r="EF90" s="1185"/>
      <c r="EG90" s="1185"/>
      <c r="EH90" s="1185"/>
      <c r="EI90" s="1178"/>
      <c r="EJ90" s="1178"/>
      <c r="EM90" s="519">
        <v>80</v>
      </c>
      <c r="EN90" s="1179"/>
      <c r="EO90" s="1180"/>
      <c r="EP90" s="1180"/>
      <c r="EQ90" s="1180"/>
      <c r="ER90" s="1180"/>
      <c r="ES90" s="1181"/>
      <c r="ET90" s="1173"/>
      <c r="EU90" s="1173"/>
      <c r="EV90" s="1173"/>
      <c r="EW90" s="1173"/>
      <c r="EX90" s="1173"/>
      <c r="EY90" s="1173"/>
      <c r="EZ90" s="1173"/>
      <c r="FA90" s="1173"/>
      <c r="FB90" s="1173"/>
      <c r="FC90" s="1173"/>
      <c r="FD90" s="1173"/>
      <c r="FE90" s="1173"/>
      <c r="FF90" s="1173"/>
      <c r="FG90" s="1183"/>
      <c r="FH90" s="1183"/>
      <c r="FJ90" s="518">
        <v>19</v>
      </c>
      <c r="FK90" s="1174"/>
      <c r="FL90" s="1175"/>
      <c r="FM90" s="1175"/>
      <c r="FN90" s="1175"/>
      <c r="FO90" s="1175"/>
      <c r="FP90" s="1176"/>
      <c r="FQ90" s="1185"/>
      <c r="FR90" s="1185"/>
      <c r="FS90" s="1185"/>
      <c r="FT90" s="1185"/>
      <c r="FU90" s="1185"/>
      <c r="FV90" s="1185"/>
      <c r="FW90" s="1185"/>
      <c r="FX90" s="1185"/>
      <c r="FY90" s="1185"/>
      <c r="FZ90" s="1185"/>
      <c r="GA90" s="1185"/>
      <c r="GB90" s="1185"/>
      <c r="GC90" s="1185"/>
      <c r="GD90" s="1178"/>
      <c r="GE90" s="1178"/>
      <c r="GH90" s="519">
        <v>80</v>
      </c>
      <c r="GI90" s="1179"/>
      <c r="GJ90" s="1180"/>
      <c r="GK90" s="1180"/>
      <c r="GL90" s="1180"/>
      <c r="GM90" s="1180"/>
      <c r="GN90" s="1181"/>
      <c r="GO90" s="1173"/>
      <c r="GP90" s="1173"/>
      <c r="GQ90" s="1173"/>
      <c r="GR90" s="1173"/>
      <c r="GS90" s="1173"/>
      <c r="GT90" s="1173"/>
      <c r="GU90" s="1173"/>
      <c r="GV90" s="1173"/>
      <c r="GW90" s="1173"/>
      <c r="GX90" s="1173"/>
      <c r="GY90" s="1173"/>
      <c r="GZ90" s="1173"/>
      <c r="HA90" s="1173"/>
      <c r="HB90" s="1183"/>
      <c r="HC90" s="1183"/>
      <c r="HE90" s="518">
        <v>19</v>
      </c>
      <c r="HF90" s="1174"/>
      <c r="HG90" s="1175"/>
      <c r="HH90" s="1175"/>
      <c r="HI90" s="1175"/>
      <c r="HJ90" s="1175"/>
      <c r="HK90" s="1176"/>
      <c r="HL90" s="1185"/>
      <c r="HM90" s="1185"/>
      <c r="HN90" s="1185"/>
      <c r="HO90" s="1185"/>
      <c r="HP90" s="1185"/>
      <c r="HQ90" s="1185"/>
      <c r="HR90" s="1185"/>
      <c r="HS90" s="1185"/>
      <c r="HT90" s="1185"/>
      <c r="HU90" s="1185"/>
      <c r="HV90" s="1185"/>
      <c r="HW90" s="1185"/>
      <c r="HX90" s="1185"/>
      <c r="HY90" s="1178"/>
      <c r="HZ90" s="1178"/>
    </row>
    <row r="91" spans="2:234" ht="17.149999999999999" customHeight="1" x14ac:dyDescent="0.25">
      <c r="B91" s="518">
        <v>81</v>
      </c>
      <c r="C91" s="1174"/>
      <c r="D91" s="1175"/>
      <c r="E91" s="1175"/>
      <c r="F91" s="1175"/>
      <c r="G91" s="1175"/>
      <c r="H91" s="1176"/>
      <c r="I91" s="1185"/>
      <c r="J91" s="1185"/>
      <c r="K91" s="1185"/>
      <c r="L91" s="1185"/>
      <c r="M91" s="1185"/>
      <c r="N91" s="1185"/>
      <c r="O91" s="1185"/>
      <c r="P91" s="1185"/>
      <c r="Q91" s="1185"/>
      <c r="R91" s="1185"/>
      <c r="S91" s="1185"/>
      <c r="T91" s="1185"/>
      <c r="U91" s="1185"/>
      <c r="V91" s="1178"/>
      <c r="W91" s="1178"/>
      <c r="Y91" s="519">
        <v>20</v>
      </c>
      <c r="Z91" s="1179"/>
      <c r="AA91" s="1180"/>
      <c r="AB91" s="1180"/>
      <c r="AC91" s="1180"/>
      <c r="AD91" s="1180"/>
      <c r="AE91" s="1181"/>
      <c r="AF91" s="1173"/>
      <c r="AG91" s="1173"/>
      <c r="AH91" s="1173"/>
      <c r="AI91" s="1173"/>
      <c r="AJ91" s="1173"/>
      <c r="AK91" s="1173"/>
      <c r="AL91" s="1173"/>
      <c r="AM91" s="1173"/>
      <c r="AN91" s="1173"/>
      <c r="AO91" s="1173"/>
      <c r="AP91" s="1173"/>
      <c r="AQ91" s="1173"/>
      <c r="AR91" s="1173"/>
      <c r="AS91" s="1183"/>
      <c r="AT91" s="1183"/>
      <c r="AW91" s="518">
        <v>81</v>
      </c>
      <c r="AX91" s="1174"/>
      <c r="AY91" s="1175"/>
      <c r="AZ91" s="1175"/>
      <c r="BA91" s="1175"/>
      <c r="BB91" s="1175"/>
      <c r="BC91" s="1176"/>
      <c r="BD91" s="1185"/>
      <c r="BE91" s="1185"/>
      <c r="BF91" s="1185"/>
      <c r="BG91" s="1185"/>
      <c r="BH91" s="1185"/>
      <c r="BI91" s="1185"/>
      <c r="BJ91" s="1185"/>
      <c r="BK91" s="1185"/>
      <c r="BL91" s="1185"/>
      <c r="BM91" s="1185"/>
      <c r="BN91" s="1185"/>
      <c r="BO91" s="1185"/>
      <c r="BP91" s="1185"/>
      <c r="BQ91" s="1178"/>
      <c r="BR91" s="1178"/>
      <c r="BT91" s="519">
        <v>20</v>
      </c>
      <c r="BU91" s="1179"/>
      <c r="BV91" s="1180"/>
      <c r="BW91" s="1180"/>
      <c r="BX91" s="1180"/>
      <c r="BY91" s="1180"/>
      <c r="BZ91" s="1181"/>
      <c r="CA91" s="1173"/>
      <c r="CB91" s="1173"/>
      <c r="CC91" s="1173"/>
      <c r="CD91" s="1173"/>
      <c r="CE91" s="1173"/>
      <c r="CF91" s="1173"/>
      <c r="CG91" s="1173"/>
      <c r="CH91" s="1173"/>
      <c r="CI91" s="1173"/>
      <c r="CJ91" s="1173"/>
      <c r="CK91" s="1173"/>
      <c r="CL91" s="1173"/>
      <c r="CM91" s="1173"/>
      <c r="CN91" s="1183"/>
      <c r="CO91" s="1183"/>
      <c r="CR91" s="518">
        <v>81</v>
      </c>
      <c r="CS91" s="1174"/>
      <c r="CT91" s="1175"/>
      <c r="CU91" s="1175"/>
      <c r="CV91" s="1175"/>
      <c r="CW91" s="1175"/>
      <c r="CX91" s="1176"/>
      <c r="CY91" s="1185"/>
      <c r="CZ91" s="1185"/>
      <c r="DA91" s="1185"/>
      <c r="DB91" s="1185"/>
      <c r="DC91" s="1185"/>
      <c r="DD91" s="1185"/>
      <c r="DE91" s="1185"/>
      <c r="DF91" s="1185"/>
      <c r="DG91" s="1185"/>
      <c r="DH91" s="1185"/>
      <c r="DI91" s="1185"/>
      <c r="DJ91" s="1185"/>
      <c r="DK91" s="1185"/>
      <c r="DL91" s="1178"/>
      <c r="DM91" s="1178"/>
      <c r="DO91" s="519">
        <v>20</v>
      </c>
      <c r="DP91" s="1179"/>
      <c r="DQ91" s="1180"/>
      <c r="DR91" s="1180"/>
      <c r="DS91" s="1180"/>
      <c r="DT91" s="1180"/>
      <c r="DU91" s="1181"/>
      <c r="DV91" s="1173"/>
      <c r="DW91" s="1173"/>
      <c r="DX91" s="1173"/>
      <c r="DY91" s="1173"/>
      <c r="DZ91" s="1173"/>
      <c r="EA91" s="1173"/>
      <c r="EB91" s="1173"/>
      <c r="EC91" s="1173"/>
      <c r="ED91" s="1173"/>
      <c r="EE91" s="1173"/>
      <c r="EF91" s="1173"/>
      <c r="EG91" s="1173"/>
      <c r="EH91" s="1173"/>
      <c r="EI91" s="1183"/>
      <c r="EJ91" s="1183"/>
      <c r="EM91" s="518">
        <v>81</v>
      </c>
      <c r="EN91" s="1174"/>
      <c r="EO91" s="1175"/>
      <c r="EP91" s="1175"/>
      <c r="EQ91" s="1175"/>
      <c r="ER91" s="1175"/>
      <c r="ES91" s="1176"/>
      <c r="ET91" s="1185"/>
      <c r="EU91" s="1185"/>
      <c r="EV91" s="1185"/>
      <c r="EW91" s="1185"/>
      <c r="EX91" s="1185"/>
      <c r="EY91" s="1185"/>
      <c r="EZ91" s="1185"/>
      <c r="FA91" s="1185"/>
      <c r="FB91" s="1185"/>
      <c r="FC91" s="1185"/>
      <c r="FD91" s="1185"/>
      <c r="FE91" s="1185"/>
      <c r="FF91" s="1185"/>
      <c r="FG91" s="1178"/>
      <c r="FH91" s="1178"/>
      <c r="FJ91" s="519">
        <v>20</v>
      </c>
      <c r="FK91" s="1179"/>
      <c r="FL91" s="1180"/>
      <c r="FM91" s="1180"/>
      <c r="FN91" s="1180"/>
      <c r="FO91" s="1180"/>
      <c r="FP91" s="1181"/>
      <c r="FQ91" s="1173"/>
      <c r="FR91" s="1173"/>
      <c r="FS91" s="1173"/>
      <c r="FT91" s="1173"/>
      <c r="FU91" s="1173"/>
      <c r="FV91" s="1173"/>
      <c r="FW91" s="1173"/>
      <c r="FX91" s="1173"/>
      <c r="FY91" s="1173"/>
      <c r="FZ91" s="1173"/>
      <c r="GA91" s="1173"/>
      <c r="GB91" s="1173"/>
      <c r="GC91" s="1173"/>
      <c r="GD91" s="1183"/>
      <c r="GE91" s="1183"/>
      <c r="GH91" s="518">
        <v>81</v>
      </c>
      <c r="GI91" s="1174"/>
      <c r="GJ91" s="1175"/>
      <c r="GK91" s="1175"/>
      <c r="GL91" s="1175"/>
      <c r="GM91" s="1175"/>
      <c r="GN91" s="1176"/>
      <c r="GO91" s="1185"/>
      <c r="GP91" s="1185"/>
      <c r="GQ91" s="1185"/>
      <c r="GR91" s="1185"/>
      <c r="GS91" s="1185"/>
      <c r="GT91" s="1185"/>
      <c r="GU91" s="1185"/>
      <c r="GV91" s="1185"/>
      <c r="GW91" s="1185"/>
      <c r="GX91" s="1185"/>
      <c r="GY91" s="1185"/>
      <c r="GZ91" s="1185"/>
      <c r="HA91" s="1185"/>
      <c r="HB91" s="1178"/>
      <c r="HC91" s="1178"/>
      <c r="HE91" s="519">
        <v>20</v>
      </c>
      <c r="HF91" s="1179"/>
      <c r="HG91" s="1180"/>
      <c r="HH91" s="1180"/>
      <c r="HI91" s="1180"/>
      <c r="HJ91" s="1180"/>
      <c r="HK91" s="1181"/>
      <c r="HL91" s="1173"/>
      <c r="HM91" s="1173"/>
      <c r="HN91" s="1173"/>
      <c r="HO91" s="1173"/>
      <c r="HP91" s="1173"/>
      <c r="HQ91" s="1173"/>
      <c r="HR91" s="1173"/>
      <c r="HS91" s="1173"/>
      <c r="HT91" s="1173"/>
      <c r="HU91" s="1173"/>
      <c r="HV91" s="1173"/>
      <c r="HW91" s="1173"/>
      <c r="HX91" s="1173"/>
      <c r="HY91" s="1183"/>
      <c r="HZ91" s="1183"/>
    </row>
    <row r="92" spans="2:234" ht="17.149999999999999" customHeight="1" x14ac:dyDescent="0.25">
      <c r="B92" s="519">
        <v>82</v>
      </c>
      <c r="C92" s="1179"/>
      <c r="D92" s="1180"/>
      <c r="E92" s="1180"/>
      <c r="F92" s="1180"/>
      <c r="G92" s="1180"/>
      <c r="H92" s="1181"/>
      <c r="I92" s="1173"/>
      <c r="J92" s="1173"/>
      <c r="K92" s="1173"/>
      <c r="L92" s="1173"/>
      <c r="M92" s="1173"/>
      <c r="N92" s="1173"/>
      <c r="O92" s="1173"/>
      <c r="P92" s="1173"/>
      <c r="Q92" s="1173"/>
      <c r="R92" s="1173"/>
      <c r="S92" s="1173"/>
      <c r="T92" s="1173"/>
      <c r="U92" s="1173"/>
      <c r="V92" s="1183"/>
      <c r="W92" s="1183"/>
      <c r="Y92" s="518">
        <v>21</v>
      </c>
      <c r="Z92" s="1174"/>
      <c r="AA92" s="1175"/>
      <c r="AB92" s="1175"/>
      <c r="AC92" s="1175"/>
      <c r="AD92" s="1175"/>
      <c r="AE92" s="1176"/>
      <c r="AF92" s="1185"/>
      <c r="AG92" s="1185"/>
      <c r="AH92" s="1185"/>
      <c r="AI92" s="1185"/>
      <c r="AJ92" s="1185"/>
      <c r="AK92" s="1185"/>
      <c r="AL92" s="1185"/>
      <c r="AM92" s="1185"/>
      <c r="AN92" s="1185"/>
      <c r="AO92" s="1185"/>
      <c r="AP92" s="1185"/>
      <c r="AQ92" s="1185"/>
      <c r="AR92" s="1185"/>
      <c r="AS92" s="1178"/>
      <c r="AT92" s="1178"/>
      <c r="AW92" s="519">
        <v>82</v>
      </c>
      <c r="AX92" s="1179"/>
      <c r="AY92" s="1180"/>
      <c r="AZ92" s="1180"/>
      <c r="BA92" s="1180"/>
      <c r="BB92" s="1180"/>
      <c r="BC92" s="1181"/>
      <c r="BD92" s="1173"/>
      <c r="BE92" s="1173"/>
      <c r="BF92" s="1173"/>
      <c r="BG92" s="1173"/>
      <c r="BH92" s="1173"/>
      <c r="BI92" s="1173"/>
      <c r="BJ92" s="1173"/>
      <c r="BK92" s="1173"/>
      <c r="BL92" s="1173"/>
      <c r="BM92" s="1173"/>
      <c r="BN92" s="1173"/>
      <c r="BO92" s="1173"/>
      <c r="BP92" s="1173"/>
      <c r="BQ92" s="1183"/>
      <c r="BR92" s="1183"/>
      <c r="BT92" s="518">
        <v>21</v>
      </c>
      <c r="BU92" s="1174"/>
      <c r="BV92" s="1175"/>
      <c r="BW92" s="1175"/>
      <c r="BX92" s="1175"/>
      <c r="BY92" s="1175"/>
      <c r="BZ92" s="1176"/>
      <c r="CA92" s="1185"/>
      <c r="CB92" s="1185"/>
      <c r="CC92" s="1185"/>
      <c r="CD92" s="1185"/>
      <c r="CE92" s="1185"/>
      <c r="CF92" s="1185"/>
      <c r="CG92" s="1185"/>
      <c r="CH92" s="1185"/>
      <c r="CI92" s="1185"/>
      <c r="CJ92" s="1185"/>
      <c r="CK92" s="1185"/>
      <c r="CL92" s="1185"/>
      <c r="CM92" s="1185"/>
      <c r="CN92" s="1178"/>
      <c r="CO92" s="1178"/>
      <c r="CR92" s="519">
        <v>82</v>
      </c>
      <c r="CS92" s="1179"/>
      <c r="CT92" s="1180"/>
      <c r="CU92" s="1180"/>
      <c r="CV92" s="1180"/>
      <c r="CW92" s="1180"/>
      <c r="CX92" s="1181"/>
      <c r="CY92" s="1173"/>
      <c r="CZ92" s="1173"/>
      <c r="DA92" s="1173"/>
      <c r="DB92" s="1173"/>
      <c r="DC92" s="1173"/>
      <c r="DD92" s="1173"/>
      <c r="DE92" s="1173"/>
      <c r="DF92" s="1173"/>
      <c r="DG92" s="1173"/>
      <c r="DH92" s="1173"/>
      <c r="DI92" s="1173"/>
      <c r="DJ92" s="1173"/>
      <c r="DK92" s="1173"/>
      <c r="DL92" s="1183"/>
      <c r="DM92" s="1183"/>
      <c r="DO92" s="518">
        <v>21</v>
      </c>
      <c r="DP92" s="1174"/>
      <c r="DQ92" s="1175"/>
      <c r="DR92" s="1175"/>
      <c r="DS92" s="1175"/>
      <c r="DT92" s="1175"/>
      <c r="DU92" s="1176"/>
      <c r="DV92" s="1185"/>
      <c r="DW92" s="1185"/>
      <c r="DX92" s="1185"/>
      <c r="DY92" s="1185"/>
      <c r="DZ92" s="1185"/>
      <c r="EA92" s="1185"/>
      <c r="EB92" s="1185"/>
      <c r="EC92" s="1185"/>
      <c r="ED92" s="1185"/>
      <c r="EE92" s="1185"/>
      <c r="EF92" s="1185"/>
      <c r="EG92" s="1185"/>
      <c r="EH92" s="1185"/>
      <c r="EI92" s="1178"/>
      <c r="EJ92" s="1178"/>
      <c r="EM92" s="519">
        <v>82</v>
      </c>
      <c r="EN92" s="1179"/>
      <c r="EO92" s="1180"/>
      <c r="EP92" s="1180"/>
      <c r="EQ92" s="1180"/>
      <c r="ER92" s="1180"/>
      <c r="ES92" s="1181"/>
      <c r="ET92" s="1173"/>
      <c r="EU92" s="1173"/>
      <c r="EV92" s="1173"/>
      <c r="EW92" s="1173"/>
      <c r="EX92" s="1173"/>
      <c r="EY92" s="1173"/>
      <c r="EZ92" s="1173"/>
      <c r="FA92" s="1173"/>
      <c r="FB92" s="1173"/>
      <c r="FC92" s="1173"/>
      <c r="FD92" s="1173"/>
      <c r="FE92" s="1173"/>
      <c r="FF92" s="1173"/>
      <c r="FG92" s="1183"/>
      <c r="FH92" s="1183"/>
      <c r="FJ92" s="518">
        <v>21</v>
      </c>
      <c r="FK92" s="1174"/>
      <c r="FL92" s="1175"/>
      <c r="FM92" s="1175"/>
      <c r="FN92" s="1175"/>
      <c r="FO92" s="1175"/>
      <c r="FP92" s="1176"/>
      <c r="FQ92" s="1185"/>
      <c r="FR92" s="1185"/>
      <c r="FS92" s="1185"/>
      <c r="FT92" s="1185"/>
      <c r="FU92" s="1185"/>
      <c r="FV92" s="1185"/>
      <c r="FW92" s="1185"/>
      <c r="FX92" s="1185"/>
      <c r="FY92" s="1185"/>
      <c r="FZ92" s="1185"/>
      <c r="GA92" s="1185"/>
      <c r="GB92" s="1185"/>
      <c r="GC92" s="1185"/>
      <c r="GD92" s="1178"/>
      <c r="GE92" s="1178"/>
      <c r="GH92" s="519">
        <v>82</v>
      </c>
      <c r="GI92" s="1179"/>
      <c r="GJ92" s="1180"/>
      <c r="GK92" s="1180"/>
      <c r="GL92" s="1180"/>
      <c r="GM92" s="1180"/>
      <c r="GN92" s="1181"/>
      <c r="GO92" s="1173"/>
      <c r="GP92" s="1173"/>
      <c r="GQ92" s="1173"/>
      <c r="GR92" s="1173"/>
      <c r="GS92" s="1173"/>
      <c r="GT92" s="1173"/>
      <c r="GU92" s="1173"/>
      <c r="GV92" s="1173"/>
      <c r="GW92" s="1173"/>
      <c r="GX92" s="1173"/>
      <c r="GY92" s="1173"/>
      <c r="GZ92" s="1173"/>
      <c r="HA92" s="1173"/>
      <c r="HB92" s="1183"/>
      <c r="HC92" s="1183"/>
      <c r="HE92" s="518">
        <v>21</v>
      </c>
      <c r="HF92" s="1174"/>
      <c r="HG92" s="1175"/>
      <c r="HH92" s="1175"/>
      <c r="HI92" s="1175"/>
      <c r="HJ92" s="1175"/>
      <c r="HK92" s="1176"/>
      <c r="HL92" s="1185"/>
      <c r="HM92" s="1185"/>
      <c r="HN92" s="1185"/>
      <c r="HO92" s="1185"/>
      <c r="HP92" s="1185"/>
      <c r="HQ92" s="1185"/>
      <c r="HR92" s="1185"/>
      <c r="HS92" s="1185"/>
      <c r="HT92" s="1185"/>
      <c r="HU92" s="1185"/>
      <c r="HV92" s="1185"/>
      <c r="HW92" s="1185"/>
      <c r="HX92" s="1185"/>
      <c r="HY92" s="1178"/>
      <c r="HZ92" s="1178"/>
    </row>
    <row r="93" spans="2:234" ht="17.149999999999999" customHeight="1" x14ac:dyDescent="0.25">
      <c r="B93" s="518">
        <v>83</v>
      </c>
      <c r="C93" s="1174"/>
      <c r="D93" s="1175"/>
      <c r="E93" s="1175"/>
      <c r="F93" s="1175"/>
      <c r="G93" s="1175"/>
      <c r="H93" s="1176"/>
      <c r="I93" s="1185"/>
      <c r="J93" s="1185"/>
      <c r="K93" s="1185"/>
      <c r="L93" s="1185"/>
      <c r="M93" s="1185"/>
      <c r="N93" s="1185"/>
      <c r="O93" s="1185"/>
      <c r="P93" s="1185"/>
      <c r="Q93" s="1185"/>
      <c r="R93" s="1185"/>
      <c r="S93" s="1185"/>
      <c r="T93" s="1185"/>
      <c r="U93" s="1185"/>
      <c r="V93" s="1178"/>
      <c r="W93" s="1178"/>
      <c r="Y93" s="519">
        <v>22</v>
      </c>
      <c r="Z93" s="1179"/>
      <c r="AA93" s="1180"/>
      <c r="AB93" s="1180"/>
      <c r="AC93" s="1180"/>
      <c r="AD93" s="1180"/>
      <c r="AE93" s="1181"/>
      <c r="AF93" s="1173"/>
      <c r="AG93" s="1173"/>
      <c r="AH93" s="1173"/>
      <c r="AI93" s="1173"/>
      <c r="AJ93" s="1173"/>
      <c r="AK93" s="1173"/>
      <c r="AL93" s="1173"/>
      <c r="AM93" s="1173"/>
      <c r="AN93" s="1173"/>
      <c r="AO93" s="1173"/>
      <c r="AP93" s="1173"/>
      <c r="AQ93" s="1173"/>
      <c r="AR93" s="1173"/>
      <c r="AS93" s="1183"/>
      <c r="AT93" s="1183"/>
      <c r="AW93" s="518">
        <v>83</v>
      </c>
      <c r="AX93" s="1174"/>
      <c r="AY93" s="1175"/>
      <c r="AZ93" s="1175"/>
      <c r="BA93" s="1175"/>
      <c r="BB93" s="1175"/>
      <c r="BC93" s="1176"/>
      <c r="BD93" s="1185"/>
      <c r="BE93" s="1185"/>
      <c r="BF93" s="1185"/>
      <c r="BG93" s="1185"/>
      <c r="BH93" s="1185"/>
      <c r="BI93" s="1185"/>
      <c r="BJ93" s="1185"/>
      <c r="BK93" s="1185"/>
      <c r="BL93" s="1185"/>
      <c r="BM93" s="1185"/>
      <c r="BN93" s="1185"/>
      <c r="BO93" s="1185"/>
      <c r="BP93" s="1185"/>
      <c r="BQ93" s="1178"/>
      <c r="BR93" s="1178"/>
      <c r="BT93" s="519">
        <v>22</v>
      </c>
      <c r="BU93" s="1179"/>
      <c r="BV93" s="1180"/>
      <c r="BW93" s="1180"/>
      <c r="BX93" s="1180"/>
      <c r="BY93" s="1180"/>
      <c r="BZ93" s="1181"/>
      <c r="CA93" s="1173"/>
      <c r="CB93" s="1173"/>
      <c r="CC93" s="1173"/>
      <c r="CD93" s="1173"/>
      <c r="CE93" s="1173"/>
      <c r="CF93" s="1173"/>
      <c r="CG93" s="1173"/>
      <c r="CH93" s="1173"/>
      <c r="CI93" s="1173"/>
      <c r="CJ93" s="1173"/>
      <c r="CK93" s="1173"/>
      <c r="CL93" s="1173"/>
      <c r="CM93" s="1173"/>
      <c r="CN93" s="1183"/>
      <c r="CO93" s="1183"/>
      <c r="CR93" s="518">
        <v>83</v>
      </c>
      <c r="CS93" s="1174"/>
      <c r="CT93" s="1175"/>
      <c r="CU93" s="1175"/>
      <c r="CV93" s="1175"/>
      <c r="CW93" s="1175"/>
      <c r="CX93" s="1176"/>
      <c r="CY93" s="1185"/>
      <c r="CZ93" s="1185"/>
      <c r="DA93" s="1185"/>
      <c r="DB93" s="1185"/>
      <c r="DC93" s="1185"/>
      <c r="DD93" s="1185"/>
      <c r="DE93" s="1185"/>
      <c r="DF93" s="1185"/>
      <c r="DG93" s="1185"/>
      <c r="DH93" s="1185"/>
      <c r="DI93" s="1185"/>
      <c r="DJ93" s="1185"/>
      <c r="DK93" s="1185"/>
      <c r="DL93" s="1178"/>
      <c r="DM93" s="1178"/>
      <c r="DO93" s="519">
        <v>22</v>
      </c>
      <c r="DP93" s="1179"/>
      <c r="DQ93" s="1180"/>
      <c r="DR93" s="1180"/>
      <c r="DS93" s="1180"/>
      <c r="DT93" s="1180"/>
      <c r="DU93" s="1181"/>
      <c r="DV93" s="1173"/>
      <c r="DW93" s="1173"/>
      <c r="DX93" s="1173"/>
      <c r="DY93" s="1173"/>
      <c r="DZ93" s="1173"/>
      <c r="EA93" s="1173"/>
      <c r="EB93" s="1173"/>
      <c r="EC93" s="1173"/>
      <c r="ED93" s="1173"/>
      <c r="EE93" s="1173"/>
      <c r="EF93" s="1173"/>
      <c r="EG93" s="1173"/>
      <c r="EH93" s="1173"/>
      <c r="EI93" s="1183"/>
      <c r="EJ93" s="1183"/>
      <c r="EM93" s="518">
        <v>83</v>
      </c>
      <c r="EN93" s="1174"/>
      <c r="EO93" s="1175"/>
      <c r="EP93" s="1175"/>
      <c r="EQ93" s="1175"/>
      <c r="ER93" s="1175"/>
      <c r="ES93" s="1176"/>
      <c r="ET93" s="1185"/>
      <c r="EU93" s="1185"/>
      <c r="EV93" s="1185"/>
      <c r="EW93" s="1185"/>
      <c r="EX93" s="1185"/>
      <c r="EY93" s="1185"/>
      <c r="EZ93" s="1185"/>
      <c r="FA93" s="1185"/>
      <c r="FB93" s="1185"/>
      <c r="FC93" s="1185"/>
      <c r="FD93" s="1185"/>
      <c r="FE93" s="1185"/>
      <c r="FF93" s="1185"/>
      <c r="FG93" s="1178"/>
      <c r="FH93" s="1178"/>
      <c r="FJ93" s="519">
        <v>22</v>
      </c>
      <c r="FK93" s="1179"/>
      <c r="FL93" s="1180"/>
      <c r="FM93" s="1180"/>
      <c r="FN93" s="1180"/>
      <c r="FO93" s="1180"/>
      <c r="FP93" s="1181"/>
      <c r="FQ93" s="1173"/>
      <c r="FR93" s="1173"/>
      <c r="FS93" s="1173"/>
      <c r="FT93" s="1173"/>
      <c r="FU93" s="1173"/>
      <c r="FV93" s="1173"/>
      <c r="FW93" s="1173"/>
      <c r="FX93" s="1173"/>
      <c r="FY93" s="1173"/>
      <c r="FZ93" s="1173"/>
      <c r="GA93" s="1173"/>
      <c r="GB93" s="1173"/>
      <c r="GC93" s="1173"/>
      <c r="GD93" s="1183"/>
      <c r="GE93" s="1183"/>
      <c r="GH93" s="518">
        <v>83</v>
      </c>
      <c r="GI93" s="1174"/>
      <c r="GJ93" s="1175"/>
      <c r="GK93" s="1175"/>
      <c r="GL93" s="1175"/>
      <c r="GM93" s="1175"/>
      <c r="GN93" s="1176"/>
      <c r="GO93" s="1185"/>
      <c r="GP93" s="1185"/>
      <c r="GQ93" s="1185"/>
      <c r="GR93" s="1185"/>
      <c r="GS93" s="1185"/>
      <c r="GT93" s="1185"/>
      <c r="GU93" s="1185"/>
      <c r="GV93" s="1185"/>
      <c r="GW93" s="1185"/>
      <c r="GX93" s="1185"/>
      <c r="GY93" s="1185"/>
      <c r="GZ93" s="1185"/>
      <c r="HA93" s="1185"/>
      <c r="HB93" s="1178"/>
      <c r="HC93" s="1178"/>
      <c r="HE93" s="519">
        <v>22</v>
      </c>
      <c r="HF93" s="1179"/>
      <c r="HG93" s="1180"/>
      <c r="HH93" s="1180"/>
      <c r="HI93" s="1180"/>
      <c r="HJ93" s="1180"/>
      <c r="HK93" s="1181"/>
      <c r="HL93" s="1173"/>
      <c r="HM93" s="1173"/>
      <c r="HN93" s="1173"/>
      <c r="HO93" s="1173"/>
      <c r="HP93" s="1173"/>
      <c r="HQ93" s="1173"/>
      <c r="HR93" s="1173"/>
      <c r="HS93" s="1173"/>
      <c r="HT93" s="1173"/>
      <c r="HU93" s="1173"/>
      <c r="HV93" s="1173"/>
      <c r="HW93" s="1173"/>
      <c r="HX93" s="1173"/>
      <c r="HY93" s="1183"/>
      <c r="HZ93" s="1183"/>
    </row>
    <row r="94" spans="2:234" ht="17.149999999999999" customHeight="1" x14ac:dyDescent="0.25">
      <c r="B94" s="519">
        <v>84</v>
      </c>
      <c r="C94" s="1179"/>
      <c r="D94" s="1180"/>
      <c r="E94" s="1180"/>
      <c r="F94" s="1180"/>
      <c r="G94" s="1180"/>
      <c r="H94" s="1181"/>
      <c r="I94" s="1173"/>
      <c r="J94" s="1173"/>
      <c r="K94" s="1173"/>
      <c r="L94" s="1173"/>
      <c r="M94" s="1173"/>
      <c r="N94" s="1173"/>
      <c r="O94" s="1173"/>
      <c r="P94" s="1173"/>
      <c r="Q94" s="1173"/>
      <c r="R94" s="1173"/>
      <c r="S94" s="1173"/>
      <c r="T94" s="1173"/>
      <c r="U94" s="1173"/>
      <c r="V94" s="1183"/>
      <c r="W94" s="1183"/>
      <c r="Y94" s="518">
        <v>23</v>
      </c>
      <c r="Z94" s="1174"/>
      <c r="AA94" s="1175"/>
      <c r="AB94" s="1175"/>
      <c r="AC94" s="1175"/>
      <c r="AD94" s="1175"/>
      <c r="AE94" s="1176"/>
      <c r="AF94" s="1185"/>
      <c r="AG94" s="1185"/>
      <c r="AH94" s="1185"/>
      <c r="AI94" s="1185"/>
      <c r="AJ94" s="1185"/>
      <c r="AK94" s="1185"/>
      <c r="AL94" s="1185"/>
      <c r="AM94" s="1185"/>
      <c r="AN94" s="1185"/>
      <c r="AO94" s="1185"/>
      <c r="AP94" s="1185"/>
      <c r="AQ94" s="1185"/>
      <c r="AR94" s="1185"/>
      <c r="AS94" s="1178"/>
      <c r="AT94" s="1178"/>
      <c r="AW94" s="519">
        <v>84</v>
      </c>
      <c r="AX94" s="1179"/>
      <c r="AY94" s="1180"/>
      <c r="AZ94" s="1180"/>
      <c r="BA94" s="1180"/>
      <c r="BB94" s="1180"/>
      <c r="BC94" s="1181"/>
      <c r="BD94" s="1173"/>
      <c r="BE94" s="1173"/>
      <c r="BF94" s="1173"/>
      <c r="BG94" s="1173"/>
      <c r="BH94" s="1173"/>
      <c r="BI94" s="1173"/>
      <c r="BJ94" s="1173"/>
      <c r="BK94" s="1173"/>
      <c r="BL94" s="1173"/>
      <c r="BM94" s="1173"/>
      <c r="BN94" s="1173"/>
      <c r="BO94" s="1173"/>
      <c r="BP94" s="1173"/>
      <c r="BQ94" s="1183"/>
      <c r="BR94" s="1183"/>
      <c r="BT94" s="518">
        <v>23</v>
      </c>
      <c r="BU94" s="1174"/>
      <c r="BV94" s="1175"/>
      <c r="BW94" s="1175"/>
      <c r="BX94" s="1175"/>
      <c r="BY94" s="1175"/>
      <c r="BZ94" s="1176"/>
      <c r="CA94" s="1185"/>
      <c r="CB94" s="1185"/>
      <c r="CC94" s="1185"/>
      <c r="CD94" s="1185"/>
      <c r="CE94" s="1185"/>
      <c r="CF94" s="1185"/>
      <c r="CG94" s="1185"/>
      <c r="CH94" s="1185"/>
      <c r="CI94" s="1185"/>
      <c r="CJ94" s="1185"/>
      <c r="CK94" s="1185"/>
      <c r="CL94" s="1185"/>
      <c r="CM94" s="1185"/>
      <c r="CN94" s="1178"/>
      <c r="CO94" s="1178"/>
      <c r="CR94" s="519">
        <v>84</v>
      </c>
      <c r="CS94" s="1179"/>
      <c r="CT94" s="1180"/>
      <c r="CU94" s="1180"/>
      <c r="CV94" s="1180"/>
      <c r="CW94" s="1180"/>
      <c r="CX94" s="1181"/>
      <c r="CY94" s="1173"/>
      <c r="CZ94" s="1173"/>
      <c r="DA94" s="1173"/>
      <c r="DB94" s="1173"/>
      <c r="DC94" s="1173"/>
      <c r="DD94" s="1173"/>
      <c r="DE94" s="1173"/>
      <c r="DF94" s="1173"/>
      <c r="DG94" s="1173"/>
      <c r="DH94" s="1173"/>
      <c r="DI94" s="1173"/>
      <c r="DJ94" s="1173"/>
      <c r="DK94" s="1173"/>
      <c r="DL94" s="1183"/>
      <c r="DM94" s="1183"/>
      <c r="DO94" s="518">
        <v>23</v>
      </c>
      <c r="DP94" s="1174"/>
      <c r="DQ94" s="1175"/>
      <c r="DR94" s="1175"/>
      <c r="DS94" s="1175"/>
      <c r="DT94" s="1175"/>
      <c r="DU94" s="1176"/>
      <c r="DV94" s="1185"/>
      <c r="DW94" s="1185"/>
      <c r="DX94" s="1185"/>
      <c r="DY94" s="1185"/>
      <c r="DZ94" s="1185"/>
      <c r="EA94" s="1185"/>
      <c r="EB94" s="1185"/>
      <c r="EC94" s="1185"/>
      <c r="ED94" s="1185"/>
      <c r="EE94" s="1185"/>
      <c r="EF94" s="1185"/>
      <c r="EG94" s="1185"/>
      <c r="EH94" s="1185"/>
      <c r="EI94" s="1178"/>
      <c r="EJ94" s="1178"/>
      <c r="EM94" s="519">
        <v>84</v>
      </c>
      <c r="EN94" s="1179"/>
      <c r="EO94" s="1180"/>
      <c r="EP94" s="1180"/>
      <c r="EQ94" s="1180"/>
      <c r="ER94" s="1180"/>
      <c r="ES94" s="1181"/>
      <c r="ET94" s="1173"/>
      <c r="EU94" s="1173"/>
      <c r="EV94" s="1173"/>
      <c r="EW94" s="1173"/>
      <c r="EX94" s="1173"/>
      <c r="EY94" s="1173"/>
      <c r="EZ94" s="1173"/>
      <c r="FA94" s="1173"/>
      <c r="FB94" s="1173"/>
      <c r="FC94" s="1173"/>
      <c r="FD94" s="1173"/>
      <c r="FE94" s="1173"/>
      <c r="FF94" s="1173"/>
      <c r="FG94" s="1183"/>
      <c r="FH94" s="1183"/>
      <c r="FJ94" s="518">
        <v>23</v>
      </c>
      <c r="FK94" s="1174"/>
      <c r="FL94" s="1175"/>
      <c r="FM94" s="1175"/>
      <c r="FN94" s="1175"/>
      <c r="FO94" s="1175"/>
      <c r="FP94" s="1176"/>
      <c r="FQ94" s="1185"/>
      <c r="FR94" s="1185"/>
      <c r="FS94" s="1185"/>
      <c r="FT94" s="1185"/>
      <c r="FU94" s="1185"/>
      <c r="FV94" s="1185"/>
      <c r="FW94" s="1185"/>
      <c r="FX94" s="1185"/>
      <c r="FY94" s="1185"/>
      <c r="FZ94" s="1185"/>
      <c r="GA94" s="1185"/>
      <c r="GB94" s="1185"/>
      <c r="GC94" s="1185"/>
      <c r="GD94" s="1178"/>
      <c r="GE94" s="1178"/>
      <c r="GH94" s="519">
        <v>84</v>
      </c>
      <c r="GI94" s="1179"/>
      <c r="GJ94" s="1180"/>
      <c r="GK94" s="1180"/>
      <c r="GL94" s="1180"/>
      <c r="GM94" s="1180"/>
      <c r="GN94" s="1181"/>
      <c r="GO94" s="1173"/>
      <c r="GP94" s="1173"/>
      <c r="GQ94" s="1173"/>
      <c r="GR94" s="1173"/>
      <c r="GS94" s="1173"/>
      <c r="GT94" s="1173"/>
      <c r="GU94" s="1173"/>
      <c r="GV94" s="1173"/>
      <c r="GW94" s="1173"/>
      <c r="GX94" s="1173"/>
      <c r="GY94" s="1173"/>
      <c r="GZ94" s="1173"/>
      <c r="HA94" s="1173"/>
      <c r="HB94" s="1183"/>
      <c r="HC94" s="1183"/>
      <c r="HE94" s="518">
        <v>23</v>
      </c>
      <c r="HF94" s="1174"/>
      <c r="HG94" s="1175"/>
      <c r="HH94" s="1175"/>
      <c r="HI94" s="1175"/>
      <c r="HJ94" s="1175"/>
      <c r="HK94" s="1176"/>
      <c r="HL94" s="1185"/>
      <c r="HM94" s="1185"/>
      <c r="HN94" s="1185"/>
      <c r="HO94" s="1185"/>
      <c r="HP94" s="1185"/>
      <c r="HQ94" s="1185"/>
      <c r="HR94" s="1185"/>
      <c r="HS94" s="1185"/>
      <c r="HT94" s="1185"/>
      <c r="HU94" s="1185"/>
      <c r="HV94" s="1185"/>
      <c r="HW94" s="1185"/>
      <c r="HX94" s="1185"/>
      <c r="HY94" s="1178"/>
      <c r="HZ94" s="1178"/>
    </row>
    <row r="95" spans="2:234" ht="17.149999999999999" customHeight="1" x14ac:dyDescent="0.25">
      <c r="B95" s="518">
        <v>85</v>
      </c>
      <c r="C95" s="1174"/>
      <c r="D95" s="1175"/>
      <c r="E95" s="1175"/>
      <c r="F95" s="1175"/>
      <c r="G95" s="1175"/>
      <c r="H95" s="1176"/>
      <c r="I95" s="1185"/>
      <c r="J95" s="1185"/>
      <c r="K95" s="1185"/>
      <c r="L95" s="1185"/>
      <c r="M95" s="1185"/>
      <c r="N95" s="1185"/>
      <c r="O95" s="1185"/>
      <c r="P95" s="1185"/>
      <c r="Q95" s="1185"/>
      <c r="R95" s="1185"/>
      <c r="S95" s="1185"/>
      <c r="T95" s="1185"/>
      <c r="U95" s="1185"/>
      <c r="V95" s="1178"/>
      <c r="W95" s="1178"/>
      <c r="Y95" s="519">
        <v>24</v>
      </c>
      <c r="Z95" s="1179"/>
      <c r="AA95" s="1180"/>
      <c r="AB95" s="1180"/>
      <c r="AC95" s="1180"/>
      <c r="AD95" s="1180"/>
      <c r="AE95" s="1181"/>
      <c r="AF95" s="1173"/>
      <c r="AG95" s="1173"/>
      <c r="AH95" s="1173"/>
      <c r="AI95" s="1173"/>
      <c r="AJ95" s="1173"/>
      <c r="AK95" s="1173"/>
      <c r="AL95" s="1173"/>
      <c r="AM95" s="1173"/>
      <c r="AN95" s="1173"/>
      <c r="AO95" s="1173"/>
      <c r="AP95" s="1173"/>
      <c r="AQ95" s="1173"/>
      <c r="AR95" s="1173"/>
      <c r="AS95" s="1183"/>
      <c r="AT95" s="1183"/>
      <c r="AW95" s="518">
        <v>85</v>
      </c>
      <c r="AX95" s="1174"/>
      <c r="AY95" s="1175"/>
      <c r="AZ95" s="1175"/>
      <c r="BA95" s="1175"/>
      <c r="BB95" s="1175"/>
      <c r="BC95" s="1176"/>
      <c r="BD95" s="1185"/>
      <c r="BE95" s="1185"/>
      <c r="BF95" s="1185"/>
      <c r="BG95" s="1185"/>
      <c r="BH95" s="1185"/>
      <c r="BI95" s="1185"/>
      <c r="BJ95" s="1185"/>
      <c r="BK95" s="1185"/>
      <c r="BL95" s="1185"/>
      <c r="BM95" s="1185"/>
      <c r="BN95" s="1185"/>
      <c r="BO95" s="1185"/>
      <c r="BP95" s="1185"/>
      <c r="BQ95" s="1178"/>
      <c r="BR95" s="1178"/>
      <c r="BT95" s="519">
        <v>24</v>
      </c>
      <c r="BU95" s="1179"/>
      <c r="BV95" s="1180"/>
      <c r="BW95" s="1180"/>
      <c r="BX95" s="1180"/>
      <c r="BY95" s="1180"/>
      <c r="BZ95" s="1181"/>
      <c r="CA95" s="1173"/>
      <c r="CB95" s="1173"/>
      <c r="CC95" s="1173"/>
      <c r="CD95" s="1173"/>
      <c r="CE95" s="1173"/>
      <c r="CF95" s="1173"/>
      <c r="CG95" s="1173"/>
      <c r="CH95" s="1173"/>
      <c r="CI95" s="1173"/>
      <c r="CJ95" s="1173"/>
      <c r="CK95" s="1173"/>
      <c r="CL95" s="1173"/>
      <c r="CM95" s="1173"/>
      <c r="CN95" s="1183"/>
      <c r="CO95" s="1183"/>
      <c r="CR95" s="518">
        <v>85</v>
      </c>
      <c r="CS95" s="1174"/>
      <c r="CT95" s="1175"/>
      <c r="CU95" s="1175"/>
      <c r="CV95" s="1175"/>
      <c r="CW95" s="1175"/>
      <c r="CX95" s="1176"/>
      <c r="CY95" s="1185"/>
      <c r="CZ95" s="1185"/>
      <c r="DA95" s="1185"/>
      <c r="DB95" s="1185"/>
      <c r="DC95" s="1185"/>
      <c r="DD95" s="1185"/>
      <c r="DE95" s="1185"/>
      <c r="DF95" s="1185"/>
      <c r="DG95" s="1185"/>
      <c r="DH95" s="1185"/>
      <c r="DI95" s="1185"/>
      <c r="DJ95" s="1185"/>
      <c r="DK95" s="1185"/>
      <c r="DL95" s="1178"/>
      <c r="DM95" s="1178"/>
      <c r="DO95" s="519">
        <v>24</v>
      </c>
      <c r="DP95" s="1179"/>
      <c r="DQ95" s="1180"/>
      <c r="DR95" s="1180"/>
      <c r="DS95" s="1180"/>
      <c r="DT95" s="1180"/>
      <c r="DU95" s="1181"/>
      <c r="DV95" s="1173"/>
      <c r="DW95" s="1173"/>
      <c r="DX95" s="1173"/>
      <c r="DY95" s="1173"/>
      <c r="DZ95" s="1173"/>
      <c r="EA95" s="1173"/>
      <c r="EB95" s="1173"/>
      <c r="EC95" s="1173"/>
      <c r="ED95" s="1173"/>
      <c r="EE95" s="1173"/>
      <c r="EF95" s="1173"/>
      <c r="EG95" s="1173"/>
      <c r="EH95" s="1173"/>
      <c r="EI95" s="1183"/>
      <c r="EJ95" s="1183"/>
      <c r="EM95" s="518">
        <v>85</v>
      </c>
      <c r="EN95" s="1174"/>
      <c r="EO95" s="1175"/>
      <c r="EP95" s="1175"/>
      <c r="EQ95" s="1175"/>
      <c r="ER95" s="1175"/>
      <c r="ES95" s="1176"/>
      <c r="ET95" s="1185"/>
      <c r="EU95" s="1185"/>
      <c r="EV95" s="1185"/>
      <c r="EW95" s="1185"/>
      <c r="EX95" s="1185"/>
      <c r="EY95" s="1185"/>
      <c r="EZ95" s="1185"/>
      <c r="FA95" s="1185"/>
      <c r="FB95" s="1185"/>
      <c r="FC95" s="1185"/>
      <c r="FD95" s="1185"/>
      <c r="FE95" s="1185"/>
      <c r="FF95" s="1185"/>
      <c r="FG95" s="1178"/>
      <c r="FH95" s="1178"/>
      <c r="FJ95" s="519">
        <v>24</v>
      </c>
      <c r="FK95" s="1179"/>
      <c r="FL95" s="1180"/>
      <c r="FM95" s="1180"/>
      <c r="FN95" s="1180"/>
      <c r="FO95" s="1180"/>
      <c r="FP95" s="1181"/>
      <c r="FQ95" s="1173"/>
      <c r="FR95" s="1173"/>
      <c r="FS95" s="1173"/>
      <c r="FT95" s="1173"/>
      <c r="FU95" s="1173"/>
      <c r="FV95" s="1173"/>
      <c r="FW95" s="1173"/>
      <c r="FX95" s="1173"/>
      <c r="FY95" s="1173"/>
      <c r="FZ95" s="1173"/>
      <c r="GA95" s="1173"/>
      <c r="GB95" s="1173"/>
      <c r="GC95" s="1173"/>
      <c r="GD95" s="1183"/>
      <c r="GE95" s="1183"/>
      <c r="GH95" s="518">
        <v>85</v>
      </c>
      <c r="GI95" s="1174"/>
      <c r="GJ95" s="1175"/>
      <c r="GK95" s="1175"/>
      <c r="GL95" s="1175"/>
      <c r="GM95" s="1175"/>
      <c r="GN95" s="1176"/>
      <c r="GO95" s="1185"/>
      <c r="GP95" s="1185"/>
      <c r="GQ95" s="1185"/>
      <c r="GR95" s="1185"/>
      <c r="GS95" s="1185"/>
      <c r="GT95" s="1185"/>
      <c r="GU95" s="1185"/>
      <c r="GV95" s="1185"/>
      <c r="GW95" s="1185"/>
      <c r="GX95" s="1185"/>
      <c r="GY95" s="1185"/>
      <c r="GZ95" s="1185"/>
      <c r="HA95" s="1185"/>
      <c r="HB95" s="1178"/>
      <c r="HC95" s="1178"/>
      <c r="HE95" s="519">
        <v>24</v>
      </c>
      <c r="HF95" s="1179"/>
      <c r="HG95" s="1180"/>
      <c r="HH95" s="1180"/>
      <c r="HI95" s="1180"/>
      <c r="HJ95" s="1180"/>
      <c r="HK95" s="1181"/>
      <c r="HL95" s="1173"/>
      <c r="HM95" s="1173"/>
      <c r="HN95" s="1173"/>
      <c r="HO95" s="1173"/>
      <c r="HP95" s="1173"/>
      <c r="HQ95" s="1173"/>
      <c r="HR95" s="1173"/>
      <c r="HS95" s="1173"/>
      <c r="HT95" s="1173"/>
      <c r="HU95" s="1173"/>
      <c r="HV95" s="1173"/>
      <c r="HW95" s="1173"/>
      <c r="HX95" s="1173"/>
      <c r="HY95" s="1183"/>
      <c r="HZ95" s="1183"/>
    </row>
    <row r="96" spans="2:234" ht="17.149999999999999" customHeight="1" x14ac:dyDescent="0.25">
      <c r="B96" s="519">
        <v>86</v>
      </c>
      <c r="C96" s="1179"/>
      <c r="D96" s="1180"/>
      <c r="E96" s="1180"/>
      <c r="F96" s="1180"/>
      <c r="G96" s="1180"/>
      <c r="H96" s="1181"/>
      <c r="I96" s="1173"/>
      <c r="J96" s="1173"/>
      <c r="K96" s="1173"/>
      <c r="L96" s="1173"/>
      <c r="M96" s="1173"/>
      <c r="N96" s="1173"/>
      <c r="O96" s="1173"/>
      <c r="P96" s="1173"/>
      <c r="Q96" s="1173"/>
      <c r="R96" s="1173"/>
      <c r="S96" s="1173"/>
      <c r="T96" s="1173"/>
      <c r="U96" s="1173"/>
      <c r="V96" s="1183"/>
      <c r="W96" s="1183"/>
      <c r="Y96" s="518">
        <v>25</v>
      </c>
      <c r="Z96" s="1174"/>
      <c r="AA96" s="1175"/>
      <c r="AB96" s="1175"/>
      <c r="AC96" s="1175"/>
      <c r="AD96" s="1175"/>
      <c r="AE96" s="1176"/>
      <c r="AF96" s="1185"/>
      <c r="AG96" s="1185"/>
      <c r="AH96" s="1185"/>
      <c r="AI96" s="1185"/>
      <c r="AJ96" s="1185"/>
      <c r="AK96" s="1185"/>
      <c r="AL96" s="1185"/>
      <c r="AM96" s="1185"/>
      <c r="AN96" s="1185"/>
      <c r="AO96" s="1185"/>
      <c r="AP96" s="1185"/>
      <c r="AQ96" s="1185"/>
      <c r="AR96" s="1185"/>
      <c r="AS96" s="1178"/>
      <c r="AT96" s="1178"/>
      <c r="AW96" s="519">
        <v>86</v>
      </c>
      <c r="AX96" s="1179"/>
      <c r="AY96" s="1180"/>
      <c r="AZ96" s="1180"/>
      <c r="BA96" s="1180"/>
      <c r="BB96" s="1180"/>
      <c r="BC96" s="1181"/>
      <c r="BD96" s="1173"/>
      <c r="BE96" s="1173"/>
      <c r="BF96" s="1173"/>
      <c r="BG96" s="1173"/>
      <c r="BH96" s="1173"/>
      <c r="BI96" s="1173"/>
      <c r="BJ96" s="1173"/>
      <c r="BK96" s="1173"/>
      <c r="BL96" s="1173"/>
      <c r="BM96" s="1173"/>
      <c r="BN96" s="1173"/>
      <c r="BO96" s="1173"/>
      <c r="BP96" s="1173"/>
      <c r="BQ96" s="1183"/>
      <c r="BR96" s="1183"/>
      <c r="BT96" s="518">
        <v>25</v>
      </c>
      <c r="BU96" s="1174"/>
      <c r="BV96" s="1175"/>
      <c r="BW96" s="1175"/>
      <c r="BX96" s="1175"/>
      <c r="BY96" s="1175"/>
      <c r="BZ96" s="1176"/>
      <c r="CA96" s="1185"/>
      <c r="CB96" s="1185"/>
      <c r="CC96" s="1185"/>
      <c r="CD96" s="1185"/>
      <c r="CE96" s="1185"/>
      <c r="CF96" s="1185"/>
      <c r="CG96" s="1185"/>
      <c r="CH96" s="1185"/>
      <c r="CI96" s="1185"/>
      <c r="CJ96" s="1185"/>
      <c r="CK96" s="1185"/>
      <c r="CL96" s="1185"/>
      <c r="CM96" s="1185"/>
      <c r="CN96" s="1178"/>
      <c r="CO96" s="1178"/>
      <c r="CR96" s="519">
        <v>86</v>
      </c>
      <c r="CS96" s="1179"/>
      <c r="CT96" s="1180"/>
      <c r="CU96" s="1180"/>
      <c r="CV96" s="1180"/>
      <c r="CW96" s="1180"/>
      <c r="CX96" s="1181"/>
      <c r="CY96" s="1173"/>
      <c r="CZ96" s="1173"/>
      <c r="DA96" s="1173"/>
      <c r="DB96" s="1173"/>
      <c r="DC96" s="1173"/>
      <c r="DD96" s="1173"/>
      <c r="DE96" s="1173"/>
      <c r="DF96" s="1173"/>
      <c r="DG96" s="1173"/>
      <c r="DH96" s="1173"/>
      <c r="DI96" s="1173"/>
      <c r="DJ96" s="1173"/>
      <c r="DK96" s="1173"/>
      <c r="DL96" s="1183"/>
      <c r="DM96" s="1183"/>
      <c r="DO96" s="518">
        <v>25</v>
      </c>
      <c r="DP96" s="1174"/>
      <c r="DQ96" s="1175"/>
      <c r="DR96" s="1175"/>
      <c r="DS96" s="1175"/>
      <c r="DT96" s="1175"/>
      <c r="DU96" s="1176"/>
      <c r="DV96" s="1185"/>
      <c r="DW96" s="1185"/>
      <c r="DX96" s="1185"/>
      <c r="DY96" s="1185"/>
      <c r="DZ96" s="1185"/>
      <c r="EA96" s="1185"/>
      <c r="EB96" s="1185"/>
      <c r="EC96" s="1185"/>
      <c r="ED96" s="1185"/>
      <c r="EE96" s="1185"/>
      <c r="EF96" s="1185"/>
      <c r="EG96" s="1185"/>
      <c r="EH96" s="1185"/>
      <c r="EI96" s="1178"/>
      <c r="EJ96" s="1178"/>
      <c r="EM96" s="519">
        <v>86</v>
      </c>
      <c r="EN96" s="1179"/>
      <c r="EO96" s="1180"/>
      <c r="EP96" s="1180"/>
      <c r="EQ96" s="1180"/>
      <c r="ER96" s="1180"/>
      <c r="ES96" s="1181"/>
      <c r="ET96" s="1173"/>
      <c r="EU96" s="1173"/>
      <c r="EV96" s="1173"/>
      <c r="EW96" s="1173"/>
      <c r="EX96" s="1173"/>
      <c r="EY96" s="1173"/>
      <c r="EZ96" s="1173"/>
      <c r="FA96" s="1173"/>
      <c r="FB96" s="1173"/>
      <c r="FC96" s="1173"/>
      <c r="FD96" s="1173"/>
      <c r="FE96" s="1173"/>
      <c r="FF96" s="1173"/>
      <c r="FG96" s="1183"/>
      <c r="FH96" s="1183"/>
      <c r="FJ96" s="518">
        <v>25</v>
      </c>
      <c r="FK96" s="1174"/>
      <c r="FL96" s="1175"/>
      <c r="FM96" s="1175"/>
      <c r="FN96" s="1175"/>
      <c r="FO96" s="1175"/>
      <c r="FP96" s="1176"/>
      <c r="FQ96" s="1185"/>
      <c r="FR96" s="1185"/>
      <c r="FS96" s="1185"/>
      <c r="FT96" s="1185"/>
      <c r="FU96" s="1185"/>
      <c r="FV96" s="1185"/>
      <c r="FW96" s="1185"/>
      <c r="FX96" s="1185"/>
      <c r="FY96" s="1185"/>
      <c r="FZ96" s="1185"/>
      <c r="GA96" s="1185"/>
      <c r="GB96" s="1185"/>
      <c r="GC96" s="1185"/>
      <c r="GD96" s="1178"/>
      <c r="GE96" s="1178"/>
      <c r="GH96" s="519">
        <v>86</v>
      </c>
      <c r="GI96" s="1179"/>
      <c r="GJ96" s="1180"/>
      <c r="GK96" s="1180"/>
      <c r="GL96" s="1180"/>
      <c r="GM96" s="1180"/>
      <c r="GN96" s="1181"/>
      <c r="GO96" s="1173"/>
      <c r="GP96" s="1173"/>
      <c r="GQ96" s="1173"/>
      <c r="GR96" s="1173"/>
      <c r="GS96" s="1173"/>
      <c r="GT96" s="1173"/>
      <c r="GU96" s="1173"/>
      <c r="GV96" s="1173"/>
      <c r="GW96" s="1173"/>
      <c r="GX96" s="1173"/>
      <c r="GY96" s="1173"/>
      <c r="GZ96" s="1173"/>
      <c r="HA96" s="1173"/>
      <c r="HB96" s="1183"/>
      <c r="HC96" s="1183"/>
      <c r="HE96" s="518">
        <v>25</v>
      </c>
      <c r="HF96" s="1174"/>
      <c r="HG96" s="1175"/>
      <c r="HH96" s="1175"/>
      <c r="HI96" s="1175"/>
      <c r="HJ96" s="1175"/>
      <c r="HK96" s="1176"/>
      <c r="HL96" s="1185"/>
      <c r="HM96" s="1185"/>
      <c r="HN96" s="1185"/>
      <c r="HO96" s="1185"/>
      <c r="HP96" s="1185"/>
      <c r="HQ96" s="1185"/>
      <c r="HR96" s="1185"/>
      <c r="HS96" s="1185"/>
      <c r="HT96" s="1185"/>
      <c r="HU96" s="1185"/>
      <c r="HV96" s="1185"/>
      <c r="HW96" s="1185"/>
      <c r="HX96" s="1185"/>
      <c r="HY96" s="1178"/>
      <c r="HZ96" s="1178"/>
    </row>
    <row r="97" spans="2:234" ht="17.149999999999999" customHeight="1" x14ac:dyDescent="0.25">
      <c r="B97" s="518">
        <v>87</v>
      </c>
      <c r="C97" s="1174"/>
      <c r="D97" s="1175"/>
      <c r="E97" s="1175"/>
      <c r="F97" s="1175"/>
      <c r="G97" s="1175"/>
      <c r="H97" s="1176"/>
      <c r="I97" s="1185"/>
      <c r="J97" s="1185"/>
      <c r="K97" s="1185"/>
      <c r="L97" s="1185"/>
      <c r="M97" s="1185"/>
      <c r="N97" s="1185"/>
      <c r="O97" s="1185"/>
      <c r="P97" s="1185"/>
      <c r="Q97" s="1185"/>
      <c r="R97" s="1185"/>
      <c r="S97" s="1185"/>
      <c r="T97" s="1185"/>
      <c r="U97" s="1185"/>
      <c r="V97" s="1178"/>
      <c r="W97" s="1178"/>
      <c r="Y97" s="519">
        <v>26</v>
      </c>
      <c r="Z97" s="1179"/>
      <c r="AA97" s="1180"/>
      <c r="AB97" s="1180"/>
      <c r="AC97" s="1180"/>
      <c r="AD97" s="1180"/>
      <c r="AE97" s="1181"/>
      <c r="AF97" s="1173"/>
      <c r="AG97" s="1173"/>
      <c r="AH97" s="1173"/>
      <c r="AI97" s="1173"/>
      <c r="AJ97" s="1173"/>
      <c r="AK97" s="1173"/>
      <c r="AL97" s="1173"/>
      <c r="AM97" s="1173"/>
      <c r="AN97" s="1173"/>
      <c r="AO97" s="1173"/>
      <c r="AP97" s="1173"/>
      <c r="AQ97" s="1173"/>
      <c r="AR97" s="1173"/>
      <c r="AS97" s="1183"/>
      <c r="AT97" s="1183"/>
      <c r="AW97" s="518">
        <v>87</v>
      </c>
      <c r="AX97" s="1174"/>
      <c r="AY97" s="1175"/>
      <c r="AZ97" s="1175"/>
      <c r="BA97" s="1175"/>
      <c r="BB97" s="1175"/>
      <c r="BC97" s="1176"/>
      <c r="BD97" s="1185"/>
      <c r="BE97" s="1185"/>
      <c r="BF97" s="1185"/>
      <c r="BG97" s="1185"/>
      <c r="BH97" s="1185"/>
      <c r="BI97" s="1185"/>
      <c r="BJ97" s="1185"/>
      <c r="BK97" s="1185"/>
      <c r="BL97" s="1185"/>
      <c r="BM97" s="1185"/>
      <c r="BN97" s="1185"/>
      <c r="BO97" s="1185"/>
      <c r="BP97" s="1185"/>
      <c r="BQ97" s="1178"/>
      <c r="BR97" s="1178"/>
      <c r="BT97" s="519">
        <v>26</v>
      </c>
      <c r="BU97" s="1179"/>
      <c r="BV97" s="1180"/>
      <c r="BW97" s="1180"/>
      <c r="BX97" s="1180"/>
      <c r="BY97" s="1180"/>
      <c r="BZ97" s="1181"/>
      <c r="CA97" s="1173"/>
      <c r="CB97" s="1173"/>
      <c r="CC97" s="1173"/>
      <c r="CD97" s="1173"/>
      <c r="CE97" s="1173"/>
      <c r="CF97" s="1173"/>
      <c r="CG97" s="1173"/>
      <c r="CH97" s="1173"/>
      <c r="CI97" s="1173"/>
      <c r="CJ97" s="1173"/>
      <c r="CK97" s="1173"/>
      <c r="CL97" s="1173"/>
      <c r="CM97" s="1173"/>
      <c r="CN97" s="1183"/>
      <c r="CO97" s="1183"/>
      <c r="CR97" s="518">
        <v>87</v>
      </c>
      <c r="CS97" s="1174"/>
      <c r="CT97" s="1175"/>
      <c r="CU97" s="1175"/>
      <c r="CV97" s="1175"/>
      <c r="CW97" s="1175"/>
      <c r="CX97" s="1176"/>
      <c r="CY97" s="1185"/>
      <c r="CZ97" s="1185"/>
      <c r="DA97" s="1185"/>
      <c r="DB97" s="1185"/>
      <c r="DC97" s="1185"/>
      <c r="DD97" s="1185"/>
      <c r="DE97" s="1185"/>
      <c r="DF97" s="1185"/>
      <c r="DG97" s="1185"/>
      <c r="DH97" s="1185"/>
      <c r="DI97" s="1185"/>
      <c r="DJ97" s="1185"/>
      <c r="DK97" s="1185"/>
      <c r="DL97" s="1178"/>
      <c r="DM97" s="1178"/>
      <c r="DO97" s="519">
        <v>26</v>
      </c>
      <c r="DP97" s="1179"/>
      <c r="DQ97" s="1180"/>
      <c r="DR97" s="1180"/>
      <c r="DS97" s="1180"/>
      <c r="DT97" s="1180"/>
      <c r="DU97" s="1181"/>
      <c r="DV97" s="1173"/>
      <c r="DW97" s="1173"/>
      <c r="DX97" s="1173"/>
      <c r="DY97" s="1173"/>
      <c r="DZ97" s="1173"/>
      <c r="EA97" s="1173"/>
      <c r="EB97" s="1173"/>
      <c r="EC97" s="1173"/>
      <c r="ED97" s="1173"/>
      <c r="EE97" s="1173"/>
      <c r="EF97" s="1173"/>
      <c r="EG97" s="1173"/>
      <c r="EH97" s="1173"/>
      <c r="EI97" s="1183"/>
      <c r="EJ97" s="1183"/>
      <c r="EM97" s="518">
        <v>87</v>
      </c>
      <c r="EN97" s="1174"/>
      <c r="EO97" s="1175"/>
      <c r="EP97" s="1175"/>
      <c r="EQ97" s="1175"/>
      <c r="ER97" s="1175"/>
      <c r="ES97" s="1176"/>
      <c r="ET97" s="1185"/>
      <c r="EU97" s="1185"/>
      <c r="EV97" s="1185"/>
      <c r="EW97" s="1185"/>
      <c r="EX97" s="1185"/>
      <c r="EY97" s="1185"/>
      <c r="EZ97" s="1185"/>
      <c r="FA97" s="1185"/>
      <c r="FB97" s="1185"/>
      <c r="FC97" s="1185"/>
      <c r="FD97" s="1185"/>
      <c r="FE97" s="1185"/>
      <c r="FF97" s="1185"/>
      <c r="FG97" s="1178"/>
      <c r="FH97" s="1178"/>
      <c r="FJ97" s="519">
        <v>26</v>
      </c>
      <c r="FK97" s="1179"/>
      <c r="FL97" s="1180"/>
      <c r="FM97" s="1180"/>
      <c r="FN97" s="1180"/>
      <c r="FO97" s="1180"/>
      <c r="FP97" s="1181"/>
      <c r="FQ97" s="1173"/>
      <c r="FR97" s="1173"/>
      <c r="FS97" s="1173"/>
      <c r="FT97" s="1173"/>
      <c r="FU97" s="1173"/>
      <c r="FV97" s="1173"/>
      <c r="FW97" s="1173"/>
      <c r="FX97" s="1173"/>
      <c r="FY97" s="1173"/>
      <c r="FZ97" s="1173"/>
      <c r="GA97" s="1173"/>
      <c r="GB97" s="1173"/>
      <c r="GC97" s="1173"/>
      <c r="GD97" s="1183"/>
      <c r="GE97" s="1183"/>
      <c r="GH97" s="518">
        <v>87</v>
      </c>
      <c r="GI97" s="1174"/>
      <c r="GJ97" s="1175"/>
      <c r="GK97" s="1175"/>
      <c r="GL97" s="1175"/>
      <c r="GM97" s="1175"/>
      <c r="GN97" s="1176"/>
      <c r="GO97" s="1185"/>
      <c r="GP97" s="1185"/>
      <c r="GQ97" s="1185"/>
      <c r="GR97" s="1185"/>
      <c r="GS97" s="1185"/>
      <c r="GT97" s="1185"/>
      <c r="GU97" s="1185"/>
      <c r="GV97" s="1185"/>
      <c r="GW97" s="1185"/>
      <c r="GX97" s="1185"/>
      <c r="GY97" s="1185"/>
      <c r="GZ97" s="1185"/>
      <c r="HA97" s="1185"/>
      <c r="HB97" s="1178"/>
      <c r="HC97" s="1178"/>
      <c r="HE97" s="519">
        <v>26</v>
      </c>
      <c r="HF97" s="1179"/>
      <c r="HG97" s="1180"/>
      <c r="HH97" s="1180"/>
      <c r="HI97" s="1180"/>
      <c r="HJ97" s="1180"/>
      <c r="HK97" s="1181"/>
      <c r="HL97" s="1173"/>
      <c r="HM97" s="1173"/>
      <c r="HN97" s="1173"/>
      <c r="HO97" s="1173"/>
      <c r="HP97" s="1173"/>
      <c r="HQ97" s="1173"/>
      <c r="HR97" s="1173"/>
      <c r="HS97" s="1173"/>
      <c r="HT97" s="1173"/>
      <c r="HU97" s="1173"/>
      <c r="HV97" s="1173"/>
      <c r="HW97" s="1173"/>
      <c r="HX97" s="1173"/>
      <c r="HY97" s="1183"/>
      <c r="HZ97" s="1183"/>
    </row>
    <row r="98" spans="2:234" ht="17.149999999999999" customHeight="1" x14ac:dyDescent="0.25">
      <c r="B98" s="519">
        <v>88</v>
      </c>
      <c r="C98" s="1179"/>
      <c r="D98" s="1180"/>
      <c r="E98" s="1180"/>
      <c r="F98" s="1180"/>
      <c r="G98" s="1180"/>
      <c r="H98" s="1181"/>
      <c r="I98" s="1173"/>
      <c r="J98" s="1173"/>
      <c r="K98" s="1173"/>
      <c r="L98" s="1173"/>
      <c r="M98" s="1173"/>
      <c r="N98" s="1173"/>
      <c r="O98" s="1173"/>
      <c r="P98" s="1173"/>
      <c r="Q98" s="1173"/>
      <c r="R98" s="1173"/>
      <c r="S98" s="1173"/>
      <c r="T98" s="1173"/>
      <c r="U98" s="1173"/>
      <c r="V98" s="1183"/>
      <c r="W98" s="1183"/>
      <c r="Y98" s="518">
        <v>27</v>
      </c>
      <c r="Z98" s="1174"/>
      <c r="AA98" s="1175"/>
      <c r="AB98" s="1175"/>
      <c r="AC98" s="1175"/>
      <c r="AD98" s="1175"/>
      <c r="AE98" s="1176"/>
      <c r="AF98" s="1185"/>
      <c r="AG98" s="1185"/>
      <c r="AH98" s="1185"/>
      <c r="AI98" s="1185"/>
      <c r="AJ98" s="1185"/>
      <c r="AK98" s="1185"/>
      <c r="AL98" s="1185"/>
      <c r="AM98" s="1185"/>
      <c r="AN98" s="1185"/>
      <c r="AO98" s="1185"/>
      <c r="AP98" s="1185"/>
      <c r="AQ98" s="1185"/>
      <c r="AR98" s="1185"/>
      <c r="AS98" s="1178"/>
      <c r="AT98" s="1178"/>
      <c r="AW98" s="519">
        <v>88</v>
      </c>
      <c r="AX98" s="1179"/>
      <c r="AY98" s="1180"/>
      <c r="AZ98" s="1180"/>
      <c r="BA98" s="1180"/>
      <c r="BB98" s="1180"/>
      <c r="BC98" s="1181"/>
      <c r="BD98" s="1173"/>
      <c r="BE98" s="1173"/>
      <c r="BF98" s="1173"/>
      <c r="BG98" s="1173"/>
      <c r="BH98" s="1173"/>
      <c r="BI98" s="1173"/>
      <c r="BJ98" s="1173"/>
      <c r="BK98" s="1173"/>
      <c r="BL98" s="1173"/>
      <c r="BM98" s="1173"/>
      <c r="BN98" s="1173"/>
      <c r="BO98" s="1173"/>
      <c r="BP98" s="1173"/>
      <c r="BQ98" s="1183"/>
      <c r="BR98" s="1183"/>
      <c r="BT98" s="518">
        <v>27</v>
      </c>
      <c r="BU98" s="1174"/>
      <c r="BV98" s="1175"/>
      <c r="BW98" s="1175"/>
      <c r="BX98" s="1175"/>
      <c r="BY98" s="1175"/>
      <c r="BZ98" s="1176"/>
      <c r="CA98" s="1185"/>
      <c r="CB98" s="1185"/>
      <c r="CC98" s="1185"/>
      <c r="CD98" s="1185"/>
      <c r="CE98" s="1185"/>
      <c r="CF98" s="1185"/>
      <c r="CG98" s="1185"/>
      <c r="CH98" s="1185"/>
      <c r="CI98" s="1185"/>
      <c r="CJ98" s="1185"/>
      <c r="CK98" s="1185"/>
      <c r="CL98" s="1185"/>
      <c r="CM98" s="1185"/>
      <c r="CN98" s="1178"/>
      <c r="CO98" s="1178"/>
      <c r="CR98" s="519">
        <v>88</v>
      </c>
      <c r="CS98" s="1179"/>
      <c r="CT98" s="1180"/>
      <c r="CU98" s="1180"/>
      <c r="CV98" s="1180"/>
      <c r="CW98" s="1180"/>
      <c r="CX98" s="1181"/>
      <c r="CY98" s="1173"/>
      <c r="CZ98" s="1173"/>
      <c r="DA98" s="1173"/>
      <c r="DB98" s="1173"/>
      <c r="DC98" s="1173"/>
      <c r="DD98" s="1173"/>
      <c r="DE98" s="1173"/>
      <c r="DF98" s="1173"/>
      <c r="DG98" s="1173"/>
      <c r="DH98" s="1173"/>
      <c r="DI98" s="1173"/>
      <c r="DJ98" s="1173"/>
      <c r="DK98" s="1173"/>
      <c r="DL98" s="1183"/>
      <c r="DM98" s="1183"/>
      <c r="DO98" s="518">
        <v>27</v>
      </c>
      <c r="DP98" s="1174"/>
      <c r="DQ98" s="1175"/>
      <c r="DR98" s="1175"/>
      <c r="DS98" s="1175"/>
      <c r="DT98" s="1175"/>
      <c r="DU98" s="1176"/>
      <c r="DV98" s="1185"/>
      <c r="DW98" s="1185"/>
      <c r="DX98" s="1185"/>
      <c r="DY98" s="1185"/>
      <c r="DZ98" s="1185"/>
      <c r="EA98" s="1185"/>
      <c r="EB98" s="1185"/>
      <c r="EC98" s="1185"/>
      <c r="ED98" s="1185"/>
      <c r="EE98" s="1185"/>
      <c r="EF98" s="1185"/>
      <c r="EG98" s="1185"/>
      <c r="EH98" s="1185"/>
      <c r="EI98" s="1178"/>
      <c r="EJ98" s="1178"/>
      <c r="EM98" s="519">
        <v>88</v>
      </c>
      <c r="EN98" s="1179"/>
      <c r="EO98" s="1180"/>
      <c r="EP98" s="1180"/>
      <c r="EQ98" s="1180"/>
      <c r="ER98" s="1180"/>
      <c r="ES98" s="1181"/>
      <c r="ET98" s="1173"/>
      <c r="EU98" s="1173"/>
      <c r="EV98" s="1173"/>
      <c r="EW98" s="1173"/>
      <c r="EX98" s="1173"/>
      <c r="EY98" s="1173"/>
      <c r="EZ98" s="1173"/>
      <c r="FA98" s="1173"/>
      <c r="FB98" s="1173"/>
      <c r="FC98" s="1173"/>
      <c r="FD98" s="1173"/>
      <c r="FE98" s="1173"/>
      <c r="FF98" s="1173"/>
      <c r="FG98" s="1183"/>
      <c r="FH98" s="1183"/>
      <c r="FJ98" s="518">
        <v>27</v>
      </c>
      <c r="FK98" s="1174"/>
      <c r="FL98" s="1175"/>
      <c r="FM98" s="1175"/>
      <c r="FN98" s="1175"/>
      <c r="FO98" s="1175"/>
      <c r="FP98" s="1176"/>
      <c r="FQ98" s="1185"/>
      <c r="FR98" s="1185"/>
      <c r="FS98" s="1185"/>
      <c r="FT98" s="1185"/>
      <c r="FU98" s="1185"/>
      <c r="FV98" s="1185"/>
      <c r="FW98" s="1185"/>
      <c r="FX98" s="1185"/>
      <c r="FY98" s="1185"/>
      <c r="FZ98" s="1185"/>
      <c r="GA98" s="1185"/>
      <c r="GB98" s="1185"/>
      <c r="GC98" s="1185"/>
      <c r="GD98" s="1178"/>
      <c r="GE98" s="1178"/>
      <c r="GH98" s="519">
        <v>88</v>
      </c>
      <c r="GI98" s="1179"/>
      <c r="GJ98" s="1180"/>
      <c r="GK98" s="1180"/>
      <c r="GL98" s="1180"/>
      <c r="GM98" s="1180"/>
      <c r="GN98" s="1181"/>
      <c r="GO98" s="1173"/>
      <c r="GP98" s="1173"/>
      <c r="GQ98" s="1173"/>
      <c r="GR98" s="1173"/>
      <c r="GS98" s="1173"/>
      <c r="GT98" s="1173"/>
      <c r="GU98" s="1173"/>
      <c r="GV98" s="1173"/>
      <c r="GW98" s="1173"/>
      <c r="GX98" s="1173"/>
      <c r="GY98" s="1173"/>
      <c r="GZ98" s="1173"/>
      <c r="HA98" s="1173"/>
      <c r="HB98" s="1183"/>
      <c r="HC98" s="1183"/>
      <c r="HE98" s="518">
        <v>27</v>
      </c>
      <c r="HF98" s="1174"/>
      <c r="HG98" s="1175"/>
      <c r="HH98" s="1175"/>
      <c r="HI98" s="1175"/>
      <c r="HJ98" s="1175"/>
      <c r="HK98" s="1176"/>
      <c r="HL98" s="1185"/>
      <c r="HM98" s="1185"/>
      <c r="HN98" s="1185"/>
      <c r="HO98" s="1185"/>
      <c r="HP98" s="1185"/>
      <c r="HQ98" s="1185"/>
      <c r="HR98" s="1185"/>
      <c r="HS98" s="1185"/>
      <c r="HT98" s="1185"/>
      <c r="HU98" s="1185"/>
      <c r="HV98" s="1185"/>
      <c r="HW98" s="1185"/>
      <c r="HX98" s="1185"/>
      <c r="HY98" s="1178"/>
      <c r="HZ98" s="1178"/>
    </row>
    <row r="99" spans="2:234" ht="17.149999999999999" customHeight="1" x14ac:dyDescent="0.25">
      <c r="B99" s="518">
        <v>89</v>
      </c>
      <c r="C99" s="1174"/>
      <c r="D99" s="1175"/>
      <c r="E99" s="1175"/>
      <c r="F99" s="1175"/>
      <c r="G99" s="1175"/>
      <c r="H99" s="1176"/>
      <c r="I99" s="1185"/>
      <c r="J99" s="1185"/>
      <c r="K99" s="1185"/>
      <c r="L99" s="1185"/>
      <c r="M99" s="1185"/>
      <c r="N99" s="1185"/>
      <c r="O99" s="1185"/>
      <c r="P99" s="1185"/>
      <c r="Q99" s="1185"/>
      <c r="R99" s="1185"/>
      <c r="S99" s="1185"/>
      <c r="T99" s="1185"/>
      <c r="U99" s="1185"/>
      <c r="V99" s="1178"/>
      <c r="W99" s="1178"/>
      <c r="Y99" s="519">
        <v>28</v>
      </c>
      <c r="Z99" s="1179"/>
      <c r="AA99" s="1180"/>
      <c r="AB99" s="1180"/>
      <c r="AC99" s="1180"/>
      <c r="AD99" s="1180"/>
      <c r="AE99" s="1181"/>
      <c r="AF99" s="1173"/>
      <c r="AG99" s="1173"/>
      <c r="AH99" s="1173"/>
      <c r="AI99" s="1173"/>
      <c r="AJ99" s="1173"/>
      <c r="AK99" s="1173"/>
      <c r="AL99" s="1173"/>
      <c r="AM99" s="1173"/>
      <c r="AN99" s="1173"/>
      <c r="AO99" s="1173"/>
      <c r="AP99" s="1173"/>
      <c r="AQ99" s="1173"/>
      <c r="AR99" s="1173"/>
      <c r="AS99" s="1183"/>
      <c r="AT99" s="1183"/>
      <c r="AW99" s="518">
        <v>89</v>
      </c>
      <c r="AX99" s="1174"/>
      <c r="AY99" s="1175"/>
      <c r="AZ99" s="1175"/>
      <c r="BA99" s="1175"/>
      <c r="BB99" s="1175"/>
      <c r="BC99" s="1176"/>
      <c r="BD99" s="1185"/>
      <c r="BE99" s="1185"/>
      <c r="BF99" s="1185"/>
      <c r="BG99" s="1185"/>
      <c r="BH99" s="1185"/>
      <c r="BI99" s="1185"/>
      <c r="BJ99" s="1185"/>
      <c r="BK99" s="1185"/>
      <c r="BL99" s="1185"/>
      <c r="BM99" s="1185"/>
      <c r="BN99" s="1185"/>
      <c r="BO99" s="1185"/>
      <c r="BP99" s="1185"/>
      <c r="BQ99" s="1178"/>
      <c r="BR99" s="1178"/>
      <c r="BT99" s="519">
        <v>28</v>
      </c>
      <c r="BU99" s="1179"/>
      <c r="BV99" s="1180"/>
      <c r="BW99" s="1180"/>
      <c r="BX99" s="1180"/>
      <c r="BY99" s="1180"/>
      <c r="BZ99" s="1181"/>
      <c r="CA99" s="1173"/>
      <c r="CB99" s="1173"/>
      <c r="CC99" s="1173"/>
      <c r="CD99" s="1173"/>
      <c r="CE99" s="1173"/>
      <c r="CF99" s="1173"/>
      <c r="CG99" s="1173"/>
      <c r="CH99" s="1173"/>
      <c r="CI99" s="1173"/>
      <c r="CJ99" s="1173"/>
      <c r="CK99" s="1173"/>
      <c r="CL99" s="1173"/>
      <c r="CM99" s="1173"/>
      <c r="CN99" s="1183"/>
      <c r="CO99" s="1183"/>
      <c r="CR99" s="518">
        <v>89</v>
      </c>
      <c r="CS99" s="1174"/>
      <c r="CT99" s="1175"/>
      <c r="CU99" s="1175"/>
      <c r="CV99" s="1175"/>
      <c r="CW99" s="1175"/>
      <c r="CX99" s="1176"/>
      <c r="CY99" s="1185"/>
      <c r="CZ99" s="1185"/>
      <c r="DA99" s="1185"/>
      <c r="DB99" s="1185"/>
      <c r="DC99" s="1185"/>
      <c r="DD99" s="1185"/>
      <c r="DE99" s="1185"/>
      <c r="DF99" s="1185"/>
      <c r="DG99" s="1185"/>
      <c r="DH99" s="1185"/>
      <c r="DI99" s="1185"/>
      <c r="DJ99" s="1185"/>
      <c r="DK99" s="1185"/>
      <c r="DL99" s="1178"/>
      <c r="DM99" s="1178"/>
      <c r="DO99" s="519">
        <v>28</v>
      </c>
      <c r="DP99" s="1179"/>
      <c r="DQ99" s="1180"/>
      <c r="DR99" s="1180"/>
      <c r="DS99" s="1180"/>
      <c r="DT99" s="1180"/>
      <c r="DU99" s="1181"/>
      <c r="DV99" s="1173"/>
      <c r="DW99" s="1173"/>
      <c r="DX99" s="1173"/>
      <c r="DY99" s="1173"/>
      <c r="DZ99" s="1173"/>
      <c r="EA99" s="1173"/>
      <c r="EB99" s="1173"/>
      <c r="EC99" s="1173"/>
      <c r="ED99" s="1173"/>
      <c r="EE99" s="1173"/>
      <c r="EF99" s="1173"/>
      <c r="EG99" s="1173"/>
      <c r="EH99" s="1173"/>
      <c r="EI99" s="1183"/>
      <c r="EJ99" s="1183"/>
      <c r="EM99" s="518">
        <v>89</v>
      </c>
      <c r="EN99" s="1174"/>
      <c r="EO99" s="1175"/>
      <c r="EP99" s="1175"/>
      <c r="EQ99" s="1175"/>
      <c r="ER99" s="1175"/>
      <c r="ES99" s="1176"/>
      <c r="ET99" s="1185"/>
      <c r="EU99" s="1185"/>
      <c r="EV99" s="1185"/>
      <c r="EW99" s="1185"/>
      <c r="EX99" s="1185"/>
      <c r="EY99" s="1185"/>
      <c r="EZ99" s="1185"/>
      <c r="FA99" s="1185"/>
      <c r="FB99" s="1185"/>
      <c r="FC99" s="1185"/>
      <c r="FD99" s="1185"/>
      <c r="FE99" s="1185"/>
      <c r="FF99" s="1185"/>
      <c r="FG99" s="1178"/>
      <c r="FH99" s="1178"/>
      <c r="FJ99" s="519">
        <v>28</v>
      </c>
      <c r="FK99" s="1179"/>
      <c r="FL99" s="1180"/>
      <c r="FM99" s="1180"/>
      <c r="FN99" s="1180"/>
      <c r="FO99" s="1180"/>
      <c r="FP99" s="1181"/>
      <c r="FQ99" s="1173"/>
      <c r="FR99" s="1173"/>
      <c r="FS99" s="1173"/>
      <c r="FT99" s="1173"/>
      <c r="FU99" s="1173"/>
      <c r="FV99" s="1173"/>
      <c r="FW99" s="1173"/>
      <c r="FX99" s="1173"/>
      <c r="FY99" s="1173"/>
      <c r="FZ99" s="1173"/>
      <c r="GA99" s="1173"/>
      <c r="GB99" s="1173"/>
      <c r="GC99" s="1173"/>
      <c r="GD99" s="1183"/>
      <c r="GE99" s="1183"/>
      <c r="GH99" s="518">
        <v>89</v>
      </c>
      <c r="GI99" s="1174"/>
      <c r="GJ99" s="1175"/>
      <c r="GK99" s="1175"/>
      <c r="GL99" s="1175"/>
      <c r="GM99" s="1175"/>
      <c r="GN99" s="1176"/>
      <c r="GO99" s="1185"/>
      <c r="GP99" s="1185"/>
      <c r="GQ99" s="1185"/>
      <c r="GR99" s="1185"/>
      <c r="GS99" s="1185"/>
      <c r="GT99" s="1185"/>
      <c r="GU99" s="1185"/>
      <c r="GV99" s="1185"/>
      <c r="GW99" s="1185"/>
      <c r="GX99" s="1185"/>
      <c r="GY99" s="1185"/>
      <c r="GZ99" s="1185"/>
      <c r="HA99" s="1185"/>
      <c r="HB99" s="1178"/>
      <c r="HC99" s="1178"/>
      <c r="HE99" s="519">
        <v>28</v>
      </c>
      <c r="HF99" s="1179"/>
      <c r="HG99" s="1180"/>
      <c r="HH99" s="1180"/>
      <c r="HI99" s="1180"/>
      <c r="HJ99" s="1180"/>
      <c r="HK99" s="1181"/>
      <c r="HL99" s="1173"/>
      <c r="HM99" s="1173"/>
      <c r="HN99" s="1173"/>
      <c r="HO99" s="1173"/>
      <c r="HP99" s="1173"/>
      <c r="HQ99" s="1173"/>
      <c r="HR99" s="1173"/>
      <c r="HS99" s="1173"/>
      <c r="HT99" s="1173"/>
      <c r="HU99" s="1173"/>
      <c r="HV99" s="1173"/>
      <c r="HW99" s="1173"/>
      <c r="HX99" s="1173"/>
      <c r="HY99" s="1183"/>
      <c r="HZ99" s="1183"/>
    </row>
    <row r="100" spans="2:234" ht="17.149999999999999" customHeight="1" x14ac:dyDescent="0.25">
      <c r="B100" s="519">
        <v>90</v>
      </c>
      <c r="C100" s="1179"/>
      <c r="D100" s="1180"/>
      <c r="E100" s="1180"/>
      <c r="F100" s="1180"/>
      <c r="G100" s="1180"/>
      <c r="H100" s="1181"/>
      <c r="I100" s="1173"/>
      <c r="J100" s="1173"/>
      <c r="K100" s="1173"/>
      <c r="L100" s="1173"/>
      <c r="M100" s="1173"/>
      <c r="N100" s="1173"/>
      <c r="O100" s="1173"/>
      <c r="P100" s="1173"/>
      <c r="Q100" s="1173"/>
      <c r="R100" s="1173"/>
      <c r="S100" s="1173"/>
      <c r="T100" s="1173"/>
      <c r="U100" s="1173"/>
      <c r="V100" s="1183"/>
      <c r="W100" s="1183"/>
      <c r="Y100" s="518">
        <v>29</v>
      </c>
      <c r="Z100" s="1174"/>
      <c r="AA100" s="1175"/>
      <c r="AB100" s="1175"/>
      <c r="AC100" s="1175"/>
      <c r="AD100" s="1175"/>
      <c r="AE100" s="1176"/>
      <c r="AF100" s="1185"/>
      <c r="AG100" s="1185"/>
      <c r="AH100" s="1185"/>
      <c r="AI100" s="1185"/>
      <c r="AJ100" s="1185"/>
      <c r="AK100" s="1185"/>
      <c r="AL100" s="1185"/>
      <c r="AM100" s="1185"/>
      <c r="AN100" s="1185"/>
      <c r="AO100" s="1185"/>
      <c r="AP100" s="1185"/>
      <c r="AQ100" s="1185"/>
      <c r="AR100" s="1185"/>
      <c r="AS100" s="1178"/>
      <c r="AT100" s="1178"/>
      <c r="AW100" s="519">
        <v>90</v>
      </c>
      <c r="AX100" s="1179"/>
      <c r="AY100" s="1180"/>
      <c r="AZ100" s="1180"/>
      <c r="BA100" s="1180"/>
      <c r="BB100" s="1180"/>
      <c r="BC100" s="1181"/>
      <c r="BD100" s="1173"/>
      <c r="BE100" s="1173"/>
      <c r="BF100" s="1173"/>
      <c r="BG100" s="1173"/>
      <c r="BH100" s="1173"/>
      <c r="BI100" s="1173"/>
      <c r="BJ100" s="1173"/>
      <c r="BK100" s="1173"/>
      <c r="BL100" s="1173"/>
      <c r="BM100" s="1173"/>
      <c r="BN100" s="1173"/>
      <c r="BO100" s="1173"/>
      <c r="BP100" s="1173"/>
      <c r="BQ100" s="1183"/>
      <c r="BR100" s="1183"/>
      <c r="BT100" s="518">
        <v>29</v>
      </c>
      <c r="BU100" s="1174"/>
      <c r="BV100" s="1175"/>
      <c r="BW100" s="1175"/>
      <c r="BX100" s="1175"/>
      <c r="BY100" s="1175"/>
      <c r="BZ100" s="1176"/>
      <c r="CA100" s="1185"/>
      <c r="CB100" s="1185"/>
      <c r="CC100" s="1185"/>
      <c r="CD100" s="1185"/>
      <c r="CE100" s="1185"/>
      <c r="CF100" s="1185"/>
      <c r="CG100" s="1185"/>
      <c r="CH100" s="1185"/>
      <c r="CI100" s="1185"/>
      <c r="CJ100" s="1185"/>
      <c r="CK100" s="1185"/>
      <c r="CL100" s="1185"/>
      <c r="CM100" s="1185"/>
      <c r="CN100" s="1178"/>
      <c r="CO100" s="1178"/>
      <c r="CR100" s="519">
        <v>90</v>
      </c>
      <c r="CS100" s="1179"/>
      <c r="CT100" s="1180"/>
      <c r="CU100" s="1180"/>
      <c r="CV100" s="1180"/>
      <c r="CW100" s="1180"/>
      <c r="CX100" s="1181"/>
      <c r="CY100" s="1173"/>
      <c r="CZ100" s="1173"/>
      <c r="DA100" s="1173"/>
      <c r="DB100" s="1173"/>
      <c r="DC100" s="1173"/>
      <c r="DD100" s="1173"/>
      <c r="DE100" s="1173"/>
      <c r="DF100" s="1173"/>
      <c r="DG100" s="1173"/>
      <c r="DH100" s="1173"/>
      <c r="DI100" s="1173"/>
      <c r="DJ100" s="1173"/>
      <c r="DK100" s="1173"/>
      <c r="DL100" s="1183"/>
      <c r="DM100" s="1183"/>
      <c r="DO100" s="518">
        <v>29</v>
      </c>
      <c r="DP100" s="1174"/>
      <c r="DQ100" s="1175"/>
      <c r="DR100" s="1175"/>
      <c r="DS100" s="1175"/>
      <c r="DT100" s="1175"/>
      <c r="DU100" s="1176"/>
      <c r="DV100" s="1185"/>
      <c r="DW100" s="1185"/>
      <c r="DX100" s="1185"/>
      <c r="DY100" s="1185"/>
      <c r="DZ100" s="1185"/>
      <c r="EA100" s="1185"/>
      <c r="EB100" s="1185"/>
      <c r="EC100" s="1185"/>
      <c r="ED100" s="1185"/>
      <c r="EE100" s="1185"/>
      <c r="EF100" s="1185"/>
      <c r="EG100" s="1185"/>
      <c r="EH100" s="1185"/>
      <c r="EI100" s="1178"/>
      <c r="EJ100" s="1178"/>
      <c r="EM100" s="519">
        <v>90</v>
      </c>
      <c r="EN100" s="1179"/>
      <c r="EO100" s="1180"/>
      <c r="EP100" s="1180"/>
      <c r="EQ100" s="1180"/>
      <c r="ER100" s="1180"/>
      <c r="ES100" s="1181"/>
      <c r="ET100" s="1173"/>
      <c r="EU100" s="1173"/>
      <c r="EV100" s="1173"/>
      <c r="EW100" s="1173"/>
      <c r="EX100" s="1173"/>
      <c r="EY100" s="1173"/>
      <c r="EZ100" s="1173"/>
      <c r="FA100" s="1173"/>
      <c r="FB100" s="1173"/>
      <c r="FC100" s="1173"/>
      <c r="FD100" s="1173"/>
      <c r="FE100" s="1173"/>
      <c r="FF100" s="1173"/>
      <c r="FG100" s="1183"/>
      <c r="FH100" s="1183"/>
      <c r="FJ100" s="518">
        <v>29</v>
      </c>
      <c r="FK100" s="1174"/>
      <c r="FL100" s="1175"/>
      <c r="FM100" s="1175"/>
      <c r="FN100" s="1175"/>
      <c r="FO100" s="1175"/>
      <c r="FP100" s="1176"/>
      <c r="FQ100" s="1185"/>
      <c r="FR100" s="1185"/>
      <c r="FS100" s="1185"/>
      <c r="FT100" s="1185"/>
      <c r="FU100" s="1185"/>
      <c r="FV100" s="1185"/>
      <c r="FW100" s="1185"/>
      <c r="FX100" s="1185"/>
      <c r="FY100" s="1185"/>
      <c r="FZ100" s="1185"/>
      <c r="GA100" s="1185"/>
      <c r="GB100" s="1185"/>
      <c r="GC100" s="1185"/>
      <c r="GD100" s="1178"/>
      <c r="GE100" s="1178"/>
      <c r="GH100" s="519">
        <v>90</v>
      </c>
      <c r="GI100" s="1179"/>
      <c r="GJ100" s="1180"/>
      <c r="GK100" s="1180"/>
      <c r="GL100" s="1180"/>
      <c r="GM100" s="1180"/>
      <c r="GN100" s="1181"/>
      <c r="GO100" s="1173"/>
      <c r="GP100" s="1173"/>
      <c r="GQ100" s="1173"/>
      <c r="GR100" s="1173"/>
      <c r="GS100" s="1173"/>
      <c r="GT100" s="1173"/>
      <c r="GU100" s="1173"/>
      <c r="GV100" s="1173"/>
      <c r="GW100" s="1173"/>
      <c r="GX100" s="1173"/>
      <c r="GY100" s="1173"/>
      <c r="GZ100" s="1173"/>
      <c r="HA100" s="1173"/>
      <c r="HB100" s="1183"/>
      <c r="HC100" s="1183"/>
      <c r="HE100" s="518">
        <v>29</v>
      </c>
      <c r="HF100" s="1174"/>
      <c r="HG100" s="1175"/>
      <c r="HH100" s="1175"/>
      <c r="HI100" s="1175"/>
      <c r="HJ100" s="1175"/>
      <c r="HK100" s="1176"/>
      <c r="HL100" s="1185"/>
      <c r="HM100" s="1185"/>
      <c r="HN100" s="1185"/>
      <c r="HO100" s="1185"/>
      <c r="HP100" s="1185"/>
      <c r="HQ100" s="1185"/>
      <c r="HR100" s="1185"/>
      <c r="HS100" s="1185"/>
      <c r="HT100" s="1185"/>
      <c r="HU100" s="1185"/>
      <c r="HV100" s="1185"/>
      <c r="HW100" s="1185"/>
      <c r="HX100" s="1185"/>
      <c r="HY100" s="1178"/>
      <c r="HZ100" s="1178"/>
    </row>
    <row r="101" spans="2:234" ht="17.149999999999999" customHeight="1" x14ac:dyDescent="0.25">
      <c r="B101" s="518">
        <v>91</v>
      </c>
      <c r="C101" s="1174"/>
      <c r="D101" s="1175"/>
      <c r="E101" s="1175"/>
      <c r="F101" s="1175"/>
      <c r="G101" s="1175"/>
      <c r="H101" s="1176"/>
      <c r="I101" s="1185"/>
      <c r="J101" s="1185"/>
      <c r="K101" s="1185"/>
      <c r="L101" s="1185"/>
      <c r="M101" s="1185"/>
      <c r="N101" s="1185"/>
      <c r="O101" s="1185"/>
      <c r="P101" s="1185"/>
      <c r="Q101" s="1185"/>
      <c r="R101" s="1185"/>
      <c r="S101" s="1185"/>
      <c r="T101" s="1185"/>
      <c r="U101" s="1185"/>
      <c r="V101" s="1178"/>
      <c r="W101" s="1178"/>
      <c r="Y101" s="519">
        <v>30</v>
      </c>
      <c r="Z101" s="1179"/>
      <c r="AA101" s="1180"/>
      <c r="AB101" s="1180"/>
      <c r="AC101" s="1180"/>
      <c r="AD101" s="1180"/>
      <c r="AE101" s="1181"/>
      <c r="AF101" s="1173"/>
      <c r="AG101" s="1173"/>
      <c r="AH101" s="1173"/>
      <c r="AI101" s="1173"/>
      <c r="AJ101" s="1173"/>
      <c r="AK101" s="1173"/>
      <c r="AL101" s="1173"/>
      <c r="AM101" s="1173"/>
      <c r="AN101" s="1173"/>
      <c r="AO101" s="1173"/>
      <c r="AP101" s="1173"/>
      <c r="AQ101" s="1173"/>
      <c r="AR101" s="1173"/>
      <c r="AS101" s="1183"/>
      <c r="AT101" s="1183"/>
      <c r="AW101" s="518">
        <v>91</v>
      </c>
      <c r="AX101" s="1174"/>
      <c r="AY101" s="1175"/>
      <c r="AZ101" s="1175"/>
      <c r="BA101" s="1175"/>
      <c r="BB101" s="1175"/>
      <c r="BC101" s="1176"/>
      <c r="BD101" s="1185"/>
      <c r="BE101" s="1185"/>
      <c r="BF101" s="1185"/>
      <c r="BG101" s="1185"/>
      <c r="BH101" s="1185"/>
      <c r="BI101" s="1185"/>
      <c r="BJ101" s="1185"/>
      <c r="BK101" s="1185"/>
      <c r="BL101" s="1185"/>
      <c r="BM101" s="1185"/>
      <c r="BN101" s="1185"/>
      <c r="BO101" s="1185"/>
      <c r="BP101" s="1185"/>
      <c r="BQ101" s="1178"/>
      <c r="BR101" s="1178"/>
      <c r="BT101" s="519">
        <v>30</v>
      </c>
      <c r="BU101" s="1179"/>
      <c r="BV101" s="1180"/>
      <c r="BW101" s="1180"/>
      <c r="BX101" s="1180"/>
      <c r="BY101" s="1180"/>
      <c r="BZ101" s="1181"/>
      <c r="CA101" s="1173"/>
      <c r="CB101" s="1173"/>
      <c r="CC101" s="1173"/>
      <c r="CD101" s="1173"/>
      <c r="CE101" s="1173"/>
      <c r="CF101" s="1173"/>
      <c r="CG101" s="1173"/>
      <c r="CH101" s="1173"/>
      <c r="CI101" s="1173"/>
      <c r="CJ101" s="1173"/>
      <c r="CK101" s="1173"/>
      <c r="CL101" s="1173"/>
      <c r="CM101" s="1173"/>
      <c r="CN101" s="1183"/>
      <c r="CO101" s="1183"/>
      <c r="CR101" s="518">
        <v>91</v>
      </c>
      <c r="CS101" s="1174"/>
      <c r="CT101" s="1175"/>
      <c r="CU101" s="1175"/>
      <c r="CV101" s="1175"/>
      <c r="CW101" s="1175"/>
      <c r="CX101" s="1176"/>
      <c r="CY101" s="1185"/>
      <c r="CZ101" s="1185"/>
      <c r="DA101" s="1185"/>
      <c r="DB101" s="1185"/>
      <c r="DC101" s="1185"/>
      <c r="DD101" s="1185"/>
      <c r="DE101" s="1185"/>
      <c r="DF101" s="1185"/>
      <c r="DG101" s="1185"/>
      <c r="DH101" s="1185"/>
      <c r="DI101" s="1185"/>
      <c r="DJ101" s="1185"/>
      <c r="DK101" s="1185"/>
      <c r="DL101" s="1178"/>
      <c r="DM101" s="1178"/>
      <c r="DO101" s="519">
        <v>30</v>
      </c>
      <c r="DP101" s="1179"/>
      <c r="DQ101" s="1180"/>
      <c r="DR101" s="1180"/>
      <c r="DS101" s="1180"/>
      <c r="DT101" s="1180"/>
      <c r="DU101" s="1181"/>
      <c r="DV101" s="1173"/>
      <c r="DW101" s="1173"/>
      <c r="DX101" s="1173"/>
      <c r="DY101" s="1173"/>
      <c r="DZ101" s="1173"/>
      <c r="EA101" s="1173"/>
      <c r="EB101" s="1173"/>
      <c r="EC101" s="1173"/>
      <c r="ED101" s="1173"/>
      <c r="EE101" s="1173"/>
      <c r="EF101" s="1173"/>
      <c r="EG101" s="1173"/>
      <c r="EH101" s="1173"/>
      <c r="EI101" s="1183"/>
      <c r="EJ101" s="1183"/>
      <c r="EM101" s="518">
        <v>91</v>
      </c>
      <c r="EN101" s="1174"/>
      <c r="EO101" s="1175"/>
      <c r="EP101" s="1175"/>
      <c r="EQ101" s="1175"/>
      <c r="ER101" s="1175"/>
      <c r="ES101" s="1176"/>
      <c r="ET101" s="1185"/>
      <c r="EU101" s="1185"/>
      <c r="EV101" s="1185"/>
      <c r="EW101" s="1185"/>
      <c r="EX101" s="1185"/>
      <c r="EY101" s="1185"/>
      <c r="EZ101" s="1185"/>
      <c r="FA101" s="1185"/>
      <c r="FB101" s="1185"/>
      <c r="FC101" s="1185"/>
      <c r="FD101" s="1185"/>
      <c r="FE101" s="1185"/>
      <c r="FF101" s="1185"/>
      <c r="FG101" s="1178"/>
      <c r="FH101" s="1178"/>
      <c r="FJ101" s="519">
        <v>30</v>
      </c>
      <c r="FK101" s="1179"/>
      <c r="FL101" s="1180"/>
      <c r="FM101" s="1180"/>
      <c r="FN101" s="1180"/>
      <c r="FO101" s="1180"/>
      <c r="FP101" s="1181"/>
      <c r="FQ101" s="1173"/>
      <c r="FR101" s="1173"/>
      <c r="FS101" s="1173"/>
      <c r="FT101" s="1173"/>
      <c r="FU101" s="1173"/>
      <c r="FV101" s="1173"/>
      <c r="FW101" s="1173"/>
      <c r="FX101" s="1173"/>
      <c r="FY101" s="1173"/>
      <c r="FZ101" s="1173"/>
      <c r="GA101" s="1173"/>
      <c r="GB101" s="1173"/>
      <c r="GC101" s="1173"/>
      <c r="GD101" s="1183"/>
      <c r="GE101" s="1183"/>
      <c r="GH101" s="518">
        <v>91</v>
      </c>
      <c r="GI101" s="1174"/>
      <c r="GJ101" s="1175"/>
      <c r="GK101" s="1175"/>
      <c r="GL101" s="1175"/>
      <c r="GM101" s="1175"/>
      <c r="GN101" s="1176"/>
      <c r="GO101" s="1185"/>
      <c r="GP101" s="1185"/>
      <c r="GQ101" s="1185"/>
      <c r="GR101" s="1185"/>
      <c r="GS101" s="1185"/>
      <c r="GT101" s="1185"/>
      <c r="GU101" s="1185"/>
      <c r="GV101" s="1185"/>
      <c r="GW101" s="1185"/>
      <c r="GX101" s="1185"/>
      <c r="GY101" s="1185"/>
      <c r="GZ101" s="1185"/>
      <c r="HA101" s="1185"/>
      <c r="HB101" s="1178"/>
      <c r="HC101" s="1178"/>
      <c r="HE101" s="519">
        <v>30</v>
      </c>
      <c r="HF101" s="1179"/>
      <c r="HG101" s="1180"/>
      <c r="HH101" s="1180"/>
      <c r="HI101" s="1180"/>
      <c r="HJ101" s="1180"/>
      <c r="HK101" s="1181"/>
      <c r="HL101" s="1173"/>
      <c r="HM101" s="1173"/>
      <c r="HN101" s="1173"/>
      <c r="HO101" s="1173"/>
      <c r="HP101" s="1173"/>
      <c r="HQ101" s="1173"/>
      <c r="HR101" s="1173"/>
      <c r="HS101" s="1173"/>
      <c r="HT101" s="1173"/>
      <c r="HU101" s="1173"/>
      <c r="HV101" s="1173"/>
      <c r="HW101" s="1173"/>
      <c r="HX101" s="1173"/>
      <c r="HY101" s="1183"/>
      <c r="HZ101" s="1183"/>
    </row>
    <row r="102" spans="2:234" ht="17.149999999999999" customHeight="1" x14ac:dyDescent="0.25">
      <c r="B102" s="519">
        <v>92</v>
      </c>
      <c r="C102" s="1179"/>
      <c r="D102" s="1180"/>
      <c r="E102" s="1180"/>
      <c r="F102" s="1180"/>
      <c r="G102" s="1180"/>
      <c r="H102" s="1181"/>
      <c r="I102" s="1173"/>
      <c r="J102" s="1173"/>
      <c r="K102" s="1173"/>
      <c r="L102" s="1173"/>
      <c r="M102" s="1173"/>
      <c r="N102" s="1173"/>
      <c r="O102" s="1173"/>
      <c r="P102" s="1173"/>
      <c r="Q102" s="1173"/>
      <c r="R102" s="1173"/>
      <c r="S102" s="1173"/>
      <c r="T102" s="1173"/>
      <c r="U102" s="1173"/>
      <c r="V102" s="1183"/>
      <c r="W102" s="1183"/>
      <c r="Y102" s="518">
        <v>31</v>
      </c>
      <c r="Z102" s="1174"/>
      <c r="AA102" s="1175"/>
      <c r="AB102" s="1175"/>
      <c r="AC102" s="1175"/>
      <c r="AD102" s="1175"/>
      <c r="AE102" s="1176"/>
      <c r="AF102" s="1185"/>
      <c r="AG102" s="1185"/>
      <c r="AH102" s="1185"/>
      <c r="AI102" s="1185"/>
      <c r="AJ102" s="1185"/>
      <c r="AK102" s="1185"/>
      <c r="AL102" s="1185"/>
      <c r="AM102" s="1185"/>
      <c r="AN102" s="1185"/>
      <c r="AO102" s="1185"/>
      <c r="AP102" s="1185"/>
      <c r="AQ102" s="1185"/>
      <c r="AR102" s="1185"/>
      <c r="AS102" s="1178"/>
      <c r="AT102" s="1178"/>
      <c r="AW102" s="519">
        <v>92</v>
      </c>
      <c r="AX102" s="1179"/>
      <c r="AY102" s="1180"/>
      <c r="AZ102" s="1180"/>
      <c r="BA102" s="1180"/>
      <c r="BB102" s="1180"/>
      <c r="BC102" s="1181"/>
      <c r="BD102" s="1173"/>
      <c r="BE102" s="1173"/>
      <c r="BF102" s="1173"/>
      <c r="BG102" s="1173"/>
      <c r="BH102" s="1173"/>
      <c r="BI102" s="1173"/>
      <c r="BJ102" s="1173"/>
      <c r="BK102" s="1173"/>
      <c r="BL102" s="1173"/>
      <c r="BM102" s="1173"/>
      <c r="BN102" s="1173"/>
      <c r="BO102" s="1173"/>
      <c r="BP102" s="1173"/>
      <c r="BQ102" s="1183"/>
      <c r="BR102" s="1183"/>
      <c r="BT102" s="518">
        <v>31</v>
      </c>
      <c r="BU102" s="1174"/>
      <c r="BV102" s="1175"/>
      <c r="BW102" s="1175"/>
      <c r="BX102" s="1175"/>
      <c r="BY102" s="1175"/>
      <c r="BZ102" s="1176"/>
      <c r="CA102" s="1185"/>
      <c r="CB102" s="1185"/>
      <c r="CC102" s="1185"/>
      <c r="CD102" s="1185"/>
      <c r="CE102" s="1185"/>
      <c r="CF102" s="1185"/>
      <c r="CG102" s="1185"/>
      <c r="CH102" s="1185"/>
      <c r="CI102" s="1185"/>
      <c r="CJ102" s="1185"/>
      <c r="CK102" s="1185"/>
      <c r="CL102" s="1185"/>
      <c r="CM102" s="1185"/>
      <c r="CN102" s="1178"/>
      <c r="CO102" s="1178"/>
      <c r="CR102" s="519">
        <v>92</v>
      </c>
      <c r="CS102" s="1179"/>
      <c r="CT102" s="1180"/>
      <c r="CU102" s="1180"/>
      <c r="CV102" s="1180"/>
      <c r="CW102" s="1180"/>
      <c r="CX102" s="1181"/>
      <c r="CY102" s="1173"/>
      <c r="CZ102" s="1173"/>
      <c r="DA102" s="1173"/>
      <c r="DB102" s="1173"/>
      <c r="DC102" s="1173"/>
      <c r="DD102" s="1173"/>
      <c r="DE102" s="1173"/>
      <c r="DF102" s="1173"/>
      <c r="DG102" s="1173"/>
      <c r="DH102" s="1173"/>
      <c r="DI102" s="1173"/>
      <c r="DJ102" s="1173"/>
      <c r="DK102" s="1173"/>
      <c r="DL102" s="1183"/>
      <c r="DM102" s="1183"/>
      <c r="DO102" s="518">
        <v>31</v>
      </c>
      <c r="DP102" s="1174"/>
      <c r="DQ102" s="1175"/>
      <c r="DR102" s="1175"/>
      <c r="DS102" s="1175"/>
      <c r="DT102" s="1175"/>
      <c r="DU102" s="1176"/>
      <c r="DV102" s="1185"/>
      <c r="DW102" s="1185"/>
      <c r="DX102" s="1185"/>
      <c r="DY102" s="1185"/>
      <c r="DZ102" s="1185"/>
      <c r="EA102" s="1185"/>
      <c r="EB102" s="1185"/>
      <c r="EC102" s="1185"/>
      <c r="ED102" s="1185"/>
      <c r="EE102" s="1185"/>
      <c r="EF102" s="1185"/>
      <c r="EG102" s="1185"/>
      <c r="EH102" s="1185"/>
      <c r="EI102" s="1178"/>
      <c r="EJ102" s="1178"/>
      <c r="EM102" s="519">
        <v>92</v>
      </c>
      <c r="EN102" s="1179"/>
      <c r="EO102" s="1180"/>
      <c r="EP102" s="1180"/>
      <c r="EQ102" s="1180"/>
      <c r="ER102" s="1180"/>
      <c r="ES102" s="1181"/>
      <c r="ET102" s="1173"/>
      <c r="EU102" s="1173"/>
      <c r="EV102" s="1173"/>
      <c r="EW102" s="1173"/>
      <c r="EX102" s="1173"/>
      <c r="EY102" s="1173"/>
      <c r="EZ102" s="1173"/>
      <c r="FA102" s="1173"/>
      <c r="FB102" s="1173"/>
      <c r="FC102" s="1173"/>
      <c r="FD102" s="1173"/>
      <c r="FE102" s="1173"/>
      <c r="FF102" s="1173"/>
      <c r="FG102" s="1183"/>
      <c r="FH102" s="1183"/>
      <c r="FJ102" s="518">
        <v>31</v>
      </c>
      <c r="FK102" s="1174"/>
      <c r="FL102" s="1175"/>
      <c r="FM102" s="1175"/>
      <c r="FN102" s="1175"/>
      <c r="FO102" s="1175"/>
      <c r="FP102" s="1176"/>
      <c r="FQ102" s="1185"/>
      <c r="FR102" s="1185"/>
      <c r="FS102" s="1185"/>
      <c r="FT102" s="1185"/>
      <c r="FU102" s="1185"/>
      <c r="FV102" s="1185"/>
      <c r="FW102" s="1185"/>
      <c r="FX102" s="1185"/>
      <c r="FY102" s="1185"/>
      <c r="FZ102" s="1185"/>
      <c r="GA102" s="1185"/>
      <c r="GB102" s="1185"/>
      <c r="GC102" s="1185"/>
      <c r="GD102" s="1178"/>
      <c r="GE102" s="1178"/>
      <c r="GH102" s="519">
        <v>92</v>
      </c>
      <c r="GI102" s="1179"/>
      <c r="GJ102" s="1180"/>
      <c r="GK102" s="1180"/>
      <c r="GL102" s="1180"/>
      <c r="GM102" s="1180"/>
      <c r="GN102" s="1181"/>
      <c r="GO102" s="1173"/>
      <c r="GP102" s="1173"/>
      <c r="GQ102" s="1173"/>
      <c r="GR102" s="1173"/>
      <c r="GS102" s="1173"/>
      <c r="GT102" s="1173"/>
      <c r="GU102" s="1173"/>
      <c r="GV102" s="1173"/>
      <c r="GW102" s="1173"/>
      <c r="GX102" s="1173"/>
      <c r="GY102" s="1173"/>
      <c r="GZ102" s="1173"/>
      <c r="HA102" s="1173"/>
      <c r="HB102" s="1183"/>
      <c r="HC102" s="1183"/>
      <c r="HE102" s="518">
        <v>31</v>
      </c>
      <c r="HF102" s="1174"/>
      <c r="HG102" s="1175"/>
      <c r="HH102" s="1175"/>
      <c r="HI102" s="1175"/>
      <c r="HJ102" s="1175"/>
      <c r="HK102" s="1176"/>
      <c r="HL102" s="1185"/>
      <c r="HM102" s="1185"/>
      <c r="HN102" s="1185"/>
      <c r="HO102" s="1185"/>
      <c r="HP102" s="1185"/>
      <c r="HQ102" s="1185"/>
      <c r="HR102" s="1185"/>
      <c r="HS102" s="1185"/>
      <c r="HT102" s="1185"/>
      <c r="HU102" s="1185"/>
      <c r="HV102" s="1185"/>
      <c r="HW102" s="1185"/>
      <c r="HX102" s="1185"/>
      <c r="HY102" s="1178"/>
      <c r="HZ102" s="1178"/>
    </row>
    <row r="103" spans="2:234" ht="17.149999999999999" customHeight="1" x14ac:dyDescent="0.25">
      <c r="B103" s="518">
        <v>93</v>
      </c>
      <c r="C103" s="1174"/>
      <c r="D103" s="1175"/>
      <c r="E103" s="1175"/>
      <c r="F103" s="1175"/>
      <c r="G103" s="1175"/>
      <c r="H103" s="1176"/>
      <c r="I103" s="1185"/>
      <c r="J103" s="1185"/>
      <c r="K103" s="1185"/>
      <c r="L103" s="1185"/>
      <c r="M103" s="1185"/>
      <c r="N103" s="1185"/>
      <c r="O103" s="1185"/>
      <c r="P103" s="1185"/>
      <c r="Q103" s="1185"/>
      <c r="R103" s="1185"/>
      <c r="S103" s="1185"/>
      <c r="T103" s="1185"/>
      <c r="U103" s="1185"/>
      <c r="V103" s="1178"/>
      <c r="W103" s="1178"/>
      <c r="Y103" s="519">
        <v>32</v>
      </c>
      <c r="Z103" s="1179"/>
      <c r="AA103" s="1180"/>
      <c r="AB103" s="1180"/>
      <c r="AC103" s="1180"/>
      <c r="AD103" s="1180"/>
      <c r="AE103" s="1181"/>
      <c r="AF103" s="1173"/>
      <c r="AG103" s="1173"/>
      <c r="AH103" s="1173"/>
      <c r="AI103" s="1173"/>
      <c r="AJ103" s="1173"/>
      <c r="AK103" s="1173"/>
      <c r="AL103" s="1173"/>
      <c r="AM103" s="1173"/>
      <c r="AN103" s="1173"/>
      <c r="AO103" s="1173"/>
      <c r="AP103" s="1173"/>
      <c r="AQ103" s="1173"/>
      <c r="AR103" s="1173"/>
      <c r="AS103" s="1183"/>
      <c r="AT103" s="1183"/>
      <c r="AW103" s="518">
        <v>93</v>
      </c>
      <c r="AX103" s="1174"/>
      <c r="AY103" s="1175"/>
      <c r="AZ103" s="1175"/>
      <c r="BA103" s="1175"/>
      <c r="BB103" s="1175"/>
      <c r="BC103" s="1176"/>
      <c r="BD103" s="1185"/>
      <c r="BE103" s="1185"/>
      <c r="BF103" s="1185"/>
      <c r="BG103" s="1185"/>
      <c r="BH103" s="1185"/>
      <c r="BI103" s="1185"/>
      <c r="BJ103" s="1185"/>
      <c r="BK103" s="1185"/>
      <c r="BL103" s="1185"/>
      <c r="BM103" s="1185"/>
      <c r="BN103" s="1185"/>
      <c r="BO103" s="1185"/>
      <c r="BP103" s="1185"/>
      <c r="BQ103" s="1178"/>
      <c r="BR103" s="1178"/>
      <c r="BT103" s="519">
        <v>32</v>
      </c>
      <c r="BU103" s="1179"/>
      <c r="BV103" s="1180"/>
      <c r="BW103" s="1180"/>
      <c r="BX103" s="1180"/>
      <c r="BY103" s="1180"/>
      <c r="BZ103" s="1181"/>
      <c r="CA103" s="1173"/>
      <c r="CB103" s="1173"/>
      <c r="CC103" s="1173"/>
      <c r="CD103" s="1173"/>
      <c r="CE103" s="1173"/>
      <c r="CF103" s="1173"/>
      <c r="CG103" s="1173"/>
      <c r="CH103" s="1173"/>
      <c r="CI103" s="1173"/>
      <c r="CJ103" s="1173"/>
      <c r="CK103" s="1173"/>
      <c r="CL103" s="1173"/>
      <c r="CM103" s="1173"/>
      <c r="CN103" s="1183"/>
      <c r="CO103" s="1183"/>
      <c r="CR103" s="518">
        <v>93</v>
      </c>
      <c r="CS103" s="1174"/>
      <c r="CT103" s="1175"/>
      <c r="CU103" s="1175"/>
      <c r="CV103" s="1175"/>
      <c r="CW103" s="1175"/>
      <c r="CX103" s="1176"/>
      <c r="CY103" s="1185"/>
      <c r="CZ103" s="1185"/>
      <c r="DA103" s="1185"/>
      <c r="DB103" s="1185"/>
      <c r="DC103" s="1185"/>
      <c r="DD103" s="1185"/>
      <c r="DE103" s="1185"/>
      <c r="DF103" s="1185"/>
      <c r="DG103" s="1185"/>
      <c r="DH103" s="1185"/>
      <c r="DI103" s="1185"/>
      <c r="DJ103" s="1185"/>
      <c r="DK103" s="1185"/>
      <c r="DL103" s="1178"/>
      <c r="DM103" s="1178"/>
      <c r="DO103" s="519">
        <v>32</v>
      </c>
      <c r="DP103" s="1179"/>
      <c r="DQ103" s="1180"/>
      <c r="DR103" s="1180"/>
      <c r="DS103" s="1180"/>
      <c r="DT103" s="1180"/>
      <c r="DU103" s="1181"/>
      <c r="DV103" s="1173"/>
      <c r="DW103" s="1173"/>
      <c r="DX103" s="1173"/>
      <c r="DY103" s="1173"/>
      <c r="DZ103" s="1173"/>
      <c r="EA103" s="1173"/>
      <c r="EB103" s="1173"/>
      <c r="EC103" s="1173"/>
      <c r="ED103" s="1173"/>
      <c r="EE103" s="1173"/>
      <c r="EF103" s="1173"/>
      <c r="EG103" s="1173"/>
      <c r="EH103" s="1173"/>
      <c r="EI103" s="1183"/>
      <c r="EJ103" s="1183"/>
      <c r="EM103" s="518">
        <v>93</v>
      </c>
      <c r="EN103" s="1174"/>
      <c r="EO103" s="1175"/>
      <c r="EP103" s="1175"/>
      <c r="EQ103" s="1175"/>
      <c r="ER103" s="1175"/>
      <c r="ES103" s="1176"/>
      <c r="ET103" s="1185"/>
      <c r="EU103" s="1185"/>
      <c r="EV103" s="1185"/>
      <c r="EW103" s="1185"/>
      <c r="EX103" s="1185"/>
      <c r="EY103" s="1185"/>
      <c r="EZ103" s="1185"/>
      <c r="FA103" s="1185"/>
      <c r="FB103" s="1185"/>
      <c r="FC103" s="1185"/>
      <c r="FD103" s="1185"/>
      <c r="FE103" s="1185"/>
      <c r="FF103" s="1185"/>
      <c r="FG103" s="1178"/>
      <c r="FH103" s="1178"/>
      <c r="FJ103" s="519">
        <v>32</v>
      </c>
      <c r="FK103" s="1179"/>
      <c r="FL103" s="1180"/>
      <c r="FM103" s="1180"/>
      <c r="FN103" s="1180"/>
      <c r="FO103" s="1180"/>
      <c r="FP103" s="1181"/>
      <c r="FQ103" s="1173"/>
      <c r="FR103" s="1173"/>
      <c r="FS103" s="1173"/>
      <c r="FT103" s="1173"/>
      <c r="FU103" s="1173"/>
      <c r="FV103" s="1173"/>
      <c r="FW103" s="1173"/>
      <c r="FX103" s="1173"/>
      <c r="FY103" s="1173"/>
      <c r="FZ103" s="1173"/>
      <c r="GA103" s="1173"/>
      <c r="GB103" s="1173"/>
      <c r="GC103" s="1173"/>
      <c r="GD103" s="1183"/>
      <c r="GE103" s="1183"/>
      <c r="GH103" s="518">
        <v>93</v>
      </c>
      <c r="GI103" s="1174"/>
      <c r="GJ103" s="1175"/>
      <c r="GK103" s="1175"/>
      <c r="GL103" s="1175"/>
      <c r="GM103" s="1175"/>
      <c r="GN103" s="1176"/>
      <c r="GO103" s="1185"/>
      <c r="GP103" s="1185"/>
      <c r="GQ103" s="1185"/>
      <c r="GR103" s="1185"/>
      <c r="GS103" s="1185"/>
      <c r="GT103" s="1185"/>
      <c r="GU103" s="1185"/>
      <c r="GV103" s="1185"/>
      <c r="GW103" s="1185"/>
      <c r="GX103" s="1185"/>
      <c r="GY103" s="1185"/>
      <c r="GZ103" s="1185"/>
      <c r="HA103" s="1185"/>
      <c r="HB103" s="1178"/>
      <c r="HC103" s="1178"/>
      <c r="HE103" s="519">
        <v>32</v>
      </c>
      <c r="HF103" s="1179"/>
      <c r="HG103" s="1180"/>
      <c r="HH103" s="1180"/>
      <c r="HI103" s="1180"/>
      <c r="HJ103" s="1180"/>
      <c r="HK103" s="1181"/>
      <c r="HL103" s="1173"/>
      <c r="HM103" s="1173"/>
      <c r="HN103" s="1173"/>
      <c r="HO103" s="1173"/>
      <c r="HP103" s="1173"/>
      <c r="HQ103" s="1173"/>
      <c r="HR103" s="1173"/>
      <c r="HS103" s="1173"/>
      <c r="HT103" s="1173"/>
      <c r="HU103" s="1173"/>
      <c r="HV103" s="1173"/>
      <c r="HW103" s="1173"/>
      <c r="HX103" s="1173"/>
      <c r="HY103" s="1183"/>
      <c r="HZ103" s="1183"/>
    </row>
    <row r="104" spans="2:234" ht="17.149999999999999" customHeight="1" x14ac:dyDescent="0.25">
      <c r="B104" s="519">
        <v>94</v>
      </c>
      <c r="C104" s="1179"/>
      <c r="D104" s="1180"/>
      <c r="E104" s="1180"/>
      <c r="F104" s="1180"/>
      <c r="G104" s="1180"/>
      <c r="H104" s="1181"/>
      <c r="I104" s="1173"/>
      <c r="J104" s="1173"/>
      <c r="K104" s="1173"/>
      <c r="L104" s="1173"/>
      <c r="M104" s="1173"/>
      <c r="N104" s="1173"/>
      <c r="O104" s="1173"/>
      <c r="P104" s="1173"/>
      <c r="Q104" s="1173"/>
      <c r="R104" s="1173"/>
      <c r="S104" s="1173"/>
      <c r="T104" s="1173"/>
      <c r="U104" s="1173"/>
      <c r="V104" s="1183"/>
      <c r="W104" s="1183"/>
      <c r="Y104" s="518">
        <v>33</v>
      </c>
      <c r="Z104" s="1174"/>
      <c r="AA104" s="1175"/>
      <c r="AB104" s="1175"/>
      <c r="AC104" s="1175"/>
      <c r="AD104" s="1175"/>
      <c r="AE104" s="1176"/>
      <c r="AF104" s="1185"/>
      <c r="AG104" s="1185"/>
      <c r="AH104" s="1185"/>
      <c r="AI104" s="1185"/>
      <c r="AJ104" s="1185"/>
      <c r="AK104" s="1185"/>
      <c r="AL104" s="1185"/>
      <c r="AM104" s="1185"/>
      <c r="AN104" s="1185"/>
      <c r="AO104" s="1185"/>
      <c r="AP104" s="1185"/>
      <c r="AQ104" s="1185"/>
      <c r="AR104" s="1185"/>
      <c r="AS104" s="1178"/>
      <c r="AT104" s="1178"/>
      <c r="AW104" s="519">
        <v>94</v>
      </c>
      <c r="AX104" s="1179"/>
      <c r="AY104" s="1180"/>
      <c r="AZ104" s="1180"/>
      <c r="BA104" s="1180"/>
      <c r="BB104" s="1180"/>
      <c r="BC104" s="1181"/>
      <c r="BD104" s="1173"/>
      <c r="BE104" s="1173"/>
      <c r="BF104" s="1173"/>
      <c r="BG104" s="1173"/>
      <c r="BH104" s="1173"/>
      <c r="BI104" s="1173"/>
      <c r="BJ104" s="1173"/>
      <c r="BK104" s="1173"/>
      <c r="BL104" s="1173"/>
      <c r="BM104" s="1173"/>
      <c r="BN104" s="1173"/>
      <c r="BO104" s="1173"/>
      <c r="BP104" s="1173"/>
      <c r="BQ104" s="1183"/>
      <c r="BR104" s="1183"/>
      <c r="BT104" s="518">
        <v>33</v>
      </c>
      <c r="BU104" s="1174"/>
      <c r="BV104" s="1175"/>
      <c r="BW104" s="1175"/>
      <c r="BX104" s="1175"/>
      <c r="BY104" s="1175"/>
      <c r="BZ104" s="1176"/>
      <c r="CA104" s="1185"/>
      <c r="CB104" s="1185"/>
      <c r="CC104" s="1185"/>
      <c r="CD104" s="1185"/>
      <c r="CE104" s="1185"/>
      <c r="CF104" s="1185"/>
      <c r="CG104" s="1185"/>
      <c r="CH104" s="1185"/>
      <c r="CI104" s="1185"/>
      <c r="CJ104" s="1185"/>
      <c r="CK104" s="1185"/>
      <c r="CL104" s="1185"/>
      <c r="CM104" s="1185"/>
      <c r="CN104" s="1178"/>
      <c r="CO104" s="1178"/>
      <c r="CR104" s="519">
        <v>94</v>
      </c>
      <c r="CS104" s="1179"/>
      <c r="CT104" s="1180"/>
      <c r="CU104" s="1180"/>
      <c r="CV104" s="1180"/>
      <c r="CW104" s="1180"/>
      <c r="CX104" s="1181"/>
      <c r="CY104" s="1173"/>
      <c r="CZ104" s="1173"/>
      <c r="DA104" s="1173"/>
      <c r="DB104" s="1173"/>
      <c r="DC104" s="1173"/>
      <c r="DD104" s="1173"/>
      <c r="DE104" s="1173"/>
      <c r="DF104" s="1173"/>
      <c r="DG104" s="1173"/>
      <c r="DH104" s="1173"/>
      <c r="DI104" s="1173"/>
      <c r="DJ104" s="1173"/>
      <c r="DK104" s="1173"/>
      <c r="DL104" s="1183"/>
      <c r="DM104" s="1183"/>
      <c r="DO104" s="518">
        <v>33</v>
      </c>
      <c r="DP104" s="1174"/>
      <c r="DQ104" s="1175"/>
      <c r="DR104" s="1175"/>
      <c r="DS104" s="1175"/>
      <c r="DT104" s="1175"/>
      <c r="DU104" s="1176"/>
      <c r="DV104" s="1185"/>
      <c r="DW104" s="1185"/>
      <c r="DX104" s="1185"/>
      <c r="DY104" s="1185"/>
      <c r="DZ104" s="1185"/>
      <c r="EA104" s="1185"/>
      <c r="EB104" s="1185"/>
      <c r="EC104" s="1185"/>
      <c r="ED104" s="1185"/>
      <c r="EE104" s="1185"/>
      <c r="EF104" s="1185"/>
      <c r="EG104" s="1185"/>
      <c r="EH104" s="1185"/>
      <c r="EI104" s="1178"/>
      <c r="EJ104" s="1178"/>
      <c r="EM104" s="519">
        <v>94</v>
      </c>
      <c r="EN104" s="1179"/>
      <c r="EO104" s="1180"/>
      <c r="EP104" s="1180"/>
      <c r="EQ104" s="1180"/>
      <c r="ER104" s="1180"/>
      <c r="ES104" s="1181"/>
      <c r="ET104" s="1173"/>
      <c r="EU104" s="1173"/>
      <c r="EV104" s="1173"/>
      <c r="EW104" s="1173"/>
      <c r="EX104" s="1173"/>
      <c r="EY104" s="1173"/>
      <c r="EZ104" s="1173"/>
      <c r="FA104" s="1173"/>
      <c r="FB104" s="1173"/>
      <c r="FC104" s="1173"/>
      <c r="FD104" s="1173"/>
      <c r="FE104" s="1173"/>
      <c r="FF104" s="1173"/>
      <c r="FG104" s="1183"/>
      <c r="FH104" s="1183"/>
      <c r="FJ104" s="518">
        <v>33</v>
      </c>
      <c r="FK104" s="1174"/>
      <c r="FL104" s="1175"/>
      <c r="FM104" s="1175"/>
      <c r="FN104" s="1175"/>
      <c r="FO104" s="1175"/>
      <c r="FP104" s="1176"/>
      <c r="FQ104" s="1185"/>
      <c r="FR104" s="1185"/>
      <c r="FS104" s="1185"/>
      <c r="FT104" s="1185"/>
      <c r="FU104" s="1185"/>
      <c r="FV104" s="1185"/>
      <c r="FW104" s="1185"/>
      <c r="FX104" s="1185"/>
      <c r="FY104" s="1185"/>
      <c r="FZ104" s="1185"/>
      <c r="GA104" s="1185"/>
      <c r="GB104" s="1185"/>
      <c r="GC104" s="1185"/>
      <c r="GD104" s="1178"/>
      <c r="GE104" s="1178"/>
      <c r="GH104" s="519">
        <v>94</v>
      </c>
      <c r="GI104" s="1179"/>
      <c r="GJ104" s="1180"/>
      <c r="GK104" s="1180"/>
      <c r="GL104" s="1180"/>
      <c r="GM104" s="1180"/>
      <c r="GN104" s="1181"/>
      <c r="GO104" s="1173"/>
      <c r="GP104" s="1173"/>
      <c r="GQ104" s="1173"/>
      <c r="GR104" s="1173"/>
      <c r="GS104" s="1173"/>
      <c r="GT104" s="1173"/>
      <c r="GU104" s="1173"/>
      <c r="GV104" s="1173"/>
      <c r="GW104" s="1173"/>
      <c r="GX104" s="1173"/>
      <c r="GY104" s="1173"/>
      <c r="GZ104" s="1173"/>
      <c r="HA104" s="1173"/>
      <c r="HB104" s="1183"/>
      <c r="HC104" s="1183"/>
      <c r="HE104" s="518">
        <v>33</v>
      </c>
      <c r="HF104" s="1174"/>
      <c r="HG104" s="1175"/>
      <c r="HH104" s="1175"/>
      <c r="HI104" s="1175"/>
      <c r="HJ104" s="1175"/>
      <c r="HK104" s="1176"/>
      <c r="HL104" s="1185"/>
      <c r="HM104" s="1185"/>
      <c r="HN104" s="1185"/>
      <c r="HO104" s="1185"/>
      <c r="HP104" s="1185"/>
      <c r="HQ104" s="1185"/>
      <c r="HR104" s="1185"/>
      <c r="HS104" s="1185"/>
      <c r="HT104" s="1185"/>
      <c r="HU104" s="1185"/>
      <c r="HV104" s="1185"/>
      <c r="HW104" s="1185"/>
      <c r="HX104" s="1185"/>
      <c r="HY104" s="1178"/>
      <c r="HZ104" s="1178"/>
    </row>
    <row r="105" spans="2:234" ht="17.149999999999999" customHeight="1" x14ac:dyDescent="0.25">
      <c r="B105" s="518">
        <v>95</v>
      </c>
      <c r="C105" s="1174"/>
      <c r="D105" s="1175"/>
      <c r="E105" s="1175"/>
      <c r="F105" s="1175"/>
      <c r="G105" s="1175"/>
      <c r="H105" s="1176"/>
      <c r="I105" s="1185"/>
      <c r="J105" s="1185"/>
      <c r="K105" s="1185"/>
      <c r="L105" s="1185"/>
      <c r="M105" s="1185"/>
      <c r="N105" s="1185"/>
      <c r="O105" s="1185"/>
      <c r="P105" s="1185"/>
      <c r="Q105" s="1185"/>
      <c r="R105" s="1185"/>
      <c r="S105" s="1185"/>
      <c r="T105" s="1185"/>
      <c r="U105" s="1185"/>
      <c r="V105" s="1178"/>
      <c r="W105" s="1178"/>
      <c r="Y105" s="519">
        <v>34</v>
      </c>
      <c r="Z105" s="1179"/>
      <c r="AA105" s="1180"/>
      <c r="AB105" s="1180"/>
      <c r="AC105" s="1180"/>
      <c r="AD105" s="1180"/>
      <c r="AE105" s="1181"/>
      <c r="AF105" s="1173"/>
      <c r="AG105" s="1173"/>
      <c r="AH105" s="1173"/>
      <c r="AI105" s="1173"/>
      <c r="AJ105" s="1173"/>
      <c r="AK105" s="1173"/>
      <c r="AL105" s="1173"/>
      <c r="AM105" s="1173"/>
      <c r="AN105" s="1173"/>
      <c r="AO105" s="1173"/>
      <c r="AP105" s="1173"/>
      <c r="AQ105" s="1173"/>
      <c r="AR105" s="1173"/>
      <c r="AS105" s="1183"/>
      <c r="AT105" s="1183"/>
      <c r="AW105" s="518">
        <v>95</v>
      </c>
      <c r="AX105" s="1174"/>
      <c r="AY105" s="1175"/>
      <c r="AZ105" s="1175"/>
      <c r="BA105" s="1175"/>
      <c r="BB105" s="1175"/>
      <c r="BC105" s="1176"/>
      <c r="BD105" s="1185"/>
      <c r="BE105" s="1185"/>
      <c r="BF105" s="1185"/>
      <c r="BG105" s="1185"/>
      <c r="BH105" s="1185"/>
      <c r="BI105" s="1185"/>
      <c r="BJ105" s="1185"/>
      <c r="BK105" s="1185"/>
      <c r="BL105" s="1185"/>
      <c r="BM105" s="1185"/>
      <c r="BN105" s="1185"/>
      <c r="BO105" s="1185"/>
      <c r="BP105" s="1185"/>
      <c r="BQ105" s="1178"/>
      <c r="BR105" s="1178"/>
      <c r="BT105" s="519">
        <v>34</v>
      </c>
      <c r="BU105" s="1179"/>
      <c r="BV105" s="1180"/>
      <c r="BW105" s="1180"/>
      <c r="BX105" s="1180"/>
      <c r="BY105" s="1180"/>
      <c r="BZ105" s="1181"/>
      <c r="CA105" s="1173"/>
      <c r="CB105" s="1173"/>
      <c r="CC105" s="1173"/>
      <c r="CD105" s="1173"/>
      <c r="CE105" s="1173"/>
      <c r="CF105" s="1173"/>
      <c r="CG105" s="1173"/>
      <c r="CH105" s="1173"/>
      <c r="CI105" s="1173"/>
      <c r="CJ105" s="1173"/>
      <c r="CK105" s="1173"/>
      <c r="CL105" s="1173"/>
      <c r="CM105" s="1173"/>
      <c r="CN105" s="1183"/>
      <c r="CO105" s="1183"/>
      <c r="CR105" s="518">
        <v>95</v>
      </c>
      <c r="CS105" s="1174"/>
      <c r="CT105" s="1175"/>
      <c r="CU105" s="1175"/>
      <c r="CV105" s="1175"/>
      <c r="CW105" s="1175"/>
      <c r="CX105" s="1176"/>
      <c r="CY105" s="1185"/>
      <c r="CZ105" s="1185"/>
      <c r="DA105" s="1185"/>
      <c r="DB105" s="1185"/>
      <c r="DC105" s="1185"/>
      <c r="DD105" s="1185"/>
      <c r="DE105" s="1185"/>
      <c r="DF105" s="1185"/>
      <c r="DG105" s="1185"/>
      <c r="DH105" s="1185"/>
      <c r="DI105" s="1185"/>
      <c r="DJ105" s="1185"/>
      <c r="DK105" s="1185"/>
      <c r="DL105" s="1178"/>
      <c r="DM105" s="1178"/>
      <c r="DO105" s="519">
        <v>34</v>
      </c>
      <c r="DP105" s="1179"/>
      <c r="DQ105" s="1180"/>
      <c r="DR105" s="1180"/>
      <c r="DS105" s="1180"/>
      <c r="DT105" s="1180"/>
      <c r="DU105" s="1181"/>
      <c r="DV105" s="1173"/>
      <c r="DW105" s="1173"/>
      <c r="DX105" s="1173"/>
      <c r="DY105" s="1173"/>
      <c r="DZ105" s="1173"/>
      <c r="EA105" s="1173"/>
      <c r="EB105" s="1173"/>
      <c r="EC105" s="1173"/>
      <c r="ED105" s="1173"/>
      <c r="EE105" s="1173"/>
      <c r="EF105" s="1173"/>
      <c r="EG105" s="1173"/>
      <c r="EH105" s="1173"/>
      <c r="EI105" s="1183"/>
      <c r="EJ105" s="1183"/>
      <c r="EM105" s="518">
        <v>95</v>
      </c>
      <c r="EN105" s="1174"/>
      <c r="EO105" s="1175"/>
      <c r="EP105" s="1175"/>
      <c r="EQ105" s="1175"/>
      <c r="ER105" s="1175"/>
      <c r="ES105" s="1176"/>
      <c r="ET105" s="1185"/>
      <c r="EU105" s="1185"/>
      <c r="EV105" s="1185"/>
      <c r="EW105" s="1185"/>
      <c r="EX105" s="1185"/>
      <c r="EY105" s="1185"/>
      <c r="EZ105" s="1185"/>
      <c r="FA105" s="1185"/>
      <c r="FB105" s="1185"/>
      <c r="FC105" s="1185"/>
      <c r="FD105" s="1185"/>
      <c r="FE105" s="1185"/>
      <c r="FF105" s="1185"/>
      <c r="FG105" s="1178"/>
      <c r="FH105" s="1178"/>
      <c r="FJ105" s="519">
        <v>34</v>
      </c>
      <c r="FK105" s="1179"/>
      <c r="FL105" s="1180"/>
      <c r="FM105" s="1180"/>
      <c r="FN105" s="1180"/>
      <c r="FO105" s="1180"/>
      <c r="FP105" s="1181"/>
      <c r="FQ105" s="1173"/>
      <c r="FR105" s="1173"/>
      <c r="FS105" s="1173"/>
      <c r="FT105" s="1173"/>
      <c r="FU105" s="1173"/>
      <c r="FV105" s="1173"/>
      <c r="FW105" s="1173"/>
      <c r="FX105" s="1173"/>
      <c r="FY105" s="1173"/>
      <c r="FZ105" s="1173"/>
      <c r="GA105" s="1173"/>
      <c r="GB105" s="1173"/>
      <c r="GC105" s="1173"/>
      <c r="GD105" s="1183"/>
      <c r="GE105" s="1183"/>
      <c r="GH105" s="518">
        <v>95</v>
      </c>
      <c r="GI105" s="1174"/>
      <c r="GJ105" s="1175"/>
      <c r="GK105" s="1175"/>
      <c r="GL105" s="1175"/>
      <c r="GM105" s="1175"/>
      <c r="GN105" s="1176"/>
      <c r="GO105" s="1185"/>
      <c r="GP105" s="1185"/>
      <c r="GQ105" s="1185"/>
      <c r="GR105" s="1185"/>
      <c r="GS105" s="1185"/>
      <c r="GT105" s="1185"/>
      <c r="GU105" s="1185"/>
      <c r="GV105" s="1185"/>
      <c r="GW105" s="1185"/>
      <c r="GX105" s="1185"/>
      <c r="GY105" s="1185"/>
      <c r="GZ105" s="1185"/>
      <c r="HA105" s="1185"/>
      <c r="HB105" s="1178"/>
      <c r="HC105" s="1178"/>
      <c r="HE105" s="519">
        <v>34</v>
      </c>
      <c r="HF105" s="1179"/>
      <c r="HG105" s="1180"/>
      <c r="HH105" s="1180"/>
      <c r="HI105" s="1180"/>
      <c r="HJ105" s="1180"/>
      <c r="HK105" s="1181"/>
      <c r="HL105" s="1173"/>
      <c r="HM105" s="1173"/>
      <c r="HN105" s="1173"/>
      <c r="HO105" s="1173"/>
      <c r="HP105" s="1173"/>
      <c r="HQ105" s="1173"/>
      <c r="HR105" s="1173"/>
      <c r="HS105" s="1173"/>
      <c r="HT105" s="1173"/>
      <c r="HU105" s="1173"/>
      <c r="HV105" s="1173"/>
      <c r="HW105" s="1173"/>
      <c r="HX105" s="1173"/>
      <c r="HY105" s="1183"/>
      <c r="HZ105" s="1183"/>
    </row>
    <row r="106" spans="2:234" ht="17.149999999999999" customHeight="1" x14ac:dyDescent="0.25">
      <c r="B106" s="519">
        <v>96</v>
      </c>
      <c r="C106" s="1179"/>
      <c r="D106" s="1180"/>
      <c r="E106" s="1180"/>
      <c r="F106" s="1180"/>
      <c r="G106" s="1180"/>
      <c r="H106" s="1181"/>
      <c r="I106" s="1173"/>
      <c r="J106" s="1173"/>
      <c r="K106" s="1173"/>
      <c r="L106" s="1173"/>
      <c r="M106" s="1173"/>
      <c r="N106" s="1173"/>
      <c r="O106" s="1173"/>
      <c r="P106" s="1173"/>
      <c r="Q106" s="1173"/>
      <c r="R106" s="1173"/>
      <c r="S106" s="1173"/>
      <c r="T106" s="1173"/>
      <c r="U106" s="1173"/>
      <c r="V106" s="1183"/>
      <c r="W106" s="1183"/>
      <c r="Y106" s="518">
        <v>35</v>
      </c>
      <c r="Z106" s="1174"/>
      <c r="AA106" s="1175"/>
      <c r="AB106" s="1175"/>
      <c r="AC106" s="1175"/>
      <c r="AD106" s="1175"/>
      <c r="AE106" s="1176"/>
      <c r="AF106" s="1185"/>
      <c r="AG106" s="1185"/>
      <c r="AH106" s="1185"/>
      <c r="AI106" s="1185"/>
      <c r="AJ106" s="1185"/>
      <c r="AK106" s="1185"/>
      <c r="AL106" s="1185"/>
      <c r="AM106" s="1185"/>
      <c r="AN106" s="1185"/>
      <c r="AO106" s="1185"/>
      <c r="AP106" s="1185"/>
      <c r="AQ106" s="1185"/>
      <c r="AR106" s="1185"/>
      <c r="AS106" s="1178"/>
      <c r="AT106" s="1178"/>
      <c r="AW106" s="519">
        <v>96</v>
      </c>
      <c r="AX106" s="1179"/>
      <c r="AY106" s="1180"/>
      <c r="AZ106" s="1180"/>
      <c r="BA106" s="1180"/>
      <c r="BB106" s="1180"/>
      <c r="BC106" s="1181"/>
      <c r="BD106" s="1173"/>
      <c r="BE106" s="1173"/>
      <c r="BF106" s="1173"/>
      <c r="BG106" s="1173"/>
      <c r="BH106" s="1173"/>
      <c r="BI106" s="1173"/>
      <c r="BJ106" s="1173"/>
      <c r="BK106" s="1173"/>
      <c r="BL106" s="1173"/>
      <c r="BM106" s="1173"/>
      <c r="BN106" s="1173"/>
      <c r="BO106" s="1173"/>
      <c r="BP106" s="1173"/>
      <c r="BQ106" s="1183"/>
      <c r="BR106" s="1183"/>
      <c r="BT106" s="518">
        <v>35</v>
      </c>
      <c r="BU106" s="1174"/>
      <c r="BV106" s="1175"/>
      <c r="BW106" s="1175"/>
      <c r="BX106" s="1175"/>
      <c r="BY106" s="1175"/>
      <c r="BZ106" s="1176"/>
      <c r="CA106" s="1185"/>
      <c r="CB106" s="1185"/>
      <c r="CC106" s="1185"/>
      <c r="CD106" s="1185"/>
      <c r="CE106" s="1185"/>
      <c r="CF106" s="1185"/>
      <c r="CG106" s="1185"/>
      <c r="CH106" s="1185"/>
      <c r="CI106" s="1185"/>
      <c r="CJ106" s="1185"/>
      <c r="CK106" s="1185"/>
      <c r="CL106" s="1185"/>
      <c r="CM106" s="1185"/>
      <c r="CN106" s="1178"/>
      <c r="CO106" s="1178"/>
      <c r="CR106" s="519">
        <v>96</v>
      </c>
      <c r="CS106" s="1179"/>
      <c r="CT106" s="1180"/>
      <c r="CU106" s="1180"/>
      <c r="CV106" s="1180"/>
      <c r="CW106" s="1180"/>
      <c r="CX106" s="1181"/>
      <c r="CY106" s="1173"/>
      <c r="CZ106" s="1173"/>
      <c r="DA106" s="1173"/>
      <c r="DB106" s="1173"/>
      <c r="DC106" s="1173"/>
      <c r="DD106" s="1173"/>
      <c r="DE106" s="1173"/>
      <c r="DF106" s="1173"/>
      <c r="DG106" s="1173"/>
      <c r="DH106" s="1173"/>
      <c r="DI106" s="1173"/>
      <c r="DJ106" s="1173"/>
      <c r="DK106" s="1173"/>
      <c r="DL106" s="1183"/>
      <c r="DM106" s="1183"/>
      <c r="DO106" s="518">
        <v>35</v>
      </c>
      <c r="DP106" s="1174"/>
      <c r="DQ106" s="1175"/>
      <c r="DR106" s="1175"/>
      <c r="DS106" s="1175"/>
      <c r="DT106" s="1175"/>
      <c r="DU106" s="1176"/>
      <c r="DV106" s="1185"/>
      <c r="DW106" s="1185"/>
      <c r="DX106" s="1185"/>
      <c r="DY106" s="1185"/>
      <c r="DZ106" s="1185"/>
      <c r="EA106" s="1185"/>
      <c r="EB106" s="1185"/>
      <c r="EC106" s="1185"/>
      <c r="ED106" s="1185"/>
      <c r="EE106" s="1185"/>
      <c r="EF106" s="1185"/>
      <c r="EG106" s="1185"/>
      <c r="EH106" s="1185"/>
      <c r="EI106" s="1178"/>
      <c r="EJ106" s="1178"/>
      <c r="EM106" s="519">
        <v>96</v>
      </c>
      <c r="EN106" s="1179"/>
      <c r="EO106" s="1180"/>
      <c r="EP106" s="1180"/>
      <c r="EQ106" s="1180"/>
      <c r="ER106" s="1180"/>
      <c r="ES106" s="1181"/>
      <c r="ET106" s="1173"/>
      <c r="EU106" s="1173"/>
      <c r="EV106" s="1173"/>
      <c r="EW106" s="1173"/>
      <c r="EX106" s="1173"/>
      <c r="EY106" s="1173"/>
      <c r="EZ106" s="1173"/>
      <c r="FA106" s="1173"/>
      <c r="FB106" s="1173"/>
      <c r="FC106" s="1173"/>
      <c r="FD106" s="1173"/>
      <c r="FE106" s="1173"/>
      <c r="FF106" s="1173"/>
      <c r="FG106" s="1183"/>
      <c r="FH106" s="1183"/>
      <c r="FJ106" s="518">
        <v>35</v>
      </c>
      <c r="FK106" s="1174"/>
      <c r="FL106" s="1175"/>
      <c r="FM106" s="1175"/>
      <c r="FN106" s="1175"/>
      <c r="FO106" s="1175"/>
      <c r="FP106" s="1176"/>
      <c r="FQ106" s="1185"/>
      <c r="FR106" s="1185"/>
      <c r="FS106" s="1185"/>
      <c r="FT106" s="1185"/>
      <c r="FU106" s="1185"/>
      <c r="FV106" s="1185"/>
      <c r="FW106" s="1185"/>
      <c r="FX106" s="1185"/>
      <c r="FY106" s="1185"/>
      <c r="FZ106" s="1185"/>
      <c r="GA106" s="1185"/>
      <c r="GB106" s="1185"/>
      <c r="GC106" s="1185"/>
      <c r="GD106" s="1178"/>
      <c r="GE106" s="1178"/>
      <c r="GH106" s="519">
        <v>96</v>
      </c>
      <c r="GI106" s="1179"/>
      <c r="GJ106" s="1180"/>
      <c r="GK106" s="1180"/>
      <c r="GL106" s="1180"/>
      <c r="GM106" s="1180"/>
      <c r="GN106" s="1181"/>
      <c r="GO106" s="1173"/>
      <c r="GP106" s="1173"/>
      <c r="GQ106" s="1173"/>
      <c r="GR106" s="1173"/>
      <c r="GS106" s="1173"/>
      <c r="GT106" s="1173"/>
      <c r="GU106" s="1173"/>
      <c r="GV106" s="1173"/>
      <c r="GW106" s="1173"/>
      <c r="GX106" s="1173"/>
      <c r="GY106" s="1173"/>
      <c r="GZ106" s="1173"/>
      <c r="HA106" s="1173"/>
      <c r="HB106" s="1183"/>
      <c r="HC106" s="1183"/>
      <c r="HE106" s="518">
        <v>35</v>
      </c>
      <c r="HF106" s="1174"/>
      <c r="HG106" s="1175"/>
      <c r="HH106" s="1175"/>
      <c r="HI106" s="1175"/>
      <c r="HJ106" s="1175"/>
      <c r="HK106" s="1176"/>
      <c r="HL106" s="1185"/>
      <c r="HM106" s="1185"/>
      <c r="HN106" s="1185"/>
      <c r="HO106" s="1185"/>
      <c r="HP106" s="1185"/>
      <c r="HQ106" s="1185"/>
      <c r="HR106" s="1185"/>
      <c r="HS106" s="1185"/>
      <c r="HT106" s="1185"/>
      <c r="HU106" s="1185"/>
      <c r="HV106" s="1185"/>
      <c r="HW106" s="1185"/>
      <c r="HX106" s="1185"/>
      <c r="HY106" s="1178"/>
      <c r="HZ106" s="1178"/>
    </row>
    <row r="107" spans="2:234" ht="17.149999999999999" customHeight="1" x14ac:dyDescent="0.25">
      <c r="B107" s="518">
        <v>97</v>
      </c>
      <c r="C107" s="1174"/>
      <c r="D107" s="1175"/>
      <c r="E107" s="1175"/>
      <c r="F107" s="1175"/>
      <c r="G107" s="1175"/>
      <c r="H107" s="1176"/>
      <c r="I107" s="1185"/>
      <c r="J107" s="1185"/>
      <c r="K107" s="1185"/>
      <c r="L107" s="1185"/>
      <c r="M107" s="1185"/>
      <c r="N107" s="1185"/>
      <c r="O107" s="1185"/>
      <c r="P107" s="1185"/>
      <c r="Q107" s="1185"/>
      <c r="R107" s="1185"/>
      <c r="S107" s="1185"/>
      <c r="T107" s="1185"/>
      <c r="U107" s="1185"/>
      <c r="V107" s="1178"/>
      <c r="W107" s="1178"/>
      <c r="Y107" s="519">
        <v>36</v>
      </c>
      <c r="Z107" s="1179"/>
      <c r="AA107" s="1180"/>
      <c r="AB107" s="1180"/>
      <c r="AC107" s="1180"/>
      <c r="AD107" s="1180"/>
      <c r="AE107" s="1181"/>
      <c r="AF107" s="1173"/>
      <c r="AG107" s="1173"/>
      <c r="AH107" s="1173"/>
      <c r="AI107" s="1173"/>
      <c r="AJ107" s="1173"/>
      <c r="AK107" s="1173"/>
      <c r="AL107" s="1173"/>
      <c r="AM107" s="1173"/>
      <c r="AN107" s="1173"/>
      <c r="AO107" s="1173"/>
      <c r="AP107" s="1173"/>
      <c r="AQ107" s="1173"/>
      <c r="AR107" s="1173"/>
      <c r="AS107" s="1183"/>
      <c r="AT107" s="1183"/>
      <c r="AW107" s="518">
        <v>97</v>
      </c>
      <c r="AX107" s="1174"/>
      <c r="AY107" s="1175"/>
      <c r="AZ107" s="1175"/>
      <c r="BA107" s="1175"/>
      <c r="BB107" s="1175"/>
      <c r="BC107" s="1176"/>
      <c r="BD107" s="1185"/>
      <c r="BE107" s="1185"/>
      <c r="BF107" s="1185"/>
      <c r="BG107" s="1185"/>
      <c r="BH107" s="1185"/>
      <c r="BI107" s="1185"/>
      <c r="BJ107" s="1185"/>
      <c r="BK107" s="1185"/>
      <c r="BL107" s="1185"/>
      <c r="BM107" s="1185"/>
      <c r="BN107" s="1185"/>
      <c r="BO107" s="1185"/>
      <c r="BP107" s="1185"/>
      <c r="BQ107" s="1178"/>
      <c r="BR107" s="1178"/>
      <c r="BT107" s="519">
        <v>36</v>
      </c>
      <c r="BU107" s="1179"/>
      <c r="BV107" s="1180"/>
      <c r="BW107" s="1180"/>
      <c r="BX107" s="1180"/>
      <c r="BY107" s="1180"/>
      <c r="BZ107" s="1181"/>
      <c r="CA107" s="1173"/>
      <c r="CB107" s="1173"/>
      <c r="CC107" s="1173"/>
      <c r="CD107" s="1173"/>
      <c r="CE107" s="1173"/>
      <c r="CF107" s="1173"/>
      <c r="CG107" s="1173"/>
      <c r="CH107" s="1173"/>
      <c r="CI107" s="1173"/>
      <c r="CJ107" s="1173"/>
      <c r="CK107" s="1173"/>
      <c r="CL107" s="1173"/>
      <c r="CM107" s="1173"/>
      <c r="CN107" s="1183"/>
      <c r="CO107" s="1183"/>
      <c r="CR107" s="518">
        <v>97</v>
      </c>
      <c r="CS107" s="1174"/>
      <c r="CT107" s="1175"/>
      <c r="CU107" s="1175"/>
      <c r="CV107" s="1175"/>
      <c r="CW107" s="1175"/>
      <c r="CX107" s="1176"/>
      <c r="CY107" s="1185"/>
      <c r="CZ107" s="1185"/>
      <c r="DA107" s="1185"/>
      <c r="DB107" s="1185"/>
      <c r="DC107" s="1185"/>
      <c r="DD107" s="1185"/>
      <c r="DE107" s="1185"/>
      <c r="DF107" s="1185"/>
      <c r="DG107" s="1185"/>
      <c r="DH107" s="1185"/>
      <c r="DI107" s="1185"/>
      <c r="DJ107" s="1185"/>
      <c r="DK107" s="1185"/>
      <c r="DL107" s="1178"/>
      <c r="DM107" s="1178"/>
      <c r="DO107" s="519">
        <v>36</v>
      </c>
      <c r="DP107" s="1179"/>
      <c r="DQ107" s="1180"/>
      <c r="DR107" s="1180"/>
      <c r="DS107" s="1180"/>
      <c r="DT107" s="1180"/>
      <c r="DU107" s="1181"/>
      <c r="DV107" s="1173"/>
      <c r="DW107" s="1173"/>
      <c r="DX107" s="1173"/>
      <c r="DY107" s="1173"/>
      <c r="DZ107" s="1173"/>
      <c r="EA107" s="1173"/>
      <c r="EB107" s="1173"/>
      <c r="EC107" s="1173"/>
      <c r="ED107" s="1173"/>
      <c r="EE107" s="1173"/>
      <c r="EF107" s="1173"/>
      <c r="EG107" s="1173"/>
      <c r="EH107" s="1173"/>
      <c r="EI107" s="1183"/>
      <c r="EJ107" s="1183"/>
      <c r="EM107" s="518">
        <v>97</v>
      </c>
      <c r="EN107" s="1174"/>
      <c r="EO107" s="1175"/>
      <c r="EP107" s="1175"/>
      <c r="EQ107" s="1175"/>
      <c r="ER107" s="1175"/>
      <c r="ES107" s="1176"/>
      <c r="ET107" s="1185"/>
      <c r="EU107" s="1185"/>
      <c r="EV107" s="1185"/>
      <c r="EW107" s="1185"/>
      <c r="EX107" s="1185"/>
      <c r="EY107" s="1185"/>
      <c r="EZ107" s="1185"/>
      <c r="FA107" s="1185"/>
      <c r="FB107" s="1185"/>
      <c r="FC107" s="1185"/>
      <c r="FD107" s="1185"/>
      <c r="FE107" s="1185"/>
      <c r="FF107" s="1185"/>
      <c r="FG107" s="1178"/>
      <c r="FH107" s="1178"/>
      <c r="FJ107" s="519">
        <v>36</v>
      </c>
      <c r="FK107" s="1179"/>
      <c r="FL107" s="1180"/>
      <c r="FM107" s="1180"/>
      <c r="FN107" s="1180"/>
      <c r="FO107" s="1180"/>
      <c r="FP107" s="1181"/>
      <c r="FQ107" s="1173"/>
      <c r="FR107" s="1173"/>
      <c r="FS107" s="1173"/>
      <c r="FT107" s="1173"/>
      <c r="FU107" s="1173"/>
      <c r="FV107" s="1173"/>
      <c r="FW107" s="1173"/>
      <c r="FX107" s="1173"/>
      <c r="FY107" s="1173"/>
      <c r="FZ107" s="1173"/>
      <c r="GA107" s="1173"/>
      <c r="GB107" s="1173"/>
      <c r="GC107" s="1173"/>
      <c r="GD107" s="1183"/>
      <c r="GE107" s="1183"/>
      <c r="GH107" s="518">
        <v>97</v>
      </c>
      <c r="GI107" s="1174"/>
      <c r="GJ107" s="1175"/>
      <c r="GK107" s="1175"/>
      <c r="GL107" s="1175"/>
      <c r="GM107" s="1175"/>
      <c r="GN107" s="1176"/>
      <c r="GO107" s="1185"/>
      <c r="GP107" s="1185"/>
      <c r="GQ107" s="1185"/>
      <c r="GR107" s="1185"/>
      <c r="GS107" s="1185"/>
      <c r="GT107" s="1185"/>
      <c r="GU107" s="1185"/>
      <c r="GV107" s="1185"/>
      <c r="GW107" s="1185"/>
      <c r="GX107" s="1185"/>
      <c r="GY107" s="1185"/>
      <c r="GZ107" s="1185"/>
      <c r="HA107" s="1185"/>
      <c r="HB107" s="1178"/>
      <c r="HC107" s="1178"/>
      <c r="HE107" s="519">
        <v>36</v>
      </c>
      <c r="HF107" s="1179"/>
      <c r="HG107" s="1180"/>
      <c r="HH107" s="1180"/>
      <c r="HI107" s="1180"/>
      <c r="HJ107" s="1180"/>
      <c r="HK107" s="1181"/>
      <c r="HL107" s="1173"/>
      <c r="HM107" s="1173"/>
      <c r="HN107" s="1173"/>
      <c r="HO107" s="1173"/>
      <c r="HP107" s="1173"/>
      <c r="HQ107" s="1173"/>
      <c r="HR107" s="1173"/>
      <c r="HS107" s="1173"/>
      <c r="HT107" s="1173"/>
      <c r="HU107" s="1173"/>
      <c r="HV107" s="1173"/>
      <c r="HW107" s="1173"/>
      <c r="HX107" s="1173"/>
      <c r="HY107" s="1183"/>
      <c r="HZ107" s="1183"/>
    </row>
    <row r="108" spans="2:234" ht="17.149999999999999" customHeight="1" x14ac:dyDescent="0.25">
      <c r="B108" s="519">
        <v>98</v>
      </c>
      <c r="C108" s="1179"/>
      <c r="D108" s="1180"/>
      <c r="E108" s="1180"/>
      <c r="F108" s="1180"/>
      <c r="G108" s="1180"/>
      <c r="H108" s="1181"/>
      <c r="I108" s="1173"/>
      <c r="J108" s="1173"/>
      <c r="K108" s="1173"/>
      <c r="L108" s="1173"/>
      <c r="M108" s="1173"/>
      <c r="N108" s="1173"/>
      <c r="O108" s="1173"/>
      <c r="P108" s="1173"/>
      <c r="Q108" s="1173"/>
      <c r="R108" s="1173"/>
      <c r="S108" s="1173"/>
      <c r="T108" s="1173"/>
      <c r="U108" s="1173"/>
      <c r="V108" s="1183"/>
      <c r="W108" s="1183"/>
      <c r="Y108" s="518">
        <v>37</v>
      </c>
      <c r="Z108" s="1174"/>
      <c r="AA108" s="1175"/>
      <c r="AB108" s="1175"/>
      <c r="AC108" s="1175"/>
      <c r="AD108" s="1175"/>
      <c r="AE108" s="1176"/>
      <c r="AF108" s="1185"/>
      <c r="AG108" s="1185"/>
      <c r="AH108" s="1185"/>
      <c r="AI108" s="1185"/>
      <c r="AJ108" s="1185"/>
      <c r="AK108" s="1185"/>
      <c r="AL108" s="1185"/>
      <c r="AM108" s="1185"/>
      <c r="AN108" s="1185"/>
      <c r="AO108" s="1185"/>
      <c r="AP108" s="1185"/>
      <c r="AQ108" s="1185"/>
      <c r="AR108" s="1185"/>
      <c r="AS108" s="1178"/>
      <c r="AT108" s="1178"/>
      <c r="AW108" s="519">
        <v>98</v>
      </c>
      <c r="AX108" s="1179"/>
      <c r="AY108" s="1180"/>
      <c r="AZ108" s="1180"/>
      <c r="BA108" s="1180"/>
      <c r="BB108" s="1180"/>
      <c r="BC108" s="1181"/>
      <c r="BD108" s="1173"/>
      <c r="BE108" s="1173"/>
      <c r="BF108" s="1173"/>
      <c r="BG108" s="1173"/>
      <c r="BH108" s="1173"/>
      <c r="BI108" s="1173"/>
      <c r="BJ108" s="1173"/>
      <c r="BK108" s="1173"/>
      <c r="BL108" s="1173"/>
      <c r="BM108" s="1173"/>
      <c r="BN108" s="1173"/>
      <c r="BO108" s="1173"/>
      <c r="BP108" s="1173"/>
      <c r="BQ108" s="1183"/>
      <c r="BR108" s="1183"/>
      <c r="BT108" s="518">
        <v>37</v>
      </c>
      <c r="BU108" s="1174"/>
      <c r="BV108" s="1175"/>
      <c r="BW108" s="1175"/>
      <c r="BX108" s="1175"/>
      <c r="BY108" s="1175"/>
      <c r="BZ108" s="1176"/>
      <c r="CA108" s="1185"/>
      <c r="CB108" s="1185"/>
      <c r="CC108" s="1185"/>
      <c r="CD108" s="1185"/>
      <c r="CE108" s="1185"/>
      <c r="CF108" s="1185"/>
      <c r="CG108" s="1185"/>
      <c r="CH108" s="1185"/>
      <c r="CI108" s="1185"/>
      <c r="CJ108" s="1185"/>
      <c r="CK108" s="1185"/>
      <c r="CL108" s="1185"/>
      <c r="CM108" s="1185"/>
      <c r="CN108" s="1178"/>
      <c r="CO108" s="1178"/>
      <c r="CR108" s="519">
        <v>98</v>
      </c>
      <c r="CS108" s="1179"/>
      <c r="CT108" s="1180"/>
      <c r="CU108" s="1180"/>
      <c r="CV108" s="1180"/>
      <c r="CW108" s="1180"/>
      <c r="CX108" s="1181"/>
      <c r="CY108" s="1173"/>
      <c r="CZ108" s="1173"/>
      <c r="DA108" s="1173"/>
      <c r="DB108" s="1173"/>
      <c r="DC108" s="1173"/>
      <c r="DD108" s="1173"/>
      <c r="DE108" s="1173"/>
      <c r="DF108" s="1173"/>
      <c r="DG108" s="1173"/>
      <c r="DH108" s="1173"/>
      <c r="DI108" s="1173"/>
      <c r="DJ108" s="1173"/>
      <c r="DK108" s="1173"/>
      <c r="DL108" s="1183"/>
      <c r="DM108" s="1183"/>
      <c r="DO108" s="518">
        <v>37</v>
      </c>
      <c r="DP108" s="1174"/>
      <c r="DQ108" s="1175"/>
      <c r="DR108" s="1175"/>
      <c r="DS108" s="1175"/>
      <c r="DT108" s="1175"/>
      <c r="DU108" s="1176"/>
      <c r="DV108" s="1185"/>
      <c r="DW108" s="1185"/>
      <c r="DX108" s="1185"/>
      <c r="DY108" s="1185"/>
      <c r="DZ108" s="1185"/>
      <c r="EA108" s="1185"/>
      <c r="EB108" s="1185"/>
      <c r="EC108" s="1185"/>
      <c r="ED108" s="1185"/>
      <c r="EE108" s="1185"/>
      <c r="EF108" s="1185"/>
      <c r="EG108" s="1185"/>
      <c r="EH108" s="1185"/>
      <c r="EI108" s="1178"/>
      <c r="EJ108" s="1178"/>
      <c r="EM108" s="519">
        <v>98</v>
      </c>
      <c r="EN108" s="1179"/>
      <c r="EO108" s="1180"/>
      <c r="EP108" s="1180"/>
      <c r="EQ108" s="1180"/>
      <c r="ER108" s="1180"/>
      <c r="ES108" s="1181"/>
      <c r="ET108" s="1173"/>
      <c r="EU108" s="1173"/>
      <c r="EV108" s="1173"/>
      <c r="EW108" s="1173"/>
      <c r="EX108" s="1173"/>
      <c r="EY108" s="1173"/>
      <c r="EZ108" s="1173"/>
      <c r="FA108" s="1173"/>
      <c r="FB108" s="1173"/>
      <c r="FC108" s="1173"/>
      <c r="FD108" s="1173"/>
      <c r="FE108" s="1173"/>
      <c r="FF108" s="1173"/>
      <c r="FG108" s="1183"/>
      <c r="FH108" s="1183"/>
      <c r="FJ108" s="518">
        <v>37</v>
      </c>
      <c r="FK108" s="1174"/>
      <c r="FL108" s="1175"/>
      <c r="FM108" s="1175"/>
      <c r="FN108" s="1175"/>
      <c r="FO108" s="1175"/>
      <c r="FP108" s="1176"/>
      <c r="FQ108" s="1185"/>
      <c r="FR108" s="1185"/>
      <c r="FS108" s="1185"/>
      <c r="FT108" s="1185"/>
      <c r="FU108" s="1185"/>
      <c r="FV108" s="1185"/>
      <c r="FW108" s="1185"/>
      <c r="FX108" s="1185"/>
      <c r="FY108" s="1185"/>
      <c r="FZ108" s="1185"/>
      <c r="GA108" s="1185"/>
      <c r="GB108" s="1185"/>
      <c r="GC108" s="1185"/>
      <c r="GD108" s="1178"/>
      <c r="GE108" s="1178"/>
      <c r="GH108" s="519">
        <v>98</v>
      </c>
      <c r="GI108" s="1179"/>
      <c r="GJ108" s="1180"/>
      <c r="GK108" s="1180"/>
      <c r="GL108" s="1180"/>
      <c r="GM108" s="1180"/>
      <c r="GN108" s="1181"/>
      <c r="GO108" s="1173"/>
      <c r="GP108" s="1173"/>
      <c r="GQ108" s="1173"/>
      <c r="GR108" s="1173"/>
      <c r="GS108" s="1173"/>
      <c r="GT108" s="1173"/>
      <c r="GU108" s="1173"/>
      <c r="GV108" s="1173"/>
      <c r="GW108" s="1173"/>
      <c r="GX108" s="1173"/>
      <c r="GY108" s="1173"/>
      <c r="GZ108" s="1173"/>
      <c r="HA108" s="1173"/>
      <c r="HB108" s="1183"/>
      <c r="HC108" s="1183"/>
      <c r="HE108" s="518">
        <v>37</v>
      </c>
      <c r="HF108" s="1174"/>
      <c r="HG108" s="1175"/>
      <c r="HH108" s="1175"/>
      <c r="HI108" s="1175"/>
      <c r="HJ108" s="1175"/>
      <c r="HK108" s="1176"/>
      <c r="HL108" s="1185"/>
      <c r="HM108" s="1185"/>
      <c r="HN108" s="1185"/>
      <c r="HO108" s="1185"/>
      <c r="HP108" s="1185"/>
      <c r="HQ108" s="1185"/>
      <c r="HR108" s="1185"/>
      <c r="HS108" s="1185"/>
      <c r="HT108" s="1185"/>
      <c r="HU108" s="1185"/>
      <c r="HV108" s="1185"/>
      <c r="HW108" s="1185"/>
      <c r="HX108" s="1185"/>
      <c r="HY108" s="1178"/>
      <c r="HZ108" s="1178"/>
    </row>
    <row r="109" spans="2:234" ht="17.149999999999999" customHeight="1" x14ac:dyDescent="0.25">
      <c r="B109" s="518">
        <v>99</v>
      </c>
      <c r="C109" s="1174"/>
      <c r="D109" s="1175"/>
      <c r="E109" s="1175"/>
      <c r="F109" s="1175"/>
      <c r="G109" s="1175"/>
      <c r="H109" s="1176"/>
      <c r="I109" s="1185"/>
      <c r="J109" s="1185"/>
      <c r="K109" s="1185"/>
      <c r="L109" s="1185"/>
      <c r="M109" s="1185"/>
      <c r="N109" s="1185"/>
      <c r="O109" s="1185"/>
      <c r="P109" s="1185"/>
      <c r="Q109" s="1185"/>
      <c r="R109" s="1185"/>
      <c r="S109" s="1185"/>
      <c r="T109" s="1185"/>
      <c r="U109" s="1185"/>
      <c r="V109" s="1178"/>
      <c r="W109" s="1178"/>
      <c r="Y109" s="519">
        <v>38</v>
      </c>
      <c r="Z109" s="1179"/>
      <c r="AA109" s="1180"/>
      <c r="AB109" s="1180"/>
      <c r="AC109" s="1180"/>
      <c r="AD109" s="1180"/>
      <c r="AE109" s="1181"/>
      <c r="AF109" s="1173"/>
      <c r="AG109" s="1173"/>
      <c r="AH109" s="1173"/>
      <c r="AI109" s="1173"/>
      <c r="AJ109" s="1173"/>
      <c r="AK109" s="1173"/>
      <c r="AL109" s="1173"/>
      <c r="AM109" s="1173"/>
      <c r="AN109" s="1173"/>
      <c r="AO109" s="1173"/>
      <c r="AP109" s="1173"/>
      <c r="AQ109" s="1173"/>
      <c r="AR109" s="1173"/>
      <c r="AS109" s="1183"/>
      <c r="AT109" s="1183"/>
      <c r="AW109" s="518">
        <v>99</v>
      </c>
      <c r="AX109" s="1174"/>
      <c r="AY109" s="1175"/>
      <c r="AZ109" s="1175"/>
      <c r="BA109" s="1175"/>
      <c r="BB109" s="1175"/>
      <c r="BC109" s="1176"/>
      <c r="BD109" s="1185"/>
      <c r="BE109" s="1185"/>
      <c r="BF109" s="1185"/>
      <c r="BG109" s="1185"/>
      <c r="BH109" s="1185"/>
      <c r="BI109" s="1185"/>
      <c r="BJ109" s="1185"/>
      <c r="BK109" s="1185"/>
      <c r="BL109" s="1185"/>
      <c r="BM109" s="1185"/>
      <c r="BN109" s="1185"/>
      <c r="BO109" s="1185"/>
      <c r="BP109" s="1185"/>
      <c r="BQ109" s="1178"/>
      <c r="BR109" s="1178"/>
      <c r="BT109" s="519">
        <v>38</v>
      </c>
      <c r="BU109" s="1179"/>
      <c r="BV109" s="1180"/>
      <c r="BW109" s="1180"/>
      <c r="BX109" s="1180"/>
      <c r="BY109" s="1180"/>
      <c r="BZ109" s="1181"/>
      <c r="CA109" s="1173"/>
      <c r="CB109" s="1173"/>
      <c r="CC109" s="1173"/>
      <c r="CD109" s="1173"/>
      <c r="CE109" s="1173"/>
      <c r="CF109" s="1173"/>
      <c r="CG109" s="1173"/>
      <c r="CH109" s="1173"/>
      <c r="CI109" s="1173"/>
      <c r="CJ109" s="1173"/>
      <c r="CK109" s="1173"/>
      <c r="CL109" s="1173"/>
      <c r="CM109" s="1173"/>
      <c r="CN109" s="1183"/>
      <c r="CO109" s="1183"/>
      <c r="CR109" s="518">
        <v>99</v>
      </c>
      <c r="CS109" s="1174"/>
      <c r="CT109" s="1175"/>
      <c r="CU109" s="1175"/>
      <c r="CV109" s="1175"/>
      <c r="CW109" s="1175"/>
      <c r="CX109" s="1176"/>
      <c r="CY109" s="1185"/>
      <c r="CZ109" s="1185"/>
      <c r="DA109" s="1185"/>
      <c r="DB109" s="1185"/>
      <c r="DC109" s="1185"/>
      <c r="DD109" s="1185"/>
      <c r="DE109" s="1185"/>
      <c r="DF109" s="1185"/>
      <c r="DG109" s="1185"/>
      <c r="DH109" s="1185"/>
      <c r="DI109" s="1185"/>
      <c r="DJ109" s="1185"/>
      <c r="DK109" s="1185"/>
      <c r="DL109" s="1178"/>
      <c r="DM109" s="1178"/>
      <c r="DO109" s="519">
        <v>38</v>
      </c>
      <c r="DP109" s="1179"/>
      <c r="DQ109" s="1180"/>
      <c r="DR109" s="1180"/>
      <c r="DS109" s="1180"/>
      <c r="DT109" s="1180"/>
      <c r="DU109" s="1181"/>
      <c r="DV109" s="1173"/>
      <c r="DW109" s="1173"/>
      <c r="DX109" s="1173"/>
      <c r="DY109" s="1173"/>
      <c r="DZ109" s="1173"/>
      <c r="EA109" s="1173"/>
      <c r="EB109" s="1173"/>
      <c r="EC109" s="1173"/>
      <c r="ED109" s="1173"/>
      <c r="EE109" s="1173"/>
      <c r="EF109" s="1173"/>
      <c r="EG109" s="1173"/>
      <c r="EH109" s="1173"/>
      <c r="EI109" s="1183"/>
      <c r="EJ109" s="1183"/>
      <c r="EM109" s="518">
        <v>99</v>
      </c>
      <c r="EN109" s="1174"/>
      <c r="EO109" s="1175"/>
      <c r="EP109" s="1175"/>
      <c r="EQ109" s="1175"/>
      <c r="ER109" s="1175"/>
      <c r="ES109" s="1176"/>
      <c r="ET109" s="1185"/>
      <c r="EU109" s="1185"/>
      <c r="EV109" s="1185"/>
      <c r="EW109" s="1185"/>
      <c r="EX109" s="1185"/>
      <c r="EY109" s="1185"/>
      <c r="EZ109" s="1185"/>
      <c r="FA109" s="1185"/>
      <c r="FB109" s="1185"/>
      <c r="FC109" s="1185"/>
      <c r="FD109" s="1185"/>
      <c r="FE109" s="1185"/>
      <c r="FF109" s="1185"/>
      <c r="FG109" s="1178"/>
      <c r="FH109" s="1178"/>
      <c r="FJ109" s="519">
        <v>38</v>
      </c>
      <c r="FK109" s="1179"/>
      <c r="FL109" s="1180"/>
      <c r="FM109" s="1180"/>
      <c r="FN109" s="1180"/>
      <c r="FO109" s="1180"/>
      <c r="FP109" s="1181"/>
      <c r="FQ109" s="1173"/>
      <c r="FR109" s="1173"/>
      <c r="FS109" s="1173"/>
      <c r="FT109" s="1173"/>
      <c r="FU109" s="1173"/>
      <c r="FV109" s="1173"/>
      <c r="FW109" s="1173"/>
      <c r="FX109" s="1173"/>
      <c r="FY109" s="1173"/>
      <c r="FZ109" s="1173"/>
      <c r="GA109" s="1173"/>
      <c r="GB109" s="1173"/>
      <c r="GC109" s="1173"/>
      <c r="GD109" s="1183"/>
      <c r="GE109" s="1183"/>
      <c r="GH109" s="518">
        <v>99</v>
      </c>
      <c r="GI109" s="1174"/>
      <c r="GJ109" s="1175"/>
      <c r="GK109" s="1175"/>
      <c r="GL109" s="1175"/>
      <c r="GM109" s="1175"/>
      <c r="GN109" s="1176"/>
      <c r="GO109" s="1185"/>
      <c r="GP109" s="1185"/>
      <c r="GQ109" s="1185"/>
      <c r="GR109" s="1185"/>
      <c r="GS109" s="1185"/>
      <c r="GT109" s="1185"/>
      <c r="GU109" s="1185"/>
      <c r="GV109" s="1185"/>
      <c r="GW109" s="1185"/>
      <c r="GX109" s="1185"/>
      <c r="GY109" s="1185"/>
      <c r="GZ109" s="1185"/>
      <c r="HA109" s="1185"/>
      <c r="HB109" s="1178"/>
      <c r="HC109" s="1178"/>
      <c r="HE109" s="519">
        <v>38</v>
      </c>
      <c r="HF109" s="1179"/>
      <c r="HG109" s="1180"/>
      <c r="HH109" s="1180"/>
      <c r="HI109" s="1180"/>
      <c r="HJ109" s="1180"/>
      <c r="HK109" s="1181"/>
      <c r="HL109" s="1173"/>
      <c r="HM109" s="1173"/>
      <c r="HN109" s="1173"/>
      <c r="HO109" s="1173"/>
      <c r="HP109" s="1173"/>
      <c r="HQ109" s="1173"/>
      <c r="HR109" s="1173"/>
      <c r="HS109" s="1173"/>
      <c r="HT109" s="1173"/>
      <c r="HU109" s="1173"/>
      <c r="HV109" s="1173"/>
      <c r="HW109" s="1173"/>
      <c r="HX109" s="1173"/>
      <c r="HY109" s="1183"/>
      <c r="HZ109" s="1183"/>
    </row>
    <row r="110" spans="2:234" ht="17.149999999999999" customHeight="1" x14ac:dyDescent="0.25">
      <c r="B110" s="519">
        <v>100</v>
      </c>
      <c r="C110" s="1179"/>
      <c r="D110" s="1180"/>
      <c r="E110" s="1180"/>
      <c r="F110" s="1180"/>
      <c r="G110" s="1180"/>
      <c r="H110" s="1181"/>
      <c r="I110" s="1173"/>
      <c r="J110" s="1173"/>
      <c r="K110" s="1173"/>
      <c r="L110" s="1173"/>
      <c r="M110" s="1173"/>
      <c r="N110" s="1173"/>
      <c r="O110" s="1173"/>
      <c r="P110" s="1173"/>
      <c r="Q110" s="1173"/>
      <c r="R110" s="1173"/>
      <c r="S110" s="1173"/>
      <c r="T110" s="1173"/>
      <c r="U110" s="1173"/>
      <c r="V110" s="1183"/>
      <c r="W110" s="1183"/>
      <c r="Y110" s="518">
        <v>39</v>
      </c>
      <c r="Z110" s="1174"/>
      <c r="AA110" s="1175"/>
      <c r="AB110" s="1175"/>
      <c r="AC110" s="1175"/>
      <c r="AD110" s="1175"/>
      <c r="AE110" s="1176"/>
      <c r="AF110" s="1185"/>
      <c r="AG110" s="1185"/>
      <c r="AH110" s="1185"/>
      <c r="AI110" s="1185"/>
      <c r="AJ110" s="1185"/>
      <c r="AK110" s="1185"/>
      <c r="AL110" s="1185"/>
      <c r="AM110" s="1185"/>
      <c r="AN110" s="1185"/>
      <c r="AO110" s="1185"/>
      <c r="AP110" s="1185"/>
      <c r="AQ110" s="1185"/>
      <c r="AR110" s="1185"/>
      <c r="AS110" s="1178"/>
      <c r="AT110" s="1178"/>
      <c r="AW110" s="519">
        <v>100</v>
      </c>
      <c r="AX110" s="1179"/>
      <c r="AY110" s="1180"/>
      <c r="AZ110" s="1180"/>
      <c r="BA110" s="1180"/>
      <c r="BB110" s="1180"/>
      <c r="BC110" s="1181"/>
      <c r="BD110" s="1173"/>
      <c r="BE110" s="1173"/>
      <c r="BF110" s="1173"/>
      <c r="BG110" s="1173"/>
      <c r="BH110" s="1173"/>
      <c r="BI110" s="1173"/>
      <c r="BJ110" s="1173"/>
      <c r="BK110" s="1173"/>
      <c r="BL110" s="1173"/>
      <c r="BM110" s="1173"/>
      <c r="BN110" s="1173"/>
      <c r="BO110" s="1173"/>
      <c r="BP110" s="1173"/>
      <c r="BQ110" s="1183"/>
      <c r="BR110" s="1183"/>
      <c r="BT110" s="518">
        <v>39</v>
      </c>
      <c r="BU110" s="1174"/>
      <c r="BV110" s="1175"/>
      <c r="BW110" s="1175"/>
      <c r="BX110" s="1175"/>
      <c r="BY110" s="1175"/>
      <c r="BZ110" s="1176"/>
      <c r="CA110" s="1185"/>
      <c r="CB110" s="1185"/>
      <c r="CC110" s="1185"/>
      <c r="CD110" s="1185"/>
      <c r="CE110" s="1185"/>
      <c r="CF110" s="1185"/>
      <c r="CG110" s="1185"/>
      <c r="CH110" s="1185"/>
      <c r="CI110" s="1185"/>
      <c r="CJ110" s="1185"/>
      <c r="CK110" s="1185"/>
      <c r="CL110" s="1185"/>
      <c r="CM110" s="1185"/>
      <c r="CN110" s="1178"/>
      <c r="CO110" s="1178"/>
      <c r="CR110" s="519">
        <v>100</v>
      </c>
      <c r="CS110" s="1179"/>
      <c r="CT110" s="1180"/>
      <c r="CU110" s="1180"/>
      <c r="CV110" s="1180"/>
      <c r="CW110" s="1180"/>
      <c r="CX110" s="1181"/>
      <c r="CY110" s="1173"/>
      <c r="CZ110" s="1173"/>
      <c r="DA110" s="1173"/>
      <c r="DB110" s="1173"/>
      <c r="DC110" s="1173"/>
      <c r="DD110" s="1173"/>
      <c r="DE110" s="1173"/>
      <c r="DF110" s="1173"/>
      <c r="DG110" s="1173"/>
      <c r="DH110" s="1173"/>
      <c r="DI110" s="1173"/>
      <c r="DJ110" s="1173"/>
      <c r="DK110" s="1173"/>
      <c r="DL110" s="1183"/>
      <c r="DM110" s="1183"/>
      <c r="DO110" s="518">
        <v>39</v>
      </c>
      <c r="DP110" s="1174"/>
      <c r="DQ110" s="1175"/>
      <c r="DR110" s="1175"/>
      <c r="DS110" s="1175"/>
      <c r="DT110" s="1175"/>
      <c r="DU110" s="1176"/>
      <c r="DV110" s="1185"/>
      <c r="DW110" s="1185"/>
      <c r="DX110" s="1185"/>
      <c r="DY110" s="1185"/>
      <c r="DZ110" s="1185"/>
      <c r="EA110" s="1185"/>
      <c r="EB110" s="1185"/>
      <c r="EC110" s="1185"/>
      <c r="ED110" s="1185"/>
      <c r="EE110" s="1185"/>
      <c r="EF110" s="1185"/>
      <c r="EG110" s="1185"/>
      <c r="EH110" s="1185"/>
      <c r="EI110" s="1178"/>
      <c r="EJ110" s="1178"/>
      <c r="EM110" s="519">
        <v>100</v>
      </c>
      <c r="EN110" s="1179"/>
      <c r="EO110" s="1180"/>
      <c r="EP110" s="1180"/>
      <c r="EQ110" s="1180"/>
      <c r="ER110" s="1180"/>
      <c r="ES110" s="1181"/>
      <c r="ET110" s="1173"/>
      <c r="EU110" s="1173"/>
      <c r="EV110" s="1173"/>
      <c r="EW110" s="1173"/>
      <c r="EX110" s="1173"/>
      <c r="EY110" s="1173"/>
      <c r="EZ110" s="1173"/>
      <c r="FA110" s="1173"/>
      <c r="FB110" s="1173"/>
      <c r="FC110" s="1173"/>
      <c r="FD110" s="1173"/>
      <c r="FE110" s="1173"/>
      <c r="FF110" s="1173"/>
      <c r="FG110" s="1183"/>
      <c r="FH110" s="1183"/>
      <c r="FJ110" s="518">
        <v>39</v>
      </c>
      <c r="FK110" s="1174"/>
      <c r="FL110" s="1175"/>
      <c r="FM110" s="1175"/>
      <c r="FN110" s="1175"/>
      <c r="FO110" s="1175"/>
      <c r="FP110" s="1176"/>
      <c r="FQ110" s="1185"/>
      <c r="FR110" s="1185"/>
      <c r="FS110" s="1185"/>
      <c r="FT110" s="1185"/>
      <c r="FU110" s="1185"/>
      <c r="FV110" s="1185"/>
      <c r="FW110" s="1185"/>
      <c r="FX110" s="1185"/>
      <c r="FY110" s="1185"/>
      <c r="FZ110" s="1185"/>
      <c r="GA110" s="1185"/>
      <c r="GB110" s="1185"/>
      <c r="GC110" s="1185"/>
      <c r="GD110" s="1178"/>
      <c r="GE110" s="1178"/>
      <c r="GH110" s="519">
        <v>100</v>
      </c>
      <c r="GI110" s="1179"/>
      <c r="GJ110" s="1180"/>
      <c r="GK110" s="1180"/>
      <c r="GL110" s="1180"/>
      <c r="GM110" s="1180"/>
      <c r="GN110" s="1181"/>
      <c r="GO110" s="1173"/>
      <c r="GP110" s="1173"/>
      <c r="GQ110" s="1173"/>
      <c r="GR110" s="1173"/>
      <c r="GS110" s="1173"/>
      <c r="GT110" s="1173"/>
      <c r="GU110" s="1173"/>
      <c r="GV110" s="1173"/>
      <c r="GW110" s="1173"/>
      <c r="GX110" s="1173"/>
      <c r="GY110" s="1173"/>
      <c r="GZ110" s="1173"/>
      <c r="HA110" s="1173"/>
      <c r="HB110" s="1183"/>
      <c r="HC110" s="1183"/>
      <c r="HE110" s="518">
        <v>39</v>
      </c>
      <c r="HF110" s="1174"/>
      <c r="HG110" s="1175"/>
      <c r="HH110" s="1175"/>
      <c r="HI110" s="1175"/>
      <c r="HJ110" s="1175"/>
      <c r="HK110" s="1176"/>
      <c r="HL110" s="1185"/>
      <c r="HM110" s="1185"/>
      <c r="HN110" s="1185"/>
      <c r="HO110" s="1185"/>
      <c r="HP110" s="1185"/>
      <c r="HQ110" s="1185"/>
      <c r="HR110" s="1185"/>
      <c r="HS110" s="1185"/>
      <c r="HT110" s="1185"/>
      <c r="HU110" s="1185"/>
      <c r="HV110" s="1185"/>
      <c r="HW110" s="1185"/>
      <c r="HX110" s="1185"/>
      <c r="HY110" s="1178"/>
      <c r="HZ110" s="1178"/>
    </row>
  </sheetData>
  <sheetProtection selectLockedCells="1"/>
  <protectedRanges>
    <protectedRange sqref="AV13:AV16 E17:Y111 AB17:AV111 AU112:AV112 AB120:AT213 E120:Y213 E223:Y316 AB223:AT316 E326:Y419 AB326:AT419 E429:Y522 AB429:AT522 CP13:CQ110 BW111:CQ112 AZ111:BT112 AZ17:BT110 BW17:CO110 CU17:DO110 DR17:EJ110 EP17:FJ110 FM17:GE110 GK17:HE110 HH17:HZ110" name="区域3"/>
    <protectedRange sqref="BX4:CC8 CG4:CQ8" name="区域2"/>
    <protectedRange sqref="AV4:BT8 AV9" name="区域1"/>
    <protectedRange sqref="C3:H7" name="区域1_1"/>
  </protectedRanges>
  <mergeCells count="3044">
    <mergeCell ref="C80:H80"/>
    <mergeCell ref="DP92:DU92"/>
    <mergeCell ref="CS107:CX107"/>
    <mergeCell ref="ET107:FF107"/>
    <mergeCell ref="DV107:EH107"/>
    <mergeCell ref="DP90:DU90"/>
    <mergeCell ref="CS40:CX40"/>
    <mergeCell ref="CS41:CX41"/>
    <mergeCell ref="DP41:DU41"/>
    <mergeCell ref="BU41:BZ41"/>
    <mergeCell ref="C101:H101"/>
    <mergeCell ref="C34:H34"/>
    <mergeCell ref="AF95:AR95"/>
    <mergeCell ref="AF89:AR89"/>
    <mergeCell ref="DL51:DM51"/>
    <mergeCell ref="V93:W93"/>
    <mergeCell ref="Z96:AE96"/>
    <mergeCell ref="AX91:BC91"/>
    <mergeCell ref="AF103:AR103"/>
    <mergeCell ref="I85:U85"/>
    <mergeCell ref="I75:U75"/>
    <mergeCell ref="Z85:AE85"/>
    <mergeCell ref="Z104:AE104"/>
    <mergeCell ref="AS102:AT102"/>
    <mergeCell ref="AF87:AR87"/>
    <mergeCell ref="AF37:AR37"/>
    <mergeCell ref="V84:W84"/>
    <mergeCell ref="AF57:AR57"/>
    <mergeCell ref="CS85:CX85"/>
    <mergeCell ref="CN72:CO72"/>
    <mergeCell ref="ET88:FF88"/>
    <mergeCell ref="DP88:DU88"/>
    <mergeCell ref="AS99:AT99"/>
    <mergeCell ref="DP26:DU26"/>
    <mergeCell ref="AF72:AR72"/>
    <mergeCell ref="Z66:AE66"/>
    <mergeCell ref="AF40:AR40"/>
    <mergeCell ref="ET79:FF79"/>
    <mergeCell ref="V54:W54"/>
    <mergeCell ref="V52:W52"/>
    <mergeCell ref="CC12:CD12"/>
    <mergeCell ref="I107:U107"/>
    <mergeCell ref="CY88:DK88"/>
    <mergeCell ref="DP89:DU89"/>
    <mergeCell ref="CA88:CM88"/>
    <mergeCell ref="CY96:DK96"/>
    <mergeCell ref="AF88:AR88"/>
    <mergeCell ref="BU84:BZ84"/>
    <mergeCell ref="AS40:AT40"/>
    <mergeCell ref="DV104:EH104"/>
    <mergeCell ref="CS76:CX76"/>
    <mergeCell ref="I92:U92"/>
    <mergeCell ref="I76:U76"/>
    <mergeCell ref="Z43:AE43"/>
    <mergeCell ref="V74:W74"/>
    <mergeCell ref="AX76:BC76"/>
    <mergeCell ref="EI92:EJ92"/>
    <mergeCell ref="V44:W44"/>
    <mergeCell ref="ET76:FF76"/>
    <mergeCell ref="CN44:CO44"/>
    <mergeCell ref="BD20:BP20"/>
    <mergeCell ref="CN87:CO87"/>
    <mergeCell ref="DV86:EH86"/>
    <mergeCell ref="V62:W62"/>
    <mergeCell ref="V61:W61"/>
    <mergeCell ref="DP76:DU76"/>
    <mergeCell ref="DL76:DM76"/>
    <mergeCell ref="CS74:CX74"/>
    <mergeCell ref="CA96:CM96"/>
    <mergeCell ref="CN97:CO97"/>
    <mergeCell ref="ET60:FF60"/>
    <mergeCell ref="EI75:EJ75"/>
    <mergeCell ref="HB93:HC93"/>
    <mergeCell ref="CY81:DK81"/>
    <mergeCell ref="EN91:ES91"/>
    <mergeCell ref="CS92:CX92"/>
    <mergeCell ref="BU91:BZ91"/>
    <mergeCell ref="BQ91:BR91"/>
    <mergeCell ref="AS85:AT85"/>
    <mergeCell ref="EN95:ES95"/>
    <mergeCell ref="V95:W95"/>
    <mergeCell ref="BU94:BZ94"/>
    <mergeCell ref="EN60:ES60"/>
    <mergeCell ref="CN79:CO79"/>
    <mergeCell ref="FQ86:GC86"/>
    <mergeCell ref="GO91:HA91"/>
    <mergeCell ref="FQ84:GC84"/>
    <mergeCell ref="GI91:GN91"/>
    <mergeCell ref="GI79:GN79"/>
    <mergeCell ref="GD81:GE81"/>
    <mergeCell ref="GI90:GN90"/>
    <mergeCell ref="GD88:GE88"/>
    <mergeCell ref="GD63:GE63"/>
    <mergeCell ref="AF91:AR91"/>
    <mergeCell ref="AF84:AR84"/>
    <mergeCell ref="V75:W75"/>
    <mergeCell ref="C45:H45"/>
    <mergeCell ref="Z87:AE87"/>
    <mergeCell ref="EN71:ES71"/>
    <mergeCell ref="V87:W87"/>
    <mergeCell ref="DP95:DU95"/>
    <mergeCell ref="AF106:AR106"/>
    <mergeCell ref="CY50:DK50"/>
    <mergeCell ref="HY105:HZ105"/>
    <mergeCell ref="GD82:GE82"/>
    <mergeCell ref="AS44:AT44"/>
    <mergeCell ref="AS97:AT97"/>
    <mergeCell ref="FQ98:GC98"/>
    <mergeCell ref="ET94:FF94"/>
    <mergeCell ref="AF92:AR92"/>
    <mergeCell ref="FQ97:GC97"/>
    <mergeCell ref="GD97:GE97"/>
    <mergeCell ref="AS48:AT48"/>
    <mergeCell ref="HF49:HK49"/>
    <mergeCell ref="CA73:CM73"/>
    <mergeCell ref="I69:U69"/>
    <mergeCell ref="HL79:HX79"/>
    <mergeCell ref="DL84:DM84"/>
    <mergeCell ref="GO61:HA61"/>
    <mergeCell ref="ET101:FF101"/>
    <mergeCell ref="EI97:EJ97"/>
    <mergeCell ref="GI78:GN78"/>
    <mergeCell ref="DV76:EH76"/>
    <mergeCell ref="CA78:CM78"/>
    <mergeCell ref="V102:W102"/>
    <mergeCell ref="HY80:HZ80"/>
    <mergeCell ref="CY66:DK66"/>
    <mergeCell ref="CY83:DK83"/>
    <mergeCell ref="FS10:FT10"/>
    <mergeCell ref="AX26:BC26"/>
    <mergeCell ref="CS12:CX12"/>
    <mergeCell ref="HB25:HC25"/>
    <mergeCell ref="BQ22:BR22"/>
    <mergeCell ref="DX14:DY14"/>
    <mergeCell ref="CN22:CO22"/>
    <mergeCell ref="BU26:BZ26"/>
    <mergeCell ref="CY85:DK85"/>
    <mergeCell ref="CY103:DK103"/>
    <mergeCell ref="CN92:CO92"/>
    <mergeCell ref="FU14:GE14"/>
    <mergeCell ref="HB14:HC14"/>
    <mergeCell ref="AX96:BC96"/>
    <mergeCell ref="DP96:DU96"/>
    <mergeCell ref="GD93:GE93"/>
    <mergeCell ref="BD97:BP97"/>
    <mergeCell ref="CA26:CM26"/>
    <mergeCell ref="BU73:BZ73"/>
    <mergeCell ref="CA51:CM51"/>
    <mergeCell ref="FQ22:GC22"/>
    <mergeCell ref="BQ66:BR66"/>
    <mergeCell ref="HB97:HC97"/>
    <mergeCell ref="BU79:BZ79"/>
    <mergeCell ref="DL90:DM90"/>
    <mergeCell ref="DL89:DM89"/>
    <mergeCell ref="AX60:BC60"/>
    <mergeCell ref="FJ14:FK14"/>
    <mergeCell ref="GO72:HA72"/>
    <mergeCell ref="BQ69:BR69"/>
    <mergeCell ref="FK34:FP34"/>
    <mergeCell ref="EN14:ES14"/>
    <mergeCell ref="HY32:HZ32"/>
    <mergeCell ref="DP73:DU73"/>
    <mergeCell ref="FQ88:GC88"/>
    <mergeCell ref="BD59:BP59"/>
    <mergeCell ref="C14:H14"/>
    <mergeCell ref="FK89:FP89"/>
    <mergeCell ref="FQ90:GC90"/>
    <mergeCell ref="HL72:HX72"/>
    <mergeCell ref="HY22:HZ22"/>
    <mergeCell ref="HL29:HX29"/>
    <mergeCell ref="DP66:DU66"/>
    <mergeCell ref="GD84:GE84"/>
    <mergeCell ref="BU64:BZ64"/>
    <mergeCell ref="AS79:AT79"/>
    <mergeCell ref="EN86:ES86"/>
    <mergeCell ref="I90:U90"/>
    <mergeCell ref="CN91:CO91"/>
    <mergeCell ref="HB73:HC73"/>
    <mergeCell ref="HB18:HC18"/>
    <mergeCell ref="DL41:DM41"/>
    <mergeCell ref="AF18:AR18"/>
    <mergeCell ref="HF77:HK77"/>
    <mergeCell ref="GI86:GN86"/>
    <mergeCell ref="EI65:EJ65"/>
    <mergeCell ref="GI42:GN42"/>
    <mergeCell ref="CA72:CM72"/>
    <mergeCell ref="DL68:DM68"/>
    <mergeCell ref="CN47:CO47"/>
    <mergeCell ref="AF79:AR79"/>
    <mergeCell ref="AS59:AT59"/>
    <mergeCell ref="AX79:BC79"/>
    <mergeCell ref="BD90:BP90"/>
    <mergeCell ref="AF48:AR48"/>
    <mergeCell ref="AX57:BC57"/>
    <mergeCell ref="Z89:AE89"/>
    <mergeCell ref="AX94:BC94"/>
    <mergeCell ref="DV81:EH81"/>
    <mergeCell ref="Z68:AE68"/>
    <mergeCell ref="EI53:EJ53"/>
    <mergeCell ref="CN88:CO88"/>
    <mergeCell ref="EI63:EJ63"/>
    <mergeCell ref="DV56:EH56"/>
    <mergeCell ref="AX52:BC52"/>
    <mergeCell ref="BU51:BZ51"/>
    <mergeCell ref="BD48:BP48"/>
    <mergeCell ref="BU60:BZ60"/>
    <mergeCell ref="BQ51:BR51"/>
    <mergeCell ref="AS55:AT55"/>
    <mergeCell ref="EI57:EJ57"/>
    <mergeCell ref="BD66:BP66"/>
    <mergeCell ref="AS71:AT71"/>
    <mergeCell ref="V53:W53"/>
    <mergeCell ref="BU80:BZ80"/>
    <mergeCell ref="Z88:AE88"/>
    <mergeCell ref="Z92:AE92"/>
    <mergeCell ref="AX71:BC71"/>
    <mergeCell ref="AS89:AT89"/>
    <mergeCell ref="V94:W94"/>
    <mergeCell ref="BQ14:BR14"/>
    <mergeCell ref="FK103:FP103"/>
    <mergeCell ref="HF104:HK104"/>
    <mergeCell ref="BU104:BZ104"/>
    <mergeCell ref="DL104:DM104"/>
    <mergeCell ref="DV73:EH73"/>
    <mergeCell ref="GI69:GN69"/>
    <mergeCell ref="FQ79:GC79"/>
    <mergeCell ref="FQ75:GC75"/>
    <mergeCell ref="ET75:FF75"/>
    <mergeCell ref="DP51:DU51"/>
    <mergeCell ref="CA103:CM103"/>
    <mergeCell ref="AS90:AT90"/>
    <mergeCell ref="V86:W86"/>
    <mergeCell ref="V67:W67"/>
    <mergeCell ref="BD87:BP87"/>
    <mergeCell ref="V90:W90"/>
    <mergeCell ref="V85:W85"/>
    <mergeCell ref="AF78:AR78"/>
    <mergeCell ref="GD71:GE71"/>
    <mergeCell ref="EI68:EJ68"/>
    <mergeCell ref="FQ82:GC82"/>
    <mergeCell ref="V82:W82"/>
    <mergeCell ref="ET67:FF67"/>
    <mergeCell ref="AX41:BC41"/>
    <mergeCell ref="HF91:HK91"/>
    <mergeCell ref="BD67:BP67"/>
    <mergeCell ref="CA67:CM67"/>
    <mergeCell ref="BQ39:BR39"/>
    <mergeCell ref="FK92:FP92"/>
    <mergeCell ref="DV90:EH90"/>
    <mergeCell ref="AJ10:AT10"/>
    <mergeCell ref="HN15:HO15"/>
    <mergeCell ref="HF40:HK40"/>
    <mergeCell ref="HF45:HK45"/>
    <mergeCell ref="HF88:HK88"/>
    <mergeCell ref="EN89:ES89"/>
    <mergeCell ref="HL35:HX35"/>
    <mergeCell ref="GO37:HA37"/>
    <mergeCell ref="CY13:DK13"/>
    <mergeCell ref="EN84:ES84"/>
    <mergeCell ref="FG89:FH89"/>
    <mergeCell ref="CS78:CX78"/>
    <mergeCell ref="FG78:FH78"/>
    <mergeCell ref="GD79:GE79"/>
    <mergeCell ref="ET82:FF82"/>
    <mergeCell ref="CA75:CM75"/>
    <mergeCell ref="FG79:FH79"/>
    <mergeCell ref="DV79:EH79"/>
    <mergeCell ref="CA89:CM89"/>
    <mergeCell ref="FK85:FP85"/>
    <mergeCell ref="CS88:CX88"/>
    <mergeCell ref="BQ26:BR26"/>
    <mergeCell ref="AF21:AR21"/>
    <mergeCell ref="AS46:AT46"/>
    <mergeCell ref="CN67:CO67"/>
    <mergeCell ref="GI87:GN87"/>
    <mergeCell ref="C98:H98"/>
    <mergeCell ref="BT12:BU12"/>
    <mergeCell ref="AX92:BC92"/>
    <mergeCell ref="I18:U18"/>
    <mergeCell ref="C21:H21"/>
    <mergeCell ref="CS33:CX33"/>
    <mergeCell ref="BU30:BZ30"/>
    <mergeCell ref="CS21:CX21"/>
    <mergeCell ref="CA27:CM27"/>
    <mergeCell ref="DP27:DU27"/>
    <mergeCell ref="C19:H19"/>
    <mergeCell ref="GI93:GN93"/>
    <mergeCell ref="EI96:EJ96"/>
    <mergeCell ref="AS23:AT23"/>
    <mergeCell ref="BV13:CA13"/>
    <mergeCell ref="AX32:BC32"/>
    <mergeCell ref="BD18:BP18"/>
    <mergeCell ref="Z21:AE21"/>
    <mergeCell ref="AF27:AR27"/>
    <mergeCell ref="V12:W12"/>
    <mergeCell ref="I97:U97"/>
    <mergeCell ref="I98:U98"/>
    <mergeCell ref="GI76:GN76"/>
    <mergeCell ref="FQ80:GC80"/>
    <mergeCell ref="FQ77:GC77"/>
    <mergeCell ref="DO70:EJ70"/>
    <mergeCell ref="EN83:ES83"/>
    <mergeCell ref="DP81:DU81"/>
    <mergeCell ref="DP80:DU80"/>
    <mergeCell ref="CA81:CM81"/>
    <mergeCell ref="CS90:CX90"/>
    <mergeCell ref="ET89:FF89"/>
    <mergeCell ref="BT9:CA9"/>
    <mergeCell ref="EI23:EJ23"/>
    <mergeCell ref="I19:U19"/>
    <mergeCell ref="DV48:EH48"/>
    <mergeCell ref="GO84:HA84"/>
    <mergeCell ref="FS14:FT14"/>
    <mergeCell ref="ET14:FF14"/>
    <mergeCell ref="CY44:DK44"/>
    <mergeCell ref="EI81:EJ81"/>
    <mergeCell ref="HB71:HC71"/>
    <mergeCell ref="GI31:GN31"/>
    <mergeCell ref="FK76:FP76"/>
    <mergeCell ref="CA79:CM79"/>
    <mergeCell ref="CS63:CX63"/>
    <mergeCell ref="HB49:HC49"/>
    <mergeCell ref="GD50:GE50"/>
    <mergeCell ref="DL83:DM83"/>
    <mergeCell ref="GO77:HA77"/>
    <mergeCell ref="FG63:FH63"/>
    <mergeCell ref="AX12:BC12"/>
    <mergeCell ref="Z82:AE82"/>
    <mergeCell ref="GO28:HA28"/>
    <mergeCell ref="GD26:GE26"/>
    <mergeCell ref="ET35:FF35"/>
    <mergeCell ref="GI22:GN22"/>
    <mergeCell ref="HB38:HC38"/>
    <mergeCell ref="FG22:FH22"/>
    <mergeCell ref="CA76:CM76"/>
    <mergeCell ref="HB11:HC11"/>
    <mergeCell ref="ET10:FF10"/>
    <mergeCell ref="BT17:CO17"/>
    <mergeCell ref="AF22:AR22"/>
    <mergeCell ref="HY39:HZ39"/>
    <mergeCell ref="ET73:FF73"/>
    <mergeCell ref="GI75:GN75"/>
    <mergeCell ref="CN74:CO74"/>
    <mergeCell ref="HB31:HC31"/>
    <mergeCell ref="EN25:ES25"/>
    <mergeCell ref="CN26:CO26"/>
    <mergeCell ref="DP25:DU25"/>
    <mergeCell ref="HY35:HZ35"/>
    <mergeCell ref="DP30:DU30"/>
    <mergeCell ref="HY91:HZ91"/>
    <mergeCell ref="HY36:HZ36"/>
    <mergeCell ref="GO23:HA23"/>
    <mergeCell ref="FQ64:GC64"/>
    <mergeCell ref="GO34:HA34"/>
    <mergeCell ref="GI64:GN64"/>
    <mergeCell ref="CN80:CO80"/>
    <mergeCell ref="DL75:DM75"/>
    <mergeCell ref="HL81:HX81"/>
    <mergeCell ref="HF84:HK84"/>
    <mergeCell ref="GO81:HA81"/>
    <mergeCell ref="HL83:HX83"/>
    <mergeCell ref="HL45:HX45"/>
    <mergeCell ref="HL80:HX80"/>
    <mergeCell ref="EN48:ES48"/>
    <mergeCell ref="DL80:DM80"/>
    <mergeCell ref="HB64:HC64"/>
    <mergeCell ref="EN59:ES59"/>
    <mergeCell ref="GO44:HA44"/>
    <mergeCell ref="ET49:FF49"/>
    <mergeCell ref="HB70:HC70"/>
    <mergeCell ref="HY73:HZ73"/>
    <mergeCell ref="HY97:HZ97"/>
    <mergeCell ref="HY60:HZ60"/>
    <mergeCell ref="HF63:HK63"/>
    <mergeCell ref="EI71:EJ71"/>
    <mergeCell ref="Z106:AE106"/>
    <mergeCell ref="CY93:DK93"/>
    <mergeCell ref="GI92:GN92"/>
    <mergeCell ref="GD104:GE104"/>
    <mergeCell ref="FG106:FH106"/>
    <mergeCell ref="HY102:HZ102"/>
    <mergeCell ref="GO95:HA95"/>
    <mergeCell ref="CS91:CX91"/>
    <mergeCell ref="FK95:FP95"/>
    <mergeCell ref="CS100:CX100"/>
    <mergeCell ref="GO90:HA90"/>
    <mergeCell ref="FG86:FH86"/>
    <mergeCell ref="DV93:EH93"/>
    <mergeCell ref="BQ88:BR88"/>
    <mergeCell ref="HB99:HC99"/>
    <mergeCell ref="EN94:ES94"/>
    <mergeCell ref="HB89:HC89"/>
    <mergeCell ref="GO89:HA89"/>
    <mergeCell ref="HL92:HX92"/>
    <mergeCell ref="HF92:HK92"/>
    <mergeCell ref="AX62:BC62"/>
    <mergeCell ref="HY92:HZ92"/>
    <mergeCell ref="GD73:GE73"/>
    <mergeCell ref="AX78:BC78"/>
    <mergeCell ref="AX63:BC63"/>
    <mergeCell ref="GO73:HA73"/>
    <mergeCell ref="BU76:BZ76"/>
    <mergeCell ref="GI105:GN105"/>
    <mergeCell ref="CA109:CM109"/>
    <mergeCell ref="CY43:DK43"/>
    <mergeCell ref="CS43:CX43"/>
    <mergeCell ref="V47:W47"/>
    <mergeCell ref="V68:W68"/>
    <mergeCell ref="Z27:AE27"/>
    <mergeCell ref="BQ29:BR29"/>
    <mergeCell ref="V29:W29"/>
    <mergeCell ref="BQ28:BR28"/>
    <mergeCell ref="AF28:AR28"/>
    <mergeCell ref="DL19:DM19"/>
    <mergeCell ref="BD27:BP27"/>
    <mergeCell ref="CS83:CX83"/>
    <mergeCell ref="AX85:BC85"/>
    <mergeCell ref="AS24:AT24"/>
    <mergeCell ref="V92:W92"/>
    <mergeCell ref="CY92:DK92"/>
    <mergeCell ref="DL30:DM30"/>
    <mergeCell ref="BD38:BP38"/>
    <mergeCell ref="CN30:CO30"/>
    <mergeCell ref="BU47:BZ47"/>
    <mergeCell ref="BD75:BP75"/>
    <mergeCell ref="V108:W108"/>
    <mergeCell ref="BQ89:BR89"/>
    <mergeCell ref="Z97:AE97"/>
    <mergeCell ref="V96:W96"/>
    <mergeCell ref="V97:W97"/>
    <mergeCell ref="Z103:AE103"/>
    <mergeCell ref="CN93:CO93"/>
    <mergeCell ref="CA106:CM106"/>
    <mergeCell ref="Z98:AE98"/>
    <mergeCell ref="CY89:DK89"/>
    <mergeCell ref="CN110:CO110"/>
    <mergeCell ref="CA110:CM110"/>
    <mergeCell ref="HY46:HZ46"/>
    <mergeCell ref="HB40:HC40"/>
    <mergeCell ref="GD107:GE107"/>
    <mergeCell ref="EN107:ES107"/>
    <mergeCell ref="C85:H85"/>
    <mergeCell ref="CS101:CX101"/>
    <mergeCell ref="AX102:BC102"/>
    <mergeCell ref="Z101:AE101"/>
    <mergeCell ref="AS101:AT101"/>
    <mergeCell ref="GD105:GE105"/>
    <mergeCell ref="FK101:FP101"/>
    <mergeCell ref="CY62:DK62"/>
    <mergeCell ref="FG105:FH105"/>
    <mergeCell ref="EI105:EJ105"/>
    <mergeCell ref="C49:H49"/>
    <mergeCell ref="BD60:BP60"/>
    <mergeCell ref="EN79:ES79"/>
    <mergeCell ref="GO105:HA105"/>
    <mergeCell ref="FK86:FP86"/>
    <mergeCell ref="DL106:DM106"/>
    <mergeCell ref="DP97:DU97"/>
    <mergeCell ref="V89:W89"/>
    <mergeCell ref="ET85:FF85"/>
    <mergeCell ref="DP86:DU86"/>
    <mergeCell ref="FQ106:GC106"/>
    <mergeCell ref="GO85:HA85"/>
    <mergeCell ref="V100:W100"/>
    <mergeCell ref="ET96:FF96"/>
    <mergeCell ref="Z105:AE105"/>
    <mergeCell ref="I91:U91"/>
    <mergeCell ref="GI110:GN110"/>
    <mergeCell ref="V110:W110"/>
    <mergeCell ref="HY29:HZ29"/>
    <mergeCell ref="BD58:BP58"/>
    <mergeCell ref="HF62:HK62"/>
    <mergeCell ref="HY87:HZ87"/>
    <mergeCell ref="EI108:EJ108"/>
    <mergeCell ref="DP108:DU108"/>
    <mergeCell ref="HY67:HZ67"/>
    <mergeCell ref="CY40:DK40"/>
    <mergeCell ref="BQ57:BR57"/>
    <mergeCell ref="HB72:HC72"/>
    <mergeCell ref="GO70:HA70"/>
    <mergeCell ref="HF51:HK51"/>
    <mergeCell ref="HY52:HZ52"/>
    <mergeCell ref="GD72:GE72"/>
    <mergeCell ref="EN72:ES72"/>
    <mergeCell ref="DV109:EH109"/>
    <mergeCell ref="DP107:DU107"/>
    <mergeCell ref="EN74:ES74"/>
    <mergeCell ref="GD95:GE95"/>
    <mergeCell ref="HF102:HK102"/>
    <mergeCell ref="FG31:FH31"/>
    <mergeCell ref="HB32:HC32"/>
    <mergeCell ref="EI86:EJ86"/>
    <mergeCell ref="GO31:HA31"/>
    <mergeCell ref="HF103:HK103"/>
    <mergeCell ref="CN99:CO99"/>
    <mergeCell ref="AX86:BC86"/>
    <mergeCell ref="CS93:CX93"/>
    <mergeCell ref="AF93:AR93"/>
    <mergeCell ref="BU106:BZ106"/>
    <mergeCell ref="DL103:DM103"/>
    <mergeCell ref="AX104:BC104"/>
    <mergeCell ref="BD101:BP101"/>
    <mergeCell ref="AS103:AT103"/>
    <mergeCell ref="DZ13:EJ13"/>
    <mergeCell ref="BT11:BU11"/>
    <mergeCell ref="BQ17:BR17"/>
    <mergeCell ref="CC11:CD11"/>
    <mergeCell ref="HB17:HC17"/>
    <mergeCell ref="BQ18:BR18"/>
    <mergeCell ref="ET11:FF11"/>
    <mergeCell ref="DL59:DM59"/>
    <mergeCell ref="AS37:AT37"/>
    <mergeCell ref="DP62:DU62"/>
    <mergeCell ref="BD29:BP29"/>
    <mergeCell ref="EN58:ES58"/>
    <mergeCell ref="DL37:DM37"/>
    <mergeCell ref="AS61:AT61"/>
    <mergeCell ref="FK56:FP56"/>
    <mergeCell ref="GI24:GN24"/>
    <mergeCell ref="BD14:BP14"/>
    <mergeCell ref="GO43:HA43"/>
    <mergeCell ref="BU18:BZ18"/>
    <mergeCell ref="HB29:HC29"/>
    <mergeCell ref="AS56:AT56"/>
    <mergeCell ref="BD80:BP80"/>
    <mergeCell ref="BQ35:BR35"/>
    <mergeCell ref="CY90:DK90"/>
    <mergeCell ref="FK32:FP32"/>
    <mergeCell ref="EN75:ES75"/>
    <mergeCell ref="HB63:HC63"/>
    <mergeCell ref="DL62:DM62"/>
    <mergeCell ref="BD42:BP42"/>
    <mergeCell ref="Y70:AT70"/>
    <mergeCell ref="HY82:HZ82"/>
    <mergeCell ref="AX81:BC81"/>
    <mergeCell ref="HL76:HX76"/>
    <mergeCell ref="Z84:AE84"/>
    <mergeCell ref="AF75:AR75"/>
    <mergeCell ref="GD86:GE86"/>
    <mergeCell ref="DP46:DU46"/>
    <mergeCell ref="AS60:AT60"/>
    <mergeCell ref="AF74:AR74"/>
    <mergeCell ref="FQ68:GC68"/>
    <mergeCell ref="HL64:HX64"/>
    <mergeCell ref="CA66:CM66"/>
    <mergeCell ref="EN45:ES45"/>
    <mergeCell ref="DL73:DM73"/>
    <mergeCell ref="FG76:FH76"/>
    <mergeCell ref="HL85:HX85"/>
    <mergeCell ref="DV84:EH84"/>
    <mergeCell ref="HB46:HC46"/>
    <mergeCell ref="EI56:EJ56"/>
    <mergeCell ref="AS84:AT84"/>
    <mergeCell ref="AF66:AR66"/>
    <mergeCell ref="FK46:FP46"/>
    <mergeCell ref="GD61:GE61"/>
    <mergeCell ref="HL55:HX55"/>
    <mergeCell ref="DV50:EH50"/>
    <mergeCell ref="HF76:HK76"/>
    <mergeCell ref="GO78:HA78"/>
    <mergeCell ref="HY54:HZ54"/>
    <mergeCell ref="DP45:DU45"/>
    <mergeCell ref="FQ62:GC62"/>
    <mergeCell ref="I29:U29"/>
    <mergeCell ref="ET24:FF24"/>
    <mergeCell ref="V46:W46"/>
    <mergeCell ref="HL24:HX24"/>
    <mergeCell ref="CN35:CO35"/>
    <mergeCell ref="HF65:HK65"/>
    <mergeCell ref="FK60:FP60"/>
    <mergeCell ref="GD28:GE28"/>
    <mergeCell ref="AS54:AT54"/>
    <mergeCell ref="HY28:HZ28"/>
    <mergeCell ref="HY25:HZ25"/>
    <mergeCell ref="HY74:HZ74"/>
    <mergeCell ref="AS52:AT52"/>
    <mergeCell ref="HF35:HK35"/>
    <mergeCell ref="CN63:CO63"/>
    <mergeCell ref="HY26:HZ26"/>
    <mergeCell ref="AF31:AR31"/>
    <mergeCell ref="HY42:HZ42"/>
    <mergeCell ref="HF66:HK66"/>
    <mergeCell ref="HL67:HX67"/>
    <mergeCell ref="EI42:EJ42"/>
    <mergeCell ref="DL42:DM42"/>
    <mergeCell ref="AF53:AR53"/>
    <mergeCell ref="CS44:CX44"/>
    <mergeCell ref="DP54:DU54"/>
    <mergeCell ref="Z48:AE48"/>
    <mergeCell ref="CY68:DK68"/>
    <mergeCell ref="AF44:AR44"/>
    <mergeCell ref="HB65:HC65"/>
    <mergeCell ref="GO55:HA55"/>
    <mergeCell ref="HB67:HC67"/>
    <mergeCell ref="GO63:HA63"/>
    <mergeCell ref="C38:H38"/>
    <mergeCell ref="I54:U54"/>
    <mergeCell ref="C55:H55"/>
    <mergeCell ref="C56:H56"/>
    <mergeCell ref="GD78:GE78"/>
    <mergeCell ref="CN36:CO36"/>
    <mergeCell ref="BD52:BP52"/>
    <mergeCell ref="HL50:HX50"/>
    <mergeCell ref="AS41:AT41"/>
    <mergeCell ref="HL42:HX42"/>
    <mergeCell ref="CS45:CX45"/>
    <mergeCell ref="DV40:EH40"/>
    <mergeCell ref="DP42:DU42"/>
    <mergeCell ref="DV43:EH43"/>
    <mergeCell ref="GO86:HA86"/>
    <mergeCell ref="HF73:HK73"/>
    <mergeCell ref="HY77:HZ77"/>
    <mergeCell ref="HF67:HK67"/>
    <mergeCell ref="HF86:HK86"/>
    <mergeCell ref="EI46:EJ46"/>
    <mergeCell ref="BQ37:BR37"/>
    <mergeCell ref="FQ38:GC38"/>
    <mergeCell ref="DL47:DM47"/>
    <mergeCell ref="ET40:FF40"/>
    <mergeCell ref="GO62:HA62"/>
    <mergeCell ref="GI63:GN63"/>
    <mergeCell ref="GD46:GE46"/>
    <mergeCell ref="GO41:HA41"/>
    <mergeCell ref="BQ38:BR38"/>
    <mergeCell ref="BQ42:BR42"/>
    <mergeCell ref="HY61:HZ61"/>
    <mergeCell ref="AS58:AT58"/>
    <mergeCell ref="V35:W35"/>
    <mergeCell ref="C28:H28"/>
    <mergeCell ref="CS37:CX37"/>
    <mergeCell ref="HF31:HK31"/>
    <mergeCell ref="GD32:GE32"/>
    <mergeCell ref="GO67:HA67"/>
    <mergeCell ref="GI71:GN71"/>
    <mergeCell ref="FQ87:GC87"/>
    <mergeCell ref="CS81:CX81"/>
    <mergeCell ref="Z81:AE81"/>
    <mergeCell ref="CN81:CO81"/>
    <mergeCell ref="ET92:FF92"/>
    <mergeCell ref="Z74:AE74"/>
    <mergeCell ref="BU61:BZ61"/>
    <mergeCell ref="BD61:BP61"/>
    <mergeCell ref="C92:H92"/>
    <mergeCell ref="I37:U37"/>
    <mergeCell ref="CS66:CX66"/>
    <mergeCell ref="GD43:GE43"/>
    <mergeCell ref="GD42:GE42"/>
    <mergeCell ref="CY87:DK87"/>
    <mergeCell ref="C39:H39"/>
    <mergeCell ref="GD68:GE68"/>
    <mergeCell ref="DL55:DM55"/>
    <mergeCell ref="FQ72:GC72"/>
    <mergeCell ref="AS77:AT77"/>
    <mergeCell ref="C54:H54"/>
    <mergeCell ref="C87:H87"/>
    <mergeCell ref="C60:H60"/>
    <mergeCell ref="V58:W58"/>
    <mergeCell ref="I42:U42"/>
    <mergeCell ref="Z78:AE78"/>
    <mergeCell ref="C82:H82"/>
    <mergeCell ref="I15:U15"/>
    <mergeCell ref="AS104:AT104"/>
    <mergeCell ref="C61:H61"/>
    <mergeCell ref="I47:U47"/>
    <mergeCell ref="AS81:AT81"/>
    <mergeCell ref="BU56:BZ56"/>
    <mergeCell ref="AF43:AR43"/>
    <mergeCell ref="AS76:AT76"/>
    <mergeCell ref="DV80:EH80"/>
    <mergeCell ref="EN82:ES82"/>
    <mergeCell ref="I80:U80"/>
    <mergeCell ref="C79:H79"/>
    <mergeCell ref="C68:H68"/>
    <mergeCell ref="C53:H53"/>
    <mergeCell ref="CN28:CO28"/>
    <mergeCell ref="EI33:EJ33"/>
    <mergeCell ref="BU29:BZ29"/>
    <mergeCell ref="AS31:AT31"/>
    <mergeCell ref="BQ73:BR73"/>
    <mergeCell ref="BQ33:BR33"/>
    <mergeCell ref="AX47:BC47"/>
    <mergeCell ref="DV51:EH51"/>
    <mergeCell ref="CY75:DK75"/>
    <mergeCell ref="C46:H46"/>
    <mergeCell ref="I44:U44"/>
    <mergeCell ref="I77:U77"/>
    <mergeCell ref="AS47:AT47"/>
    <mergeCell ref="V38:W38"/>
    <mergeCell ref="CS57:CX57"/>
    <mergeCell ref="Z71:AE71"/>
    <mergeCell ref="DL54:DM54"/>
    <mergeCell ref="HL93:HX93"/>
    <mergeCell ref="EI93:EJ93"/>
    <mergeCell ref="FK88:FP88"/>
    <mergeCell ref="CN102:CO102"/>
    <mergeCell ref="I79:U79"/>
    <mergeCell ref="C33:H33"/>
    <mergeCell ref="HY93:HZ93"/>
    <mergeCell ref="FQ109:GC109"/>
    <mergeCell ref="GO13:HA13"/>
    <mergeCell ref="I32:U32"/>
    <mergeCell ref="DP40:DU40"/>
    <mergeCell ref="AX23:BC23"/>
    <mergeCell ref="HY34:HZ34"/>
    <mergeCell ref="HL22:HX22"/>
    <mergeCell ref="CY67:DK67"/>
    <mergeCell ref="FQ31:GC31"/>
    <mergeCell ref="CA20:CM20"/>
    <mergeCell ref="GD47:GE47"/>
    <mergeCell ref="AF39:AR39"/>
    <mergeCell ref="FL13:FQ13"/>
    <mergeCell ref="ET22:FF22"/>
    <mergeCell ref="EI30:EJ30"/>
    <mergeCell ref="CE13:CO13"/>
    <mergeCell ref="BU27:BZ27"/>
    <mergeCell ref="FG50:FH50"/>
    <mergeCell ref="GD22:GE22"/>
    <mergeCell ref="HF61:HK61"/>
    <mergeCell ref="CN29:CO29"/>
    <mergeCell ref="CY48:DK48"/>
    <mergeCell ref="EI29:EJ29"/>
    <mergeCell ref="CS61:CX61"/>
    <mergeCell ref="GI77:GN77"/>
    <mergeCell ref="GO97:HA97"/>
    <mergeCell ref="BU96:BZ96"/>
    <mergeCell ref="CA97:CM97"/>
    <mergeCell ref="BU93:BZ93"/>
    <mergeCell ref="HB82:HC82"/>
    <mergeCell ref="BQ101:BR101"/>
    <mergeCell ref="EN106:ES106"/>
    <mergeCell ref="ET105:FF105"/>
    <mergeCell ref="HB104:HC104"/>
    <mergeCell ref="FG104:FH104"/>
    <mergeCell ref="FQ93:GC93"/>
    <mergeCell ref="CN106:CO106"/>
    <mergeCell ref="ET104:FF104"/>
    <mergeCell ref="DV94:EH94"/>
    <mergeCell ref="GD101:GE101"/>
    <mergeCell ref="BQ103:BR103"/>
    <mergeCell ref="BU102:BZ102"/>
    <mergeCell ref="CY86:DK86"/>
    <mergeCell ref="DP87:DU87"/>
    <mergeCell ref="CA87:CM87"/>
    <mergeCell ref="ET106:FF106"/>
    <mergeCell ref="BQ95:BR95"/>
    <mergeCell ref="EN98:ES98"/>
    <mergeCell ref="GO106:HA106"/>
    <mergeCell ref="BQ87:BR87"/>
    <mergeCell ref="GI101:GN101"/>
    <mergeCell ref="FG98:FH98"/>
    <mergeCell ref="DP101:DU101"/>
    <mergeCell ref="GO99:HA99"/>
    <mergeCell ref="ET83:FF83"/>
    <mergeCell ref="HB100:HC100"/>
    <mergeCell ref="FK102:FP102"/>
    <mergeCell ref="AA10:AF10"/>
    <mergeCell ref="HP13:HZ13"/>
    <mergeCell ref="BQ11:BR11"/>
    <mergeCell ref="AA12:AF12"/>
    <mergeCell ref="GI85:GN85"/>
    <mergeCell ref="CS105:CX105"/>
    <mergeCell ref="AF61:AR61"/>
    <mergeCell ref="HL30:HX30"/>
    <mergeCell ref="GD64:GE64"/>
    <mergeCell ref="GI10:GN10"/>
    <mergeCell ref="ET25:FF25"/>
    <mergeCell ref="EN65:ES65"/>
    <mergeCell ref="CY28:DK28"/>
    <mergeCell ref="GD30:GE30"/>
    <mergeCell ref="CA37:CM37"/>
    <mergeCell ref="FK26:FP26"/>
    <mergeCell ref="GD57:GE57"/>
    <mergeCell ref="EI27:EJ27"/>
    <mergeCell ref="HL26:HX26"/>
    <mergeCell ref="DP39:DU39"/>
    <mergeCell ref="HL103:HX103"/>
    <mergeCell ref="HF18:HK18"/>
    <mergeCell ref="EI31:EJ31"/>
    <mergeCell ref="BQ61:BR61"/>
    <mergeCell ref="HF29:HK29"/>
    <mergeCell ref="CA30:CM30"/>
    <mergeCell ref="FQ58:GC58"/>
    <mergeCell ref="ET74:FF74"/>
    <mergeCell ref="CS75:CX75"/>
    <mergeCell ref="CY51:DK51"/>
    <mergeCell ref="AS80:AT80"/>
    <mergeCell ref="HL89:HX89"/>
    <mergeCell ref="HF110:HK110"/>
    <mergeCell ref="BD102:BP102"/>
    <mergeCell ref="ET28:FF28"/>
    <mergeCell ref="CA29:CM29"/>
    <mergeCell ref="HB37:HC37"/>
    <mergeCell ref="CN32:CO32"/>
    <mergeCell ref="CS27:CX27"/>
    <mergeCell ref="HY47:HZ47"/>
    <mergeCell ref="GO49:HA49"/>
    <mergeCell ref="HL88:HX88"/>
    <mergeCell ref="I39:U39"/>
    <mergeCell ref="HF55:HK55"/>
    <mergeCell ref="FQ57:GC57"/>
    <mergeCell ref="I43:U43"/>
    <mergeCell ref="HB57:HC57"/>
    <mergeCell ref="FG43:FH43"/>
    <mergeCell ref="DP43:DU43"/>
    <mergeCell ref="V63:W63"/>
    <mergeCell ref="CA59:CM59"/>
    <mergeCell ref="HB83:HC83"/>
    <mergeCell ref="DV30:EH30"/>
    <mergeCell ref="EI40:EJ40"/>
    <mergeCell ref="ET30:FF30"/>
    <mergeCell ref="EN76:ES76"/>
    <mergeCell ref="GO74:HA74"/>
    <mergeCell ref="Z36:AE36"/>
    <mergeCell ref="DL44:DM44"/>
    <mergeCell ref="FQ29:GC29"/>
    <mergeCell ref="DL45:DM45"/>
    <mergeCell ref="DP32:DU32"/>
    <mergeCell ref="Z37:AE37"/>
    <mergeCell ref="BQ86:BR86"/>
    <mergeCell ref="FQ107:GC107"/>
    <mergeCell ref="HB106:HC106"/>
    <mergeCell ref="CY63:DK63"/>
    <mergeCell ref="I50:U50"/>
    <mergeCell ref="BU49:BZ49"/>
    <mergeCell ref="CA40:CM40"/>
    <mergeCell ref="FK66:FP66"/>
    <mergeCell ref="FQ60:GC60"/>
    <mergeCell ref="CY70:DK70"/>
    <mergeCell ref="GI81:GN81"/>
    <mergeCell ref="BQ109:BR109"/>
    <mergeCell ref="EI89:EJ89"/>
    <mergeCell ref="GI107:GN107"/>
    <mergeCell ref="DL107:DM107"/>
    <mergeCell ref="GI52:GN52"/>
    <mergeCell ref="FQ110:GC110"/>
    <mergeCell ref="HB109:HC109"/>
    <mergeCell ref="AX93:BC93"/>
    <mergeCell ref="AS88:AT88"/>
    <mergeCell ref="AS93:AT93"/>
    <mergeCell ref="BU95:BZ95"/>
    <mergeCell ref="HB86:HC86"/>
    <mergeCell ref="Z73:AE73"/>
    <mergeCell ref="DV83:EH83"/>
    <mergeCell ref="FG74:FH74"/>
    <mergeCell ref="FQ67:GC67"/>
    <mergeCell ref="BQ99:BR99"/>
    <mergeCell ref="CS102:CX102"/>
    <mergeCell ref="I99:U99"/>
    <mergeCell ref="Z102:AE102"/>
    <mergeCell ref="FQ40:GC40"/>
    <mergeCell ref="V69:W69"/>
    <mergeCell ref="Z38:AE38"/>
    <mergeCell ref="HL73:HX73"/>
    <mergeCell ref="GI89:GN89"/>
    <mergeCell ref="BQ92:BR92"/>
    <mergeCell ref="GO80:HA80"/>
    <mergeCell ref="CY97:DK97"/>
    <mergeCell ref="CS53:CX53"/>
    <mergeCell ref="GO96:HA96"/>
    <mergeCell ref="FG84:FH84"/>
    <mergeCell ref="DP79:DU79"/>
    <mergeCell ref="DP94:DU94"/>
    <mergeCell ref="EN88:ES88"/>
    <mergeCell ref="FQ89:GC89"/>
    <mergeCell ref="FG91:FH91"/>
    <mergeCell ref="DV88:EH88"/>
    <mergeCell ref="DP61:DU61"/>
    <mergeCell ref="DP93:DU93"/>
    <mergeCell ref="ET91:FF91"/>
    <mergeCell ref="EI94:EJ94"/>
    <mergeCell ref="GD59:GE59"/>
    <mergeCell ref="GO68:HA68"/>
    <mergeCell ref="DL88:DM88"/>
    <mergeCell ref="GD55:GE55"/>
    <mergeCell ref="CY80:DK80"/>
    <mergeCell ref="BQ72:BR72"/>
    <mergeCell ref="AF47:AR47"/>
    <mergeCell ref="BU46:BZ46"/>
    <mergeCell ref="EI51:EJ51"/>
    <mergeCell ref="DV60:EH60"/>
    <mergeCell ref="FK74:FP74"/>
    <mergeCell ref="CY59:DK59"/>
    <mergeCell ref="Z60:AE60"/>
    <mergeCell ref="C10:H10"/>
    <mergeCell ref="V49:W49"/>
    <mergeCell ref="Z58:AE58"/>
    <mergeCell ref="V59:W59"/>
    <mergeCell ref="HL32:HX32"/>
    <mergeCell ref="CA60:CM60"/>
    <mergeCell ref="DP65:DU65"/>
    <mergeCell ref="FQ48:GC48"/>
    <mergeCell ref="BV11:CA11"/>
    <mergeCell ref="CC13:CD13"/>
    <mergeCell ref="BD10:BP10"/>
    <mergeCell ref="BV10:CA10"/>
    <mergeCell ref="AX10:BC10"/>
    <mergeCell ref="CY10:DK10"/>
    <mergeCell ref="FJ13:FK13"/>
    <mergeCell ref="HB20:HC20"/>
    <mergeCell ref="HP12:HZ12"/>
    <mergeCell ref="V10:W10"/>
    <mergeCell ref="DV33:EH33"/>
    <mergeCell ref="DV29:EH29"/>
    <mergeCell ref="HN10:HO10"/>
    <mergeCell ref="DL21:DM21"/>
    <mergeCell ref="DV21:EH21"/>
    <mergeCell ref="EI21:EJ21"/>
    <mergeCell ref="V21:W21"/>
    <mergeCell ref="DV32:EH32"/>
    <mergeCell ref="HG13:HL13"/>
    <mergeCell ref="HB47:HC47"/>
    <mergeCell ref="C43:H43"/>
    <mergeCell ref="EN50:ES50"/>
    <mergeCell ref="CS55:CX55"/>
    <mergeCell ref="BQ52:BR52"/>
    <mergeCell ref="C22:H22"/>
    <mergeCell ref="DQ12:DV12"/>
    <mergeCell ref="C91:H91"/>
    <mergeCell ref="DV87:EH87"/>
    <mergeCell ref="CS87:CX87"/>
    <mergeCell ref="I88:U88"/>
    <mergeCell ref="BD83:BP83"/>
    <mergeCell ref="C86:H86"/>
    <mergeCell ref="BQ93:BR93"/>
    <mergeCell ref="C69:H69"/>
    <mergeCell ref="Z80:AE80"/>
    <mergeCell ref="AX80:BC80"/>
    <mergeCell ref="BU78:BZ78"/>
    <mergeCell ref="CY79:DK79"/>
    <mergeCell ref="DP77:DU77"/>
    <mergeCell ref="C93:H93"/>
    <mergeCell ref="AS87:AT87"/>
    <mergeCell ref="Z47:AE47"/>
    <mergeCell ref="BD64:BP64"/>
    <mergeCell ref="AS36:AT36"/>
    <mergeCell ref="CN24:CO24"/>
    <mergeCell ref="BU33:BZ33"/>
    <mergeCell ref="BD53:BP53"/>
    <mergeCell ref="DL46:DM46"/>
    <mergeCell ref="BU52:BZ52"/>
    <mergeCell ref="BQ48:BR48"/>
    <mergeCell ref="DL48:DM48"/>
    <mergeCell ref="CN48:CO48"/>
    <mergeCell ref="CC14:CD14"/>
    <mergeCell ref="DO15:DP15"/>
    <mergeCell ref="AF49:AR49"/>
    <mergeCell ref="AX45:BC45"/>
    <mergeCell ref="Y10:Z10"/>
    <mergeCell ref="C15:H15"/>
    <mergeCell ref="BT14:BU14"/>
    <mergeCell ref="BT13:BU13"/>
    <mergeCell ref="HL18:HX18"/>
    <mergeCell ref="EN73:ES73"/>
    <mergeCell ref="DV44:EH44"/>
    <mergeCell ref="GO15:HA15"/>
    <mergeCell ref="GI17:GN17"/>
    <mergeCell ref="GO29:HA29"/>
    <mergeCell ref="C47:H47"/>
    <mergeCell ref="DQ10:DV10"/>
    <mergeCell ref="EI45:EJ45"/>
    <mergeCell ref="FU15:GE15"/>
    <mergeCell ref="ET64:FF64"/>
    <mergeCell ref="EN64:ES64"/>
    <mergeCell ref="Z24:AE24"/>
    <mergeCell ref="DO14:DP14"/>
    <mergeCell ref="FG14:FH14"/>
    <mergeCell ref="HF46:HK46"/>
    <mergeCell ref="BQ19:BR19"/>
    <mergeCell ref="BD50:BP50"/>
    <mergeCell ref="FG16:FH16"/>
    <mergeCell ref="V24:W24"/>
    <mergeCell ref="C72:H72"/>
    <mergeCell ref="FK59:FP59"/>
    <mergeCell ref="DP23:DU23"/>
    <mergeCell ref="GI66:GN66"/>
    <mergeCell ref="CA61:CM61"/>
    <mergeCell ref="EN69:ES69"/>
    <mergeCell ref="C44:H44"/>
    <mergeCell ref="I68:U68"/>
    <mergeCell ref="AW9:BR9"/>
    <mergeCell ref="DL67:DM67"/>
    <mergeCell ref="HB16:HC16"/>
    <mergeCell ref="HE70:HZ70"/>
    <mergeCell ref="GI30:GN30"/>
    <mergeCell ref="CS19:CX19"/>
    <mergeCell ref="HF68:HK68"/>
    <mergeCell ref="FK21:FP21"/>
    <mergeCell ref="FQ46:GC46"/>
    <mergeCell ref="C20:H20"/>
    <mergeCell ref="BU55:BZ55"/>
    <mergeCell ref="I16:U16"/>
    <mergeCell ref="I17:U17"/>
    <mergeCell ref="AA15:AF15"/>
    <mergeCell ref="FK29:FP29"/>
    <mergeCell ref="GD19:GE19"/>
    <mergeCell ref="ET57:FF57"/>
    <mergeCell ref="GI67:GN67"/>
    <mergeCell ref="I28:U28"/>
    <mergeCell ref="V14:W14"/>
    <mergeCell ref="Y14:Z14"/>
    <mergeCell ref="V26:W26"/>
    <mergeCell ref="V28:W28"/>
    <mergeCell ref="CN46:CO46"/>
    <mergeCell ref="V48:W48"/>
    <mergeCell ref="BQ44:BR44"/>
    <mergeCell ref="HF47:HK47"/>
    <mergeCell ref="FG65:FH65"/>
    <mergeCell ref="HY41:HZ41"/>
    <mergeCell ref="CY15:DK15"/>
    <mergeCell ref="CA50:CM50"/>
    <mergeCell ref="CC15:CD15"/>
    <mergeCell ref="C108:H108"/>
    <mergeCell ref="HB107:HC107"/>
    <mergeCell ref="HY84:HZ84"/>
    <mergeCell ref="HB95:HC95"/>
    <mergeCell ref="I89:U89"/>
    <mergeCell ref="DV101:EH101"/>
    <mergeCell ref="HF87:HK87"/>
    <mergeCell ref="BD76:BP76"/>
    <mergeCell ref="GO104:HA104"/>
    <mergeCell ref="HY89:HZ89"/>
    <mergeCell ref="FQ108:GC108"/>
    <mergeCell ref="AS64:AT64"/>
    <mergeCell ref="EN37:ES37"/>
    <mergeCell ref="HF54:HK54"/>
    <mergeCell ref="DV31:EH31"/>
    <mergeCell ref="GI94:GN94"/>
    <mergeCell ref="BD69:BP69"/>
    <mergeCell ref="EI95:EJ95"/>
    <mergeCell ref="CA82:CM82"/>
    <mergeCell ref="BT70:CO70"/>
    <mergeCell ref="CS70:CX70"/>
    <mergeCell ref="GD67:GE67"/>
    <mergeCell ref="C71:H71"/>
    <mergeCell ref="FQ95:GC95"/>
    <mergeCell ref="HB88:HC88"/>
    <mergeCell ref="EN70:ES70"/>
    <mergeCell ref="DL97:DM97"/>
    <mergeCell ref="AX50:BC50"/>
    <mergeCell ref="FG53:FH53"/>
    <mergeCell ref="DV61:EH61"/>
    <mergeCell ref="CA65:CM65"/>
    <mergeCell ref="C32:H32"/>
    <mergeCell ref="HL109:HX109"/>
    <mergeCell ref="FG110:FH110"/>
    <mergeCell ref="BD86:BP86"/>
    <mergeCell ref="GO33:HA33"/>
    <mergeCell ref="CN56:CO56"/>
    <mergeCell ref="CS29:CX29"/>
    <mergeCell ref="GD91:GE91"/>
    <mergeCell ref="V83:W83"/>
    <mergeCell ref="Z65:AE65"/>
    <mergeCell ref="AX66:BC66"/>
    <mergeCell ref="AS33:AT33"/>
    <mergeCell ref="FK99:FP99"/>
    <mergeCell ref="AX105:BC105"/>
    <mergeCell ref="V65:W65"/>
    <mergeCell ref="FG87:FH87"/>
    <mergeCell ref="GD77:GE77"/>
    <mergeCell ref="FG30:FH30"/>
    <mergeCell ref="AX77:BC77"/>
    <mergeCell ref="EI79:EJ79"/>
    <mergeCell ref="GD89:GE89"/>
    <mergeCell ref="HB54:HC54"/>
    <mergeCell ref="DV92:EH92"/>
    <mergeCell ref="DP67:DU67"/>
    <mergeCell ref="FG48:FH48"/>
    <mergeCell ref="EN57:ES57"/>
    <mergeCell ref="GO65:HA65"/>
    <mergeCell ref="GD58:GE58"/>
    <mergeCell ref="EI64:EJ64"/>
    <mergeCell ref="GD110:GE110"/>
    <mergeCell ref="AS108:AT108"/>
    <mergeCell ref="DP106:DU106"/>
    <mergeCell ref="EI99:EJ99"/>
    <mergeCell ref="HY108:HZ108"/>
    <mergeCell ref="BQ70:BR70"/>
    <mergeCell ref="GD99:GE99"/>
    <mergeCell ref="HL86:HX86"/>
    <mergeCell ref="HB81:HC81"/>
    <mergeCell ref="CY38:DK38"/>
    <mergeCell ref="GO64:HA64"/>
    <mergeCell ref="GD36:GE36"/>
    <mergeCell ref="HY44:HZ44"/>
    <mergeCell ref="HL107:HX107"/>
    <mergeCell ref="EI90:EJ90"/>
    <mergeCell ref="EN52:ES52"/>
    <mergeCell ref="CN52:CO52"/>
    <mergeCell ref="DP53:DU53"/>
    <mergeCell ref="CA53:CM53"/>
    <mergeCell ref="FK65:FP65"/>
    <mergeCell ref="BU48:BZ48"/>
    <mergeCell ref="GO46:HA46"/>
    <mergeCell ref="HB53:HC53"/>
    <mergeCell ref="HB98:HC98"/>
    <mergeCell ref="BU75:BZ75"/>
    <mergeCell ref="GD96:GE96"/>
    <mergeCell ref="FQ83:GC83"/>
    <mergeCell ref="CS62:CX62"/>
    <mergeCell ref="HB45:HC45"/>
    <mergeCell ref="FK62:FP62"/>
    <mergeCell ref="HF53:HK53"/>
    <mergeCell ref="DV68:EH68"/>
    <mergeCell ref="GO53:HA53"/>
    <mergeCell ref="HL38:HX38"/>
    <mergeCell ref="HL84:HX84"/>
    <mergeCell ref="GO94:HA94"/>
    <mergeCell ref="HL110:HX110"/>
    <mergeCell ref="HY110:HZ110"/>
    <mergeCell ref="AX64:BC64"/>
    <mergeCell ref="I109:U109"/>
    <mergeCell ref="AX95:BC95"/>
    <mergeCell ref="HG11:HL11"/>
    <mergeCell ref="DL56:DM56"/>
    <mergeCell ref="FG57:FH57"/>
    <mergeCell ref="DZ12:EJ12"/>
    <mergeCell ref="FQ52:GC52"/>
    <mergeCell ref="CS86:CX86"/>
    <mergeCell ref="GD108:GE108"/>
    <mergeCell ref="BQ97:BR97"/>
    <mergeCell ref="AS83:AT83"/>
    <mergeCell ref="AX17:BC17"/>
    <mergeCell ref="FK57:FP57"/>
    <mergeCell ref="GI11:GN11"/>
    <mergeCell ref="AJ11:AT11"/>
    <mergeCell ref="V11:W11"/>
    <mergeCell ref="EI107:EJ107"/>
    <mergeCell ref="HL87:HX87"/>
    <mergeCell ref="I73:U73"/>
    <mergeCell ref="DV24:EH24"/>
    <mergeCell ref="EI18:EJ18"/>
    <mergeCell ref="I108:U108"/>
    <mergeCell ref="BD109:BP109"/>
    <mergeCell ref="I110:U110"/>
    <mergeCell ref="CY94:DK94"/>
    <mergeCell ref="BQ108:BR108"/>
    <mergeCell ref="I101:U101"/>
    <mergeCell ref="Z108:AE108"/>
    <mergeCell ref="BD95:BP95"/>
    <mergeCell ref="HY20:HZ20"/>
    <mergeCell ref="HL39:HX39"/>
    <mergeCell ref="FQ37:GC37"/>
    <mergeCell ref="CY36:DK36"/>
    <mergeCell ref="GI32:GN32"/>
    <mergeCell ref="GI33:GN33"/>
    <mergeCell ref="DV34:EH34"/>
    <mergeCell ref="FG38:FH38"/>
    <mergeCell ref="GI37:GN37"/>
    <mergeCell ref="DP38:DU38"/>
    <mergeCell ref="FK40:FP40"/>
    <mergeCell ref="HP14:HZ14"/>
    <mergeCell ref="GO17:HA17"/>
    <mergeCell ref="HL36:HX36"/>
    <mergeCell ref="HE17:HZ17"/>
    <mergeCell ref="HE14:HF14"/>
    <mergeCell ref="HG14:HL14"/>
    <mergeCell ref="GI16:GN16"/>
    <mergeCell ref="HY37:HZ37"/>
    <mergeCell ref="GI26:GN26"/>
    <mergeCell ref="FG18:FH18"/>
    <mergeCell ref="DP18:DU18"/>
    <mergeCell ref="EN22:ES22"/>
    <mergeCell ref="HY21:HZ21"/>
    <mergeCell ref="DL38:DM38"/>
    <mergeCell ref="HL19:HX19"/>
    <mergeCell ref="ET38:FF38"/>
    <mergeCell ref="HL25:HX25"/>
    <mergeCell ref="HL27:HX27"/>
    <mergeCell ref="HL23:HX23"/>
    <mergeCell ref="FK28:FP28"/>
    <mergeCell ref="CY16:DK16"/>
    <mergeCell ref="DL15:DM15"/>
    <mergeCell ref="HF22:HK22"/>
    <mergeCell ref="HF28:HK28"/>
    <mergeCell ref="GD25:GE25"/>
    <mergeCell ref="HN14:HO14"/>
    <mergeCell ref="CA52:CM52"/>
    <mergeCell ref="DV47:EH47"/>
    <mergeCell ref="CS18:CX18"/>
    <mergeCell ref="DL32:DM32"/>
    <mergeCell ref="EN18:ES18"/>
    <mergeCell ref="DL24:DM24"/>
    <mergeCell ref="GI45:GN45"/>
    <mergeCell ref="CA47:CM47"/>
    <mergeCell ref="DP48:DU48"/>
    <mergeCell ref="CN37:CO37"/>
    <mergeCell ref="DL52:DM52"/>
    <mergeCell ref="GO45:HA45"/>
    <mergeCell ref="CY45:DK45"/>
    <mergeCell ref="CN41:CO41"/>
    <mergeCell ref="GO47:HA47"/>
    <mergeCell ref="DV19:EH19"/>
    <mergeCell ref="GI39:GN39"/>
    <mergeCell ref="FQ34:GC34"/>
    <mergeCell ref="EN20:ES20"/>
    <mergeCell ref="FG34:FH34"/>
    <mergeCell ref="ET52:FF52"/>
    <mergeCell ref="GD20:GE20"/>
    <mergeCell ref="FG45:FH45"/>
    <mergeCell ref="HF19:HK19"/>
    <mergeCell ref="DP22:DU22"/>
    <mergeCell ref="DQ14:DV14"/>
    <mergeCell ref="GO22:HA22"/>
    <mergeCell ref="BQ16:BR16"/>
    <mergeCell ref="HB24:HC24"/>
    <mergeCell ref="BQ34:BR34"/>
    <mergeCell ref="FK39:FP39"/>
    <mergeCell ref="FG27:FH27"/>
    <mergeCell ref="ET18:FF18"/>
    <mergeCell ref="CS20:CX20"/>
    <mergeCell ref="HL20:HX20"/>
    <mergeCell ref="HY24:HZ24"/>
    <mergeCell ref="HY18:HZ18"/>
    <mergeCell ref="CY60:DK60"/>
    <mergeCell ref="EN55:ES55"/>
    <mergeCell ref="CY54:DK54"/>
    <mergeCell ref="FG55:FH55"/>
    <mergeCell ref="CY29:DK29"/>
    <mergeCell ref="HY19:HZ19"/>
    <mergeCell ref="DV42:EH42"/>
    <mergeCell ref="DV41:EH41"/>
    <mergeCell ref="FK52:FP52"/>
    <mergeCell ref="CN23:CO23"/>
    <mergeCell ref="ET16:FF16"/>
    <mergeCell ref="HL41:HX41"/>
    <mergeCell ref="GO42:HA42"/>
    <mergeCell ref="HL59:HX59"/>
    <mergeCell ref="GO26:HA26"/>
    <mergeCell ref="FG41:FH41"/>
    <mergeCell ref="FG44:FH44"/>
    <mergeCell ref="HL44:HX44"/>
    <mergeCell ref="FK42:FP42"/>
    <mergeCell ref="CY41:DK41"/>
    <mergeCell ref="DL43:DM43"/>
    <mergeCell ref="EN17:ES17"/>
    <mergeCell ref="HL63:HX63"/>
    <mergeCell ref="GI50:GN50"/>
    <mergeCell ref="EN66:ES66"/>
    <mergeCell ref="DL66:DM66"/>
    <mergeCell ref="HL49:HX49"/>
    <mergeCell ref="DP64:DU64"/>
    <mergeCell ref="CN57:CO57"/>
    <mergeCell ref="EI78:EJ78"/>
    <mergeCell ref="HF64:HK64"/>
    <mergeCell ref="GD65:GE65"/>
    <mergeCell ref="GD51:GE51"/>
    <mergeCell ref="GI51:GN51"/>
    <mergeCell ref="ET61:FF61"/>
    <mergeCell ref="GD62:GE62"/>
    <mergeCell ref="GO71:HA71"/>
    <mergeCell ref="DL57:DM57"/>
    <mergeCell ref="GO69:HA69"/>
    <mergeCell ref="HF75:HK75"/>
    <mergeCell ref="HL74:HX74"/>
    <mergeCell ref="DL64:DM64"/>
    <mergeCell ref="HL66:HX66"/>
    <mergeCell ref="ET68:FF68"/>
    <mergeCell ref="ET58:FF58"/>
    <mergeCell ref="GI70:GN70"/>
    <mergeCell ref="CY64:DK64"/>
    <mergeCell ref="GI65:GN65"/>
    <mergeCell ref="HY59:HZ59"/>
    <mergeCell ref="HY78:HZ78"/>
    <mergeCell ref="HY63:HZ63"/>
    <mergeCell ref="CN71:CO71"/>
    <mergeCell ref="AF19:AR19"/>
    <mergeCell ref="HF36:HK36"/>
    <mergeCell ref="HY90:HZ90"/>
    <mergeCell ref="BQ84:BR84"/>
    <mergeCell ref="CA84:CM84"/>
    <mergeCell ref="ET86:FF86"/>
    <mergeCell ref="AX72:BC72"/>
    <mergeCell ref="FK87:FP87"/>
    <mergeCell ref="BD77:BP77"/>
    <mergeCell ref="EI87:EJ87"/>
    <mergeCell ref="HF71:HK71"/>
    <mergeCell ref="CA85:CM85"/>
    <mergeCell ref="FK73:FP73"/>
    <mergeCell ref="HB77:HC77"/>
    <mergeCell ref="EI52:EJ52"/>
    <mergeCell ref="AX74:BC74"/>
    <mergeCell ref="DP68:DU68"/>
    <mergeCell ref="HY68:HZ68"/>
    <mergeCell ref="HY43:HZ43"/>
    <mergeCell ref="ET50:FF50"/>
    <mergeCell ref="FG51:FH51"/>
    <mergeCell ref="HY88:HZ88"/>
    <mergeCell ref="EN56:ES56"/>
    <mergeCell ref="BQ62:BR62"/>
    <mergeCell ref="HF74:HK74"/>
    <mergeCell ref="ET45:FF45"/>
    <mergeCell ref="HB48:HC48"/>
    <mergeCell ref="HL77:HX77"/>
    <mergeCell ref="EI37:EJ37"/>
    <mergeCell ref="HL57:HX57"/>
    <mergeCell ref="HL78:HX78"/>
    <mergeCell ref="EN47:ES47"/>
    <mergeCell ref="AJ15:AT15"/>
    <mergeCell ref="HF60:HK60"/>
    <mergeCell ref="GI83:GN83"/>
    <mergeCell ref="FG80:FH80"/>
    <mergeCell ref="FK78:FP78"/>
    <mergeCell ref="CS51:CX51"/>
    <mergeCell ref="ET69:FF69"/>
    <mergeCell ref="BD70:BP70"/>
    <mergeCell ref="DL69:DM69"/>
    <mergeCell ref="CS72:CX72"/>
    <mergeCell ref="FQ73:GC73"/>
    <mergeCell ref="HB60:HC60"/>
    <mergeCell ref="AS65:AT65"/>
    <mergeCell ref="AX65:BC65"/>
    <mergeCell ref="BD73:BP73"/>
    <mergeCell ref="HB58:HC58"/>
    <mergeCell ref="BQ83:BR83"/>
    <mergeCell ref="CY47:DK47"/>
    <mergeCell ref="GI53:GN53"/>
    <mergeCell ref="ET77:FF77"/>
    <mergeCell ref="AF30:AR30"/>
    <mergeCell ref="DL40:DM40"/>
    <mergeCell ref="AF25:AR25"/>
    <mergeCell ref="AF24:AR24"/>
    <mergeCell ref="HB28:HC28"/>
    <mergeCell ref="AS19:AT19"/>
    <mergeCell ref="BD79:BP79"/>
    <mergeCell ref="AX73:BC73"/>
    <mergeCell ref="BD28:BP28"/>
    <mergeCell ref="DL31:DM31"/>
    <mergeCell ref="AX20:BC20"/>
    <mergeCell ref="GD24:GE24"/>
    <mergeCell ref="Z22:AE22"/>
    <mergeCell ref="AX83:BC83"/>
    <mergeCell ref="AF56:AR56"/>
    <mergeCell ref="EI82:EJ82"/>
    <mergeCell ref="GO59:HA59"/>
    <mergeCell ref="CN86:CO86"/>
    <mergeCell ref="AX87:BC87"/>
    <mergeCell ref="CA57:CM57"/>
    <mergeCell ref="GO75:HA75"/>
    <mergeCell ref="GI73:GN73"/>
    <mergeCell ref="GI68:GN68"/>
    <mergeCell ref="CA25:CM25"/>
    <mergeCell ref="BD22:BP22"/>
    <mergeCell ref="FG67:FH67"/>
    <mergeCell ref="CY69:DK69"/>
    <mergeCell ref="BU74:BZ74"/>
    <mergeCell ref="CN73:CO73"/>
    <mergeCell ref="FK79:FP79"/>
    <mergeCell ref="GD53:GE53"/>
    <mergeCell ref="BQ68:BR68"/>
    <mergeCell ref="BU24:BZ24"/>
    <mergeCell ref="AF26:AR26"/>
    <mergeCell ref="ET39:FF39"/>
    <mergeCell ref="EN32:ES32"/>
    <mergeCell ref="BQ54:BR54"/>
    <mergeCell ref="BU32:BZ32"/>
    <mergeCell ref="FQ41:GC41"/>
    <mergeCell ref="GI40:GN40"/>
    <mergeCell ref="CA46:CM46"/>
    <mergeCell ref="AS42:AT42"/>
    <mergeCell ref="BU50:BZ50"/>
    <mergeCell ref="AS110:AT110"/>
    <mergeCell ref="ET72:FF72"/>
    <mergeCell ref="AX69:BC69"/>
    <mergeCell ref="CN65:CO65"/>
    <mergeCell ref="HB68:HC68"/>
    <mergeCell ref="I67:U67"/>
    <mergeCell ref="GI62:GN62"/>
    <mergeCell ref="BU68:BZ68"/>
    <mergeCell ref="DV72:EH72"/>
    <mergeCell ref="ET95:FF95"/>
    <mergeCell ref="Z53:AE53"/>
    <mergeCell ref="DV108:EH108"/>
    <mergeCell ref="HF99:HK99"/>
    <mergeCell ref="BQ98:BR98"/>
    <mergeCell ref="HF97:HK97"/>
    <mergeCell ref="AX101:BC101"/>
    <mergeCell ref="I95:U95"/>
    <mergeCell ref="BQ71:BR71"/>
    <mergeCell ref="CS68:CX68"/>
    <mergeCell ref="FK63:FP63"/>
    <mergeCell ref="ET59:FF59"/>
    <mergeCell ref="ET108:FF108"/>
    <mergeCell ref="GI108:GN108"/>
    <mergeCell ref="GO108:HA108"/>
    <mergeCell ref="CA108:CM108"/>
    <mergeCell ref="HF107:HK107"/>
    <mergeCell ref="CN101:CO101"/>
    <mergeCell ref="HF108:HK108"/>
    <mergeCell ref="GO66:HA66"/>
    <mergeCell ref="FK110:FP110"/>
    <mergeCell ref="Z110:AE110"/>
    <mergeCell ref="BU101:BZ101"/>
    <mergeCell ref="HY56:HZ56"/>
    <mergeCell ref="FG70:FH70"/>
    <mergeCell ref="FG66:FH66"/>
    <mergeCell ref="CY37:DK37"/>
    <mergeCell ref="FG54:FH54"/>
    <mergeCell ref="BU38:BZ38"/>
    <mergeCell ref="C73:H73"/>
    <mergeCell ref="I66:U66"/>
    <mergeCell ref="I70:U70"/>
    <mergeCell ref="AF90:AR90"/>
    <mergeCell ref="C83:H83"/>
    <mergeCell ref="AF46:AR46"/>
    <mergeCell ref="CN85:CO85"/>
    <mergeCell ref="AS94:AT94"/>
    <mergeCell ref="HY81:HZ81"/>
    <mergeCell ref="HB66:HC66"/>
    <mergeCell ref="HB59:HC59"/>
    <mergeCell ref="GO88:HA88"/>
    <mergeCell ref="C42:H42"/>
    <mergeCell ref="I41:U41"/>
    <mergeCell ref="HY40:HZ40"/>
    <mergeCell ref="CS48:CX48"/>
    <mergeCell ref="AX43:BC43"/>
    <mergeCell ref="DV66:EH66"/>
    <mergeCell ref="HY53:HZ53"/>
    <mergeCell ref="FG47:FH47"/>
    <mergeCell ref="HL52:HX52"/>
    <mergeCell ref="HL68:HX68"/>
    <mergeCell ref="GO40:HA40"/>
    <mergeCell ref="HY66:HZ66"/>
    <mergeCell ref="HL53:HX53"/>
    <mergeCell ref="HY65:HZ65"/>
    <mergeCell ref="AH14:AI14"/>
    <mergeCell ref="C23:H23"/>
    <mergeCell ref="CS32:CX32"/>
    <mergeCell ref="EI20:EJ20"/>
    <mergeCell ref="AS28:AT28"/>
    <mergeCell ref="DL25:DM25"/>
    <mergeCell ref="BQ27:BR27"/>
    <mergeCell ref="BU28:BZ28"/>
    <mergeCell ref="CN25:CO25"/>
    <mergeCell ref="BQ25:BR25"/>
    <mergeCell ref="GI46:GN46"/>
    <mergeCell ref="HB19:HC19"/>
    <mergeCell ref="FL15:FQ15"/>
    <mergeCell ref="BT15:BU15"/>
    <mergeCell ref="CS15:CX15"/>
    <mergeCell ref="ET15:FF15"/>
    <mergeCell ref="Z19:AE19"/>
    <mergeCell ref="AH15:AI15"/>
    <mergeCell ref="EI26:EJ26"/>
    <mergeCell ref="C30:H30"/>
    <mergeCell ref="HB36:HC36"/>
    <mergeCell ref="GO32:HA32"/>
    <mergeCell ref="AF29:AR29"/>
    <mergeCell ref="FQ23:GC23"/>
    <mergeCell ref="HB27:HC27"/>
    <mergeCell ref="AF23:AR23"/>
    <mergeCell ref="AS30:AT30"/>
    <mergeCell ref="DL33:DM33"/>
    <mergeCell ref="AS39:AT39"/>
    <mergeCell ref="CA45:CM45"/>
    <mergeCell ref="I26:U26"/>
    <mergeCell ref="AJ14:AT14"/>
    <mergeCell ref="HB10:HC10"/>
    <mergeCell ref="DV63:EH63"/>
    <mergeCell ref="EN63:ES63"/>
    <mergeCell ref="GO10:HA10"/>
    <mergeCell ref="CC10:CD10"/>
    <mergeCell ref="GI84:GN84"/>
    <mergeCell ref="EI22:EJ22"/>
    <mergeCell ref="CY61:DK61"/>
    <mergeCell ref="GO82:HA82"/>
    <mergeCell ref="GO11:HA11"/>
    <mergeCell ref="HE11:HF11"/>
    <mergeCell ref="GD66:GE66"/>
    <mergeCell ref="HG10:HL10"/>
    <mergeCell ref="DL10:DM10"/>
    <mergeCell ref="AS68:AT68"/>
    <mergeCell ref="BD46:BP46"/>
    <mergeCell ref="BD47:BP47"/>
    <mergeCell ref="AX56:BC56"/>
    <mergeCell ref="AS53:AT53"/>
    <mergeCell ref="HL58:HX58"/>
    <mergeCell ref="GO51:HA51"/>
    <mergeCell ref="GO60:HA60"/>
    <mergeCell ref="CY55:DK55"/>
    <mergeCell ref="GI27:GN27"/>
    <mergeCell ref="EN15:ES15"/>
    <mergeCell ref="CY19:DK19"/>
    <mergeCell ref="EI24:EJ24"/>
    <mergeCell ref="GO19:HA19"/>
    <mergeCell ref="CA41:CM41"/>
    <mergeCell ref="HY62:HZ62"/>
    <mergeCell ref="BQ10:BR10"/>
    <mergeCell ref="BT10:BU10"/>
    <mergeCell ref="FG10:FH10"/>
    <mergeCell ref="EN38:ES38"/>
    <mergeCell ref="HP11:HZ11"/>
    <mergeCell ref="GO27:HA27"/>
    <mergeCell ref="DZ10:EJ10"/>
    <mergeCell ref="GO14:HA14"/>
    <mergeCell ref="DV75:EH75"/>
    <mergeCell ref="FQ71:GC71"/>
    <mergeCell ref="CY78:DK78"/>
    <mergeCell ref="GI80:GN80"/>
    <mergeCell ref="EI67:EJ67"/>
    <mergeCell ref="FQ20:GC20"/>
    <mergeCell ref="FG24:FH24"/>
    <mergeCell ref="CS26:CX26"/>
    <mergeCell ref="DL16:DM16"/>
    <mergeCell ref="HL60:HX60"/>
    <mergeCell ref="HL62:HX62"/>
    <mergeCell ref="HL51:HX51"/>
    <mergeCell ref="HY51:HZ51"/>
    <mergeCell ref="HF39:HK39"/>
    <mergeCell ref="CS28:CX28"/>
    <mergeCell ref="EN46:ES46"/>
    <mergeCell ref="FG46:FH46"/>
    <mergeCell ref="BQ46:BR46"/>
    <mergeCell ref="DP34:DU34"/>
    <mergeCell ref="CY46:DK46"/>
    <mergeCell ref="ET46:FF46"/>
    <mergeCell ref="FK55:FP55"/>
    <mergeCell ref="DV55:EH55"/>
    <mergeCell ref="HY50:HZ50"/>
    <mergeCell ref="DP47:DU47"/>
    <mergeCell ref="CA43:CM43"/>
    <mergeCell ref="CN43:CO43"/>
    <mergeCell ref="BU45:BZ45"/>
    <mergeCell ref="BQ40:BR40"/>
    <mergeCell ref="BD41:BP41"/>
    <mergeCell ref="GD48:GE48"/>
    <mergeCell ref="GD41:GE41"/>
    <mergeCell ref="BQ50:BR50"/>
    <mergeCell ref="DV65:EH65"/>
    <mergeCell ref="AX44:BC44"/>
    <mergeCell ref="BV14:CA14"/>
    <mergeCell ref="EN19:ES19"/>
    <mergeCell ref="CS14:CX14"/>
    <mergeCell ref="FS15:FT15"/>
    <mergeCell ref="BD23:BP23"/>
    <mergeCell ref="BV15:CA15"/>
    <mergeCell ref="CE14:CO14"/>
    <mergeCell ref="GO24:HA24"/>
    <mergeCell ref="CS38:CX38"/>
    <mergeCell ref="CS36:CX36"/>
    <mergeCell ref="CS22:CX22"/>
    <mergeCell ref="GD60:GE60"/>
    <mergeCell ref="ET55:FF55"/>
    <mergeCell ref="FK45:FP45"/>
    <mergeCell ref="GD56:GE56"/>
    <mergeCell ref="GI28:GN28"/>
    <mergeCell ref="HF50:HK50"/>
    <mergeCell ref="FQ27:GC27"/>
    <mergeCell ref="HF27:HK27"/>
    <mergeCell ref="GD38:GE38"/>
    <mergeCell ref="GI47:GN47"/>
    <mergeCell ref="ET23:FF23"/>
    <mergeCell ref="DP37:DU37"/>
    <mergeCell ref="HE10:HF10"/>
    <mergeCell ref="AX110:BC110"/>
    <mergeCell ref="CS64:CX64"/>
    <mergeCell ref="Z55:AE55"/>
    <mergeCell ref="V88:W88"/>
    <mergeCell ref="BQ104:BR104"/>
    <mergeCell ref="HY85:HZ85"/>
    <mergeCell ref="ET98:FF98"/>
    <mergeCell ref="HY104:HZ104"/>
    <mergeCell ref="FG99:FH99"/>
    <mergeCell ref="FG97:FH97"/>
    <mergeCell ref="FG92:FH92"/>
    <mergeCell ref="HY106:HZ106"/>
    <mergeCell ref="BQ31:BR31"/>
    <mergeCell ref="DP36:DU36"/>
    <mergeCell ref="CS47:CX47"/>
    <mergeCell ref="FG26:FH26"/>
    <mergeCell ref="HB34:HC34"/>
    <mergeCell ref="HY57:HZ57"/>
    <mergeCell ref="GD106:GE106"/>
    <mergeCell ref="AS35:AT35"/>
    <mergeCell ref="DL26:DM26"/>
    <mergeCell ref="CY32:DK32"/>
    <mergeCell ref="AX14:BC14"/>
    <mergeCell ref="HF59:HK59"/>
    <mergeCell ref="GI58:GN58"/>
    <mergeCell ref="EI60:EJ60"/>
    <mergeCell ref="EN26:ES26"/>
    <mergeCell ref="FK58:FP58"/>
    <mergeCell ref="HL43:HX43"/>
    <mergeCell ref="C103:H103"/>
    <mergeCell ref="C96:H96"/>
    <mergeCell ref="C102:H102"/>
    <mergeCell ref="GD100:GE100"/>
    <mergeCell ref="CS95:CX95"/>
    <mergeCell ref="Z94:AE94"/>
    <mergeCell ref="GO93:HA93"/>
    <mergeCell ref="Z79:AE79"/>
    <mergeCell ref="C95:H95"/>
    <mergeCell ref="I78:U78"/>
    <mergeCell ref="AS66:AT66"/>
    <mergeCell ref="CN55:CO55"/>
    <mergeCell ref="FG11:FH11"/>
    <mergeCell ref="FS11:FT11"/>
    <mergeCell ref="EN10:ES10"/>
    <mergeCell ref="FU11:GE11"/>
    <mergeCell ref="AH11:AI11"/>
    <mergeCell ref="FG42:FH42"/>
    <mergeCell ref="FQ32:GC32"/>
    <mergeCell ref="CS10:CX10"/>
    <mergeCell ref="FK37:FP37"/>
    <mergeCell ref="FL14:FQ14"/>
    <mergeCell ref="BD15:BP15"/>
    <mergeCell ref="BD68:BP68"/>
    <mergeCell ref="AX24:BC24"/>
    <mergeCell ref="Z41:AE41"/>
    <mergeCell ref="EN92:ES92"/>
    <mergeCell ref="AX58:BC58"/>
    <mergeCell ref="DL65:DM65"/>
    <mergeCell ref="V37:W37"/>
    <mergeCell ref="AF68:AR68"/>
    <mergeCell ref="C12:H12"/>
    <mergeCell ref="AF102:AR102"/>
    <mergeCell ref="FQ104:GC104"/>
    <mergeCell ref="GO101:HA101"/>
    <mergeCell ref="HB85:HC85"/>
    <mergeCell ref="FK64:FP64"/>
    <mergeCell ref="CS58:CX58"/>
    <mergeCell ref="CY58:DK58"/>
    <mergeCell ref="DP58:DU58"/>
    <mergeCell ref="EI58:EJ58"/>
    <mergeCell ref="CY56:DK56"/>
    <mergeCell ref="AX89:BC89"/>
    <mergeCell ref="CN68:CO68"/>
    <mergeCell ref="FQ50:GC50"/>
    <mergeCell ref="CN51:CO51"/>
    <mergeCell ref="GO52:HA52"/>
    <mergeCell ref="CS94:CX94"/>
    <mergeCell ref="Z77:AE77"/>
    <mergeCell ref="BD94:BP94"/>
    <mergeCell ref="FK83:FP83"/>
    <mergeCell ref="FG71:FH71"/>
    <mergeCell ref="FG77:FH77"/>
    <mergeCell ref="FK71:FP71"/>
    <mergeCell ref="DL71:DM71"/>
    <mergeCell ref="HB78:HC78"/>
    <mergeCell ref="DP71:DU71"/>
    <mergeCell ref="CA63:CM63"/>
    <mergeCell ref="CN50:CO50"/>
    <mergeCell ref="AF94:AR94"/>
    <mergeCell ref="BQ55:BR55"/>
    <mergeCell ref="DV58:EH58"/>
    <mergeCell ref="CS52:CX52"/>
    <mergeCell ref="HY45:HZ45"/>
    <mergeCell ref="C52:H52"/>
    <mergeCell ref="ET93:FF93"/>
    <mergeCell ref="C67:H67"/>
    <mergeCell ref="EI72:EJ72"/>
    <mergeCell ref="EN42:ES42"/>
    <mergeCell ref="DP63:DU63"/>
    <mergeCell ref="C64:H64"/>
    <mergeCell ref="AF38:AR38"/>
    <mergeCell ref="GD90:GE90"/>
    <mergeCell ref="ET37:FF37"/>
    <mergeCell ref="GI55:GN55"/>
    <mergeCell ref="FQ65:GC65"/>
    <mergeCell ref="BU86:BZ86"/>
    <mergeCell ref="GO87:HA87"/>
    <mergeCell ref="EN87:ES87"/>
    <mergeCell ref="ET71:FF71"/>
    <mergeCell ref="HY58:HZ58"/>
    <mergeCell ref="C89:H89"/>
    <mergeCell ref="I61:U61"/>
    <mergeCell ref="C88:H88"/>
    <mergeCell ref="C90:H90"/>
    <mergeCell ref="FG72:FH72"/>
    <mergeCell ref="BU37:BZ37"/>
    <mergeCell ref="FG61:FH61"/>
    <mergeCell ref="GD45:GE45"/>
    <mergeCell ref="ET43:FF43"/>
    <mergeCell ref="FK54:FP54"/>
    <mergeCell ref="C78:H78"/>
    <mergeCell ref="V73:W73"/>
    <mergeCell ref="V72:W72"/>
    <mergeCell ref="C65:H65"/>
    <mergeCell ref="CA36:CM36"/>
    <mergeCell ref="BD56:BP56"/>
    <mergeCell ref="AS29:AT29"/>
    <mergeCell ref="CY31:DK31"/>
    <mergeCell ref="CY22:DK22"/>
    <mergeCell ref="FK50:FP50"/>
    <mergeCell ref="FG28:FH28"/>
    <mergeCell ref="GI41:GN41"/>
    <mergeCell ref="FK47:FP47"/>
    <mergeCell ref="GI97:GN97"/>
    <mergeCell ref="BQ43:BR43"/>
    <mergeCell ref="FG75:FH75"/>
    <mergeCell ref="EI55:EJ55"/>
    <mergeCell ref="FK97:FP97"/>
    <mergeCell ref="BU89:BZ89"/>
    <mergeCell ref="DV67:EH67"/>
    <mergeCell ref="CA68:CM68"/>
    <mergeCell ref="BQ47:BR47"/>
    <mergeCell ref="BD92:BP92"/>
    <mergeCell ref="FG93:FH93"/>
    <mergeCell ref="BD55:BP55"/>
    <mergeCell ref="BD25:BP25"/>
    <mergeCell ref="FQ25:GC25"/>
    <mergeCell ref="CS25:CX25"/>
    <mergeCell ref="EI84:EJ84"/>
    <mergeCell ref="AX84:BC84"/>
    <mergeCell ref="EI48:EJ48"/>
    <mergeCell ref="CN82:CO82"/>
    <mergeCell ref="EN67:ES67"/>
    <mergeCell ref="DL82:DM82"/>
    <mergeCell ref="ET27:FF27"/>
    <mergeCell ref="AX27:BC27"/>
    <mergeCell ref="HN9:HZ9"/>
    <mergeCell ref="DV22:EH22"/>
    <mergeCell ref="HF43:HK43"/>
    <mergeCell ref="Y9:AF9"/>
    <mergeCell ref="GI36:GN36"/>
    <mergeCell ref="FJ10:FK10"/>
    <mergeCell ref="DX10:DY10"/>
    <mergeCell ref="EI28:EJ28"/>
    <mergeCell ref="FK22:FP22"/>
    <mergeCell ref="DQ13:DV13"/>
    <mergeCell ref="GO50:HA50"/>
    <mergeCell ref="I36:U36"/>
    <mergeCell ref="BU31:BZ31"/>
    <mergeCell ref="GO54:HA54"/>
    <mergeCell ref="HE9:HL9"/>
    <mergeCell ref="DX9:EJ9"/>
    <mergeCell ref="HB12:HC12"/>
    <mergeCell ref="EM9:FH9"/>
    <mergeCell ref="FJ9:FQ9"/>
    <mergeCell ref="FS9:GE9"/>
    <mergeCell ref="DO9:DV9"/>
    <mergeCell ref="HY33:HZ33"/>
    <mergeCell ref="AH9:AT9"/>
    <mergeCell ref="HF38:HK38"/>
    <mergeCell ref="GH9:HC9"/>
    <mergeCell ref="CR9:DM9"/>
    <mergeCell ref="HF42:HK42"/>
    <mergeCell ref="CS50:CX50"/>
    <mergeCell ref="EN49:ES49"/>
    <mergeCell ref="GD49:GE49"/>
    <mergeCell ref="ET47:FF47"/>
    <mergeCell ref="I49:U49"/>
    <mergeCell ref="AX108:BC108"/>
    <mergeCell ref="EN44:ES44"/>
    <mergeCell ref="CS42:CX42"/>
    <mergeCell ref="CN40:CO40"/>
    <mergeCell ref="DP104:DU104"/>
    <mergeCell ref="CS79:CX79"/>
    <mergeCell ref="BU83:BZ83"/>
    <mergeCell ref="CN83:CO83"/>
    <mergeCell ref="FK104:FP104"/>
    <mergeCell ref="CN78:CO78"/>
    <mergeCell ref="EI88:EJ88"/>
    <mergeCell ref="CS89:CX89"/>
    <mergeCell ref="Z64:AE64"/>
    <mergeCell ref="CA86:CM86"/>
    <mergeCell ref="FG107:FH107"/>
    <mergeCell ref="AF108:AR108"/>
    <mergeCell ref="HB103:HC103"/>
    <mergeCell ref="EN97:ES97"/>
    <mergeCell ref="AS86:AT86"/>
    <mergeCell ref="BD84:BP84"/>
    <mergeCell ref="AF86:AR86"/>
    <mergeCell ref="Z86:AE86"/>
    <mergeCell ref="FG108:FH108"/>
    <mergeCell ref="DV97:EH97"/>
    <mergeCell ref="CN105:CO105"/>
    <mergeCell ref="CS99:CX99"/>
    <mergeCell ref="AS100:AT100"/>
    <mergeCell ref="AF51:AR51"/>
    <mergeCell ref="FQ101:GC101"/>
    <mergeCell ref="Z49:AE49"/>
    <mergeCell ref="Z95:AE95"/>
    <mergeCell ref="DP82:DU82"/>
    <mergeCell ref="C74:H74"/>
    <mergeCell ref="C51:H51"/>
    <mergeCell ref="I72:U72"/>
    <mergeCell ref="Z59:AE59"/>
    <mergeCell ref="Z45:AE45"/>
    <mergeCell ref="EN61:ES61"/>
    <mergeCell ref="EI61:EJ61"/>
    <mergeCell ref="AS57:AT57"/>
    <mergeCell ref="C77:H77"/>
    <mergeCell ref="V81:W81"/>
    <mergeCell ref="EI77:EJ77"/>
    <mergeCell ref="CS71:CX71"/>
    <mergeCell ref="CS60:CX60"/>
    <mergeCell ref="CA71:CM71"/>
    <mergeCell ref="I48:U48"/>
    <mergeCell ref="I64:U64"/>
    <mergeCell ref="DV77:EH77"/>
    <mergeCell ref="DP75:DU75"/>
    <mergeCell ref="AX75:BC75"/>
    <mergeCell ref="BD71:BP71"/>
    <mergeCell ref="BU71:BZ71"/>
    <mergeCell ref="DP72:DU72"/>
    <mergeCell ref="AF76:AR76"/>
    <mergeCell ref="I52:U52"/>
    <mergeCell ref="BD62:BP62"/>
    <mergeCell ref="AX46:BC46"/>
    <mergeCell ref="AS75:AT75"/>
    <mergeCell ref="AF77:AR77"/>
    <mergeCell ref="Z50:AE50"/>
    <mergeCell ref="BQ75:BR75"/>
    <mergeCell ref="BQ45:BR45"/>
    <mergeCell ref="V66:W66"/>
    <mergeCell ref="CS24:CX24"/>
    <mergeCell ref="BU25:BZ25"/>
    <mergeCell ref="FQ24:GC24"/>
    <mergeCell ref="AS27:AT27"/>
    <mergeCell ref="BD26:BP26"/>
    <mergeCell ref="Z42:AE42"/>
    <mergeCell ref="FG25:FH25"/>
    <mergeCell ref="DP24:DU24"/>
    <mergeCell ref="EI43:EJ43"/>
    <mergeCell ref="Z62:AE62"/>
    <mergeCell ref="AS43:AT43"/>
    <mergeCell ref="CA48:CM48"/>
    <mergeCell ref="BD43:BP43"/>
    <mergeCell ref="C57:H57"/>
    <mergeCell ref="C75:H75"/>
    <mergeCell ref="C70:H70"/>
    <mergeCell ref="FK44:FP44"/>
    <mergeCell ref="EN36:ES36"/>
    <mergeCell ref="V33:W33"/>
    <mergeCell ref="Z67:AE67"/>
    <mergeCell ref="C63:H63"/>
    <mergeCell ref="AF45:AR45"/>
    <mergeCell ref="C48:H48"/>
    <mergeCell ref="C62:H62"/>
    <mergeCell ref="C58:H58"/>
    <mergeCell ref="C25:H25"/>
    <mergeCell ref="V55:W55"/>
    <mergeCell ref="I63:U63"/>
    <mergeCell ref="I55:U55"/>
    <mergeCell ref="I65:U65"/>
    <mergeCell ref="CN27:CO27"/>
    <mergeCell ref="AS67:AT67"/>
    <mergeCell ref="C105:H105"/>
    <mergeCell ref="HY109:HZ109"/>
    <mergeCell ref="C29:H29"/>
    <mergeCell ref="CS56:CX56"/>
    <mergeCell ref="I83:U83"/>
    <mergeCell ref="C109:H109"/>
    <mergeCell ref="DL86:DM86"/>
    <mergeCell ref="GO100:HA100"/>
    <mergeCell ref="V109:W109"/>
    <mergeCell ref="CY106:DK106"/>
    <mergeCell ref="GO109:HA109"/>
    <mergeCell ref="FQ99:GC99"/>
    <mergeCell ref="BD108:BP108"/>
    <mergeCell ref="HF109:HK109"/>
    <mergeCell ref="DV106:EH106"/>
    <mergeCell ref="AF109:AR109"/>
    <mergeCell ref="GI109:GN109"/>
    <mergeCell ref="Z109:AE109"/>
    <mergeCell ref="ET109:FF109"/>
    <mergeCell ref="FG109:FH109"/>
    <mergeCell ref="AS109:AT109"/>
    <mergeCell ref="CN109:CO109"/>
    <mergeCell ref="I82:U82"/>
    <mergeCell ref="I46:U46"/>
    <mergeCell ref="I59:U59"/>
    <mergeCell ref="CN62:CO62"/>
    <mergeCell ref="C81:H81"/>
    <mergeCell ref="CN76:CO76"/>
    <mergeCell ref="C59:H59"/>
    <mergeCell ref="C66:H66"/>
    <mergeCell ref="DL81:DM81"/>
    <mergeCell ref="CA55:CM55"/>
    <mergeCell ref="AH12:AI12"/>
    <mergeCell ref="HN11:HO11"/>
    <mergeCell ref="I11:U11"/>
    <mergeCell ref="HB15:HC15"/>
    <mergeCell ref="HG12:HL12"/>
    <mergeCell ref="FG13:FH13"/>
    <mergeCell ref="DQ11:DV11"/>
    <mergeCell ref="BV12:CA12"/>
    <mergeCell ref="BD19:BP19"/>
    <mergeCell ref="V18:W18"/>
    <mergeCell ref="GO39:HA39"/>
    <mergeCell ref="I57:U57"/>
    <mergeCell ref="DV53:EH53"/>
    <mergeCell ref="GI43:GN43"/>
    <mergeCell ref="ET44:FF44"/>
    <mergeCell ref="HL104:HX104"/>
    <mergeCell ref="HF96:HK96"/>
    <mergeCell ref="GI96:GN96"/>
    <mergeCell ref="HB90:HC90"/>
    <mergeCell ref="AF62:AR62"/>
    <mergeCell ref="FG56:FH56"/>
    <mergeCell ref="CN59:CO59"/>
    <mergeCell ref="DP59:DU59"/>
    <mergeCell ref="AF67:AR67"/>
    <mergeCell ref="EI59:EJ59"/>
    <mergeCell ref="FQ66:GC66"/>
    <mergeCell ref="EI73:EJ73"/>
    <mergeCell ref="BQ60:BR60"/>
    <mergeCell ref="BU58:BZ58"/>
    <mergeCell ref="V36:W36"/>
    <mergeCell ref="GD27:GE27"/>
    <mergeCell ref="Z57:AE57"/>
    <mergeCell ref="C18:H18"/>
    <mergeCell ref="DZ14:EJ14"/>
    <mergeCell ref="GI18:GN18"/>
    <mergeCell ref="V19:W19"/>
    <mergeCell ref="DP20:DU20"/>
    <mergeCell ref="ET42:FF42"/>
    <mergeCell ref="AS22:AT22"/>
    <mergeCell ref="AS26:AT26"/>
    <mergeCell ref="DL27:DM27"/>
    <mergeCell ref="Z20:AE20"/>
    <mergeCell ref="V23:W23"/>
    <mergeCell ref="V32:W32"/>
    <mergeCell ref="DV27:EH27"/>
    <mergeCell ref="DL35:DM35"/>
    <mergeCell ref="BD35:BP35"/>
    <mergeCell ref="C16:H16"/>
    <mergeCell ref="C17:H17"/>
    <mergeCell ref="FG19:FH19"/>
    <mergeCell ref="GI15:GN15"/>
    <mergeCell ref="BD40:BP40"/>
    <mergeCell ref="V17:W17"/>
    <mergeCell ref="C40:H40"/>
    <mergeCell ref="CA21:CM21"/>
    <mergeCell ref="V22:W22"/>
    <mergeCell ref="BU21:BZ21"/>
    <mergeCell ref="C37:H37"/>
    <mergeCell ref="GD23:GE23"/>
    <mergeCell ref="GD21:GE21"/>
    <mergeCell ref="CA34:CM34"/>
    <mergeCell ref="AS38:AT38"/>
    <mergeCell ref="DV37:EH37"/>
    <mergeCell ref="CS39:CX39"/>
    <mergeCell ref="GI35:GN35"/>
    <mergeCell ref="GI60:GN60"/>
    <mergeCell ref="FQ55:GC55"/>
    <mergeCell ref="FQ63:GC63"/>
    <mergeCell ref="FK35:FP35"/>
    <mergeCell ref="GO38:HA38"/>
    <mergeCell ref="V31:W31"/>
    <mergeCell ref="EI47:EJ47"/>
    <mergeCell ref="AF32:AR32"/>
    <mergeCell ref="AF60:AR60"/>
    <mergeCell ref="V50:W50"/>
    <mergeCell ref="BD45:BP45"/>
    <mergeCell ref="CN54:CO54"/>
    <mergeCell ref="V25:W25"/>
    <mergeCell ref="EN41:ES41"/>
    <mergeCell ref="V41:W41"/>
    <mergeCell ref="EI41:EJ41"/>
    <mergeCell ref="V30:W30"/>
    <mergeCell ref="Z51:AE51"/>
    <mergeCell ref="GI29:GN29"/>
    <mergeCell ref="Z52:AE52"/>
    <mergeCell ref="AS62:AT62"/>
    <mergeCell ref="CS49:CX49"/>
    <mergeCell ref="BD49:BP49"/>
    <mergeCell ref="AF52:AR52"/>
    <mergeCell ref="Z26:AE26"/>
    <mergeCell ref="ET31:FF31"/>
    <mergeCell ref="EN30:ES30"/>
    <mergeCell ref="DV28:EH28"/>
    <mergeCell ref="CA38:CM38"/>
    <mergeCell ref="BD30:BP30"/>
    <mergeCell ref="GI59:GN59"/>
    <mergeCell ref="C5:H5"/>
    <mergeCell ref="AX67:BC67"/>
    <mergeCell ref="FQ56:GC56"/>
    <mergeCell ref="Z56:AE56"/>
    <mergeCell ref="HF34:HK34"/>
    <mergeCell ref="I21:U21"/>
    <mergeCell ref="HG15:HL15"/>
    <mergeCell ref="GO20:HA20"/>
    <mergeCell ref="HB22:HC22"/>
    <mergeCell ref="O6:AT6"/>
    <mergeCell ref="O5:AT5"/>
    <mergeCell ref="BD44:BP44"/>
    <mergeCell ref="ET66:FF66"/>
    <mergeCell ref="I22:U22"/>
    <mergeCell ref="FQ28:GC28"/>
    <mergeCell ref="AF36:AR36"/>
    <mergeCell ref="ET41:FF41"/>
    <mergeCell ref="CY39:DK39"/>
    <mergeCell ref="I14:U14"/>
    <mergeCell ref="FK30:FP30"/>
    <mergeCell ref="C35:H35"/>
    <mergeCell ref="ET33:FF33"/>
    <mergeCell ref="I30:U30"/>
    <mergeCell ref="GI14:GN14"/>
    <mergeCell ref="FL11:FQ11"/>
    <mergeCell ref="C27:H27"/>
    <mergeCell ref="FK48:FP48"/>
    <mergeCell ref="DV45:EH45"/>
    <mergeCell ref="FG59:FH59"/>
    <mergeCell ref="GI61:GN61"/>
    <mergeCell ref="DP56:DU56"/>
    <mergeCell ref="GD31:GE31"/>
    <mergeCell ref="DO10:DP10"/>
    <mergeCell ref="BU23:BZ23"/>
    <mergeCell ref="FK25:FP25"/>
    <mergeCell ref="I24:U24"/>
    <mergeCell ref="CA42:CM42"/>
    <mergeCell ref="BU42:BZ42"/>
    <mergeCell ref="BU44:BZ44"/>
    <mergeCell ref="CY42:DK42"/>
    <mergeCell ref="I60:U60"/>
    <mergeCell ref="I58:U58"/>
    <mergeCell ref="CA23:CM23"/>
    <mergeCell ref="FK61:FP61"/>
    <mergeCell ref="CY14:DK14"/>
    <mergeCell ref="Y15:Z15"/>
    <mergeCell ref="EI44:EJ44"/>
    <mergeCell ref="AF63:AR63"/>
    <mergeCell ref="DP60:DU60"/>
    <mergeCell ref="Z61:AE61"/>
    <mergeCell ref="AX59:BC59"/>
    <mergeCell ref="Y11:Z11"/>
    <mergeCell ref="BD17:BP17"/>
    <mergeCell ref="FK20:FP20"/>
    <mergeCell ref="FG15:FH15"/>
    <mergeCell ref="BQ15:BR15"/>
    <mergeCell ref="CY20:DK20"/>
    <mergeCell ref="BU22:BZ22"/>
    <mergeCell ref="AA14:AF14"/>
    <mergeCell ref="FG20:FH20"/>
    <mergeCell ref="DP19:DU19"/>
    <mergeCell ref="BQ20:BR20"/>
    <mergeCell ref="AS20:AT20"/>
    <mergeCell ref="FK19:FP19"/>
    <mergeCell ref="C6:H6"/>
    <mergeCell ref="CY27:DK27"/>
    <mergeCell ref="ET17:FF17"/>
    <mergeCell ref="CA33:CM33"/>
    <mergeCell ref="EI39:EJ39"/>
    <mergeCell ref="Z44:AE44"/>
    <mergeCell ref="DV59:EH59"/>
    <mergeCell ref="I38:U38"/>
    <mergeCell ref="DL28:DM28"/>
    <mergeCell ref="FQ26:GC26"/>
    <mergeCell ref="ET26:FF26"/>
    <mergeCell ref="GO57:HA57"/>
    <mergeCell ref="EN21:ES21"/>
    <mergeCell ref="FJ15:FK15"/>
    <mergeCell ref="DP21:DU21"/>
    <mergeCell ref="CE15:CO15"/>
    <mergeCell ref="DX15:DY15"/>
    <mergeCell ref="DZ15:EJ15"/>
    <mergeCell ref="DQ15:DV15"/>
    <mergeCell ref="FG32:FH32"/>
    <mergeCell ref="DP44:DU44"/>
    <mergeCell ref="V42:W42"/>
    <mergeCell ref="FQ30:GC30"/>
    <mergeCell ref="CA58:CM58"/>
    <mergeCell ref="Z23:AE23"/>
    <mergeCell ref="AF35:AR35"/>
    <mergeCell ref="BD37:BP37"/>
    <mergeCell ref="BU43:BZ43"/>
    <mergeCell ref="CN21:CO21"/>
    <mergeCell ref="FQ21:GC21"/>
    <mergeCell ref="Z30:AE30"/>
    <mergeCell ref="AX19:BC19"/>
    <mergeCell ref="CY30:DK30"/>
    <mergeCell ref="ET32:FF32"/>
    <mergeCell ref="BQ49:BR49"/>
    <mergeCell ref="HB30:HC30"/>
    <mergeCell ref="HF78:HK78"/>
    <mergeCell ref="AX48:BC48"/>
    <mergeCell ref="DL50:DM50"/>
    <mergeCell ref="CS84:CX84"/>
    <mergeCell ref="BU65:BZ65"/>
    <mergeCell ref="BQ59:BR59"/>
    <mergeCell ref="BQ56:BR56"/>
    <mergeCell ref="BU53:BZ53"/>
    <mergeCell ref="CS80:CX80"/>
    <mergeCell ref="CY76:DK76"/>
    <mergeCell ref="ET65:FF65"/>
    <mergeCell ref="AX70:BC70"/>
    <mergeCell ref="CY73:DK73"/>
    <mergeCell ref="ET56:FF56"/>
    <mergeCell ref="CS46:CX46"/>
    <mergeCell ref="EN34:ES34"/>
    <mergeCell ref="HF83:HK83"/>
    <mergeCell ref="CN61:CO61"/>
    <mergeCell ref="BD54:BP54"/>
    <mergeCell ref="FK84:FP84"/>
    <mergeCell ref="CY57:DK57"/>
    <mergeCell ref="AX35:BC35"/>
    <mergeCell ref="EN81:ES81"/>
    <mergeCell ref="CN38:CO38"/>
    <mergeCell ref="GD33:GE33"/>
    <mergeCell ref="CY35:DK35"/>
    <mergeCell ref="EI35:EJ35"/>
    <mergeCell ref="GI74:GN74"/>
    <mergeCell ref="HF20:HK20"/>
    <mergeCell ref="DV62:EH62"/>
    <mergeCell ref="HN13:HO13"/>
    <mergeCell ref="BQ32:BR32"/>
    <mergeCell ref="AX36:BC36"/>
    <mergeCell ref="DP100:DU100"/>
    <mergeCell ref="HF23:HK23"/>
    <mergeCell ref="DL72:DM72"/>
    <mergeCell ref="C76:H76"/>
    <mergeCell ref="AJ12:AT12"/>
    <mergeCell ref="BU63:BZ63"/>
    <mergeCell ref="HB52:HC52"/>
    <mergeCell ref="BD74:BP74"/>
    <mergeCell ref="HL48:HX48"/>
    <mergeCell ref="FG39:FH39"/>
    <mergeCell ref="AX37:BC37"/>
    <mergeCell ref="DV38:EH38"/>
    <mergeCell ref="DV23:EH23"/>
    <mergeCell ref="EN23:ES23"/>
    <mergeCell ref="FQ42:GC42"/>
    <mergeCell ref="FQ47:GC47"/>
    <mergeCell ref="HF48:HK48"/>
    <mergeCell ref="HL40:HX40"/>
    <mergeCell ref="HB23:HC23"/>
    <mergeCell ref="HL31:HX31"/>
    <mergeCell ref="FK41:FP41"/>
    <mergeCell ref="CY25:DK25"/>
    <mergeCell ref="FQ18:GC18"/>
    <mergeCell ref="HL100:HX100"/>
    <mergeCell ref="HB80:HC80"/>
    <mergeCell ref="HL97:HX97"/>
    <mergeCell ref="HB43:HC43"/>
    <mergeCell ref="GO25:HA25"/>
    <mergeCell ref="AX25:BC25"/>
    <mergeCell ref="HL56:HX56"/>
    <mergeCell ref="HL54:HX54"/>
    <mergeCell ref="HL47:HX47"/>
    <mergeCell ref="GO48:HA48"/>
    <mergeCell ref="DV46:EH46"/>
    <mergeCell ref="BU98:BZ98"/>
    <mergeCell ref="HF82:HK82"/>
    <mergeCell ref="HL82:HX82"/>
    <mergeCell ref="ET90:FF90"/>
    <mergeCell ref="DL58:DM58"/>
    <mergeCell ref="FG58:FH58"/>
    <mergeCell ref="BQ30:BR30"/>
    <mergeCell ref="CY95:DK95"/>
    <mergeCell ref="FQ85:GC85"/>
    <mergeCell ref="DV39:EH39"/>
    <mergeCell ref="EI49:EJ49"/>
    <mergeCell ref="FG68:FH68"/>
    <mergeCell ref="BU57:BZ57"/>
    <mergeCell ref="BD88:BP88"/>
    <mergeCell ref="HL90:HX90"/>
    <mergeCell ref="FG94:FH94"/>
    <mergeCell ref="FK67:FP67"/>
    <mergeCell ref="BD63:BP63"/>
    <mergeCell ref="FQ53:GC53"/>
    <mergeCell ref="BD31:BP31"/>
    <mergeCell ref="EN54:ES54"/>
    <mergeCell ref="ET36:FF36"/>
    <mergeCell ref="DL36:DM36"/>
    <mergeCell ref="AX33:BC33"/>
    <mergeCell ref="HF93:HK93"/>
    <mergeCell ref="Z25:AE25"/>
    <mergeCell ref="GI34:GN34"/>
    <mergeCell ref="GO35:HA35"/>
    <mergeCell ref="FK109:FP109"/>
    <mergeCell ref="CN104:CO104"/>
    <mergeCell ref="GD109:GE109"/>
    <mergeCell ref="CA104:CM104"/>
    <mergeCell ref="BU109:BZ109"/>
    <mergeCell ref="DL108:DM108"/>
    <mergeCell ref="EI104:EJ104"/>
    <mergeCell ref="EN109:ES109"/>
    <mergeCell ref="AF105:AR105"/>
    <mergeCell ref="GO98:HA98"/>
    <mergeCell ref="AS96:AT96"/>
    <mergeCell ref="HB101:HC101"/>
    <mergeCell ref="HB79:HC79"/>
    <mergeCell ref="V103:W103"/>
    <mergeCell ref="FK107:FP107"/>
    <mergeCell ref="BD105:BP105"/>
    <mergeCell ref="CS106:CX106"/>
    <mergeCell ref="CA105:CM105"/>
    <mergeCell ref="EN104:ES104"/>
    <mergeCell ref="BD96:BP96"/>
    <mergeCell ref="CY104:DK104"/>
    <mergeCell ref="EN80:ES80"/>
    <mergeCell ref="BD93:BP93"/>
    <mergeCell ref="CA100:CM100"/>
    <mergeCell ref="ET103:FF103"/>
    <mergeCell ref="CS103:CX103"/>
    <mergeCell ref="DL102:DM102"/>
    <mergeCell ref="ET102:FF102"/>
    <mergeCell ref="CY102:DK102"/>
    <mergeCell ref="AF110:AR110"/>
    <mergeCell ref="EI83:EJ83"/>
    <mergeCell ref="FQ105:GC105"/>
    <mergeCell ref="V57:W57"/>
    <mergeCell ref="FG88:FH88"/>
    <mergeCell ref="I104:U104"/>
    <mergeCell ref="CY109:DK109"/>
    <mergeCell ref="GO58:HA58"/>
    <mergeCell ref="BU87:BZ87"/>
    <mergeCell ref="DL93:DM93"/>
    <mergeCell ref="BQ63:BR63"/>
    <mergeCell ref="FK68:FP68"/>
    <mergeCell ref="CS69:CX69"/>
    <mergeCell ref="AF65:AR65"/>
    <mergeCell ref="FG64:FH64"/>
    <mergeCell ref="BD65:BP65"/>
    <mergeCell ref="ET62:FF62"/>
    <mergeCell ref="CY74:DK74"/>
    <mergeCell ref="CS67:CX67"/>
    <mergeCell ref="DL109:DM109"/>
    <mergeCell ref="DP109:DU109"/>
    <mergeCell ref="EI109:EJ109"/>
    <mergeCell ref="EI76:EJ76"/>
    <mergeCell ref="AF81:AR81"/>
    <mergeCell ref="AX82:BC82"/>
    <mergeCell ref="FK80:FP80"/>
    <mergeCell ref="BQ80:BR80"/>
    <mergeCell ref="AS82:AT82"/>
    <mergeCell ref="GO110:HA110"/>
    <mergeCell ref="DV99:EH99"/>
    <mergeCell ref="V107:W107"/>
    <mergeCell ref="DV105:EH105"/>
    <mergeCell ref="HL105:HX105"/>
    <mergeCell ref="I106:U106"/>
    <mergeCell ref="BU81:BZ81"/>
    <mergeCell ref="EI106:EJ106"/>
    <mergeCell ref="AF64:AR64"/>
    <mergeCell ref="EN43:ES43"/>
    <mergeCell ref="ET48:FF48"/>
    <mergeCell ref="FQ78:GC78"/>
    <mergeCell ref="EN78:ES78"/>
    <mergeCell ref="CS65:CX65"/>
    <mergeCell ref="GD44:GE44"/>
    <mergeCell ref="AX53:BC53"/>
    <mergeCell ref="ET110:FF110"/>
    <mergeCell ref="HB35:HC35"/>
    <mergeCell ref="AF50:AR50"/>
    <mergeCell ref="FK81:FP81"/>
    <mergeCell ref="BQ41:BR41"/>
    <mergeCell ref="BD81:BP81"/>
    <mergeCell ref="FG35:FH35"/>
    <mergeCell ref="FG90:FH90"/>
    <mergeCell ref="CN100:CO100"/>
    <mergeCell ref="AF41:AR41"/>
    <mergeCell ref="GO76:HA76"/>
    <mergeCell ref="DV95:EH95"/>
    <mergeCell ref="I81:U81"/>
    <mergeCell ref="FQ96:GC96"/>
    <mergeCell ref="I53:U53"/>
    <mergeCell ref="CN66:CO66"/>
    <mergeCell ref="AF54:AR54"/>
    <mergeCell ref="V43:W43"/>
    <mergeCell ref="HB74:HC74"/>
    <mergeCell ref="CS109:CX109"/>
    <mergeCell ref="AX11:BC11"/>
    <mergeCell ref="V56:W56"/>
    <mergeCell ref="HF41:HK41"/>
    <mergeCell ref="HB41:HC41"/>
    <mergeCell ref="FQ76:GC76"/>
    <mergeCell ref="FL10:FQ10"/>
    <mergeCell ref="Z91:AE91"/>
    <mergeCell ref="DL29:DM29"/>
    <mergeCell ref="DV35:EH35"/>
    <mergeCell ref="CA31:CM31"/>
    <mergeCell ref="AX99:BC99"/>
    <mergeCell ref="GI99:GN99"/>
    <mergeCell ref="CS96:CX96"/>
    <mergeCell ref="DP99:DU99"/>
    <mergeCell ref="BD100:BP100"/>
    <mergeCell ref="BD103:BP103"/>
    <mergeCell ref="DL74:DM74"/>
    <mergeCell ref="GI72:GN72"/>
    <mergeCell ref="BD85:BP85"/>
    <mergeCell ref="DV74:EH74"/>
    <mergeCell ref="EN35:ES35"/>
    <mergeCell ref="EN85:ES85"/>
    <mergeCell ref="DL61:DM61"/>
    <mergeCell ref="FG62:FH62"/>
    <mergeCell ref="EI66:EJ66"/>
    <mergeCell ref="CS97:CX97"/>
    <mergeCell ref="EN103:ES103"/>
    <mergeCell ref="CY98:DK98"/>
    <mergeCell ref="BU103:BZ103"/>
    <mergeCell ref="AX103:BC103"/>
    <mergeCell ref="CA95:CM95"/>
    <mergeCell ref="ET80:FF80"/>
    <mergeCell ref="BQ13:BR13"/>
    <mergeCell ref="GD18:GE18"/>
    <mergeCell ref="GO18:HA18"/>
    <mergeCell ref="BD13:BP13"/>
    <mergeCell ref="AX15:BC15"/>
    <mergeCell ref="BU20:BZ20"/>
    <mergeCell ref="CA19:CM19"/>
    <mergeCell ref="DV20:EH20"/>
    <mergeCell ref="ET20:FF20"/>
    <mergeCell ref="DL20:DM20"/>
    <mergeCell ref="CN20:CO20"/>
    <mergeCell ref="CY21:DK21"/>
    <mergeCell ref="DP78:DU78"/>
    <mergeCell ref="BQ21:BR21"/>
    <mergeCell ref="CA22:CM22"/>
    <mergeCell ref="C24:H24"/>
    <mergeCell ref="BQ53:BR53"/>
    <mergeCell ref="GD74:GE74"/>
    <mergeCell ref="I27:U27"/>
    <mergeCell ref="FG23:FH23"/>
    <mergeCell ref="V20:W20"/>
    <mergeCell ref="GI19:GN19"/>
    <mergeCell ref="DL17:DM17"/>
    <mergeCell ref="FK18:FP18"/>
    <mergeCell ref="BU54:BZ54"/>
    <mergeCell ref="BD24:BP24"/>
    <mergeCell ref="DP55:DU55"/>
    <mergeCell ref="I40:U40"/>
    <mergeCell ref="V71:W71"/>
    <mergeCell ref="V70:W70"/>
    <mergeCell ref="BD72:BP72"/>
    <mergeCell ref="I71:U71"/>
    <mergeCell ref="C104:H104"/>
    <mergeCell ref="I105:U105"/>
    <mergeCell ref="BQ78:BR78"/>
    <mergeCell ref="CY91:DK91"/>
    <mergeCell ref="BQ23:BR23"/>
    <mergeCell ref="CY77:DK77"/>
    <mergeCell ref="CY71:DK71"/>
    <mergeCell ref="CN53:CO53"/>
    <mergeCell ref="BQ81:BR81"/>
    <mergeCell ref="AS25:AT25"/>
    <mergeCell ref="EI19:EJ19"/>
    <mergeCell ref="FQ19:GC19"/>
    <mergeCell ref="HL28:HX28"/>
    <mergeCell ref="FK27:FP27"/>
    <mergeCell ref="HB39:HC39"/>
    <mergeCell ref="HB42:HC42"/>
    <mergeCell ref="HF30:HK30"/>
    <mergeCell ref="HF24:HK24"/>
    <mergeCell ref="Z100:AE100"/>
    <mergeCell ref="BQ90:BR90"/>
    <mergeCell ref="CA90:CM90"/>
    <mergeCell ref="HB51:HC51"/>
    <mergeCell ref="GO36:HA36"/>
    <mergeCell ref="ET51:FF51"/>
    <mergeCell ref="EI50:EJ50"/>
    <mergeCell ref="EN51:ES51"/>
    <mergeCell ref="BQ24:BR24"/>
    <mergeCell ref="DV25:EH25"/>
    <mergeCell ref="FQ74:GC74"/>
    <mergeCell ref="HB69:HC69"/>
    <mergeCell ref="DL70:DM70"/>
    <mergeCell ref="AS74:AT74"/>
    <mergeCell ref="C11:H11"/>
    <mergeCell ref="ET29:FF29"/>
    <mergeCell ref="CS30:CX30"/>
    <mergeCell ref="C3:H3"/>
    <mergeCell ref="EN96:ES96"/>
    <mergeCell ref="AF98:AR98"/>
    <mergeCell ref="Z99:AE99"/>
    <mergeCell ref="C84:H84"/>
    <mergeCell ref="GI21:GN21"/>
    <mergeCell ref="FQ54:GC54"/>
    <mergeCell ref="DP31:DU31"/>
    <mergeCell ref="CY17:DK17"/>
    <mergeCell ref="DL11:DM11"/>
    <mergeCell ref="AF20:AR20"/>
    <mergeCell ref="Z18:AE18"/>
    <mergeCell ref="EN11:ES11"/>
    <mergeCell ref="C26:H26"/>
    <mergeCell ref="GI23:GN23"/>
    <mergeCell ref="CY23:DK23"/>
    <mergeCell ref="CS23:CX23"/>
    <mergeCell ref="GI56:GN56"/>
    <mergeCell ref="CS31:CX31"/>
    <mergeCell ref="FU13:GE13"/>
    <mergeCell ref="B9:W9"/>
    <mergeCell ref="I12:U12"/>
    <mergeCell ref="DP28:DU28"/>
    <mergeCell ref="CN18:CO18"/>
    <mergeCell ref="CS17:CX17"/>
    <mergeCell ref="V40:W40"/>
    <mergeCell ref="AX49:BC49"/>
    <mergeCell ref="CY12:DK12"/>
    <mergeCell ref="BQ12:BR12"/>
    <mergeCell ref="O2:AT2"/>
    <mergeCell ref="DV49:EH49"/>
    <mergeCell ref="BU108:BZ108"/>
    <mergeCell ref="FK108:FP108"/>
    <mergeCell ref="CN45:CO45"/>
    <mergeCell ref="GI54:GN54"/>
    <mergeCell ref="GI49:GN49"/>
    <mergeCell ref="FG49:FH49"/>
    <mergeCell ref="FG52:FH52"/>
    <mergeCell ref="BD33:BP33"/>
    <mergeCell ref="BQ96:BR96"/>
    <mergeCell ref="GO56:HA56"/>
    <mergeCell ref="CS35:CX35"/>
    <mergeCell ref="FK31:FP31"/>
    <mergeCell ref="BQ74:BR74"/>
    <mergeCell ref="GD75:GE75"/>
    <mergeCell ref="C2:H2"/>
    <mergeCell ref="I2:N2"/>
    <mergeCell ref="AS51:AT51"/>
    <mergeCell ref="FK94:FP94"/>
    <mergeCell ref="GI98:GN98"/>
    <mergeCell ref="BU88:BZ88"/>
    <mergeCell ref="FG95:FH95"/>
    <mergeCell ref="AS49:AT49"/>
    <mergeCell ref="AF99:AR99"/>
    <mergeCell ref="CY99:DK99"/>
    <mergeCell ref="BU92:BZ92"/>
    <mergeCell ref="DV54:EH54"/>
    <mergeCell ref="V99:W99"/>
    <mergeCell ref="C41:H41"/>
    <mergeCell ref="GO21:HA21"/>
    <mergeCell ref="AX54:BC54"/>
    <mergeCell ref="HN12:HO12"/>
    <mergeCell ref="AA11:AF11"/>
    <mergeCell ref="HB33:HC33"/>
    <mergeCell ref="DZ11:EJ11"/>
    <mergeCell ref="CY11:DK11"/>
    <mergeCell ref="CE11:CO11"/>
    <mergeCell ref="AX16:BC16"/>
    <mergeCell ref="HL108:HX108"/>
    <mergeCell ref="EI91:EJ91"/>
    <mergeCell ref="CS108:CX108"/>
    <mergeCell ref="EN99:ES99"/>
    <mergeCell ref="DL99:DM99"/>
    <mergeCell ref="CY105:DK105"/>
    <mergeCell ref="AX22:BC22"/>
    <mergeCell ref="GD35:GE35"/>
    <mergeCell ref="DL39:DM39"/>
    <mergeCell ref="Z29:AE29"/>
    <mergeCell ref="CN31:CO31"/>
    <mergeCell ref="AX51:BC51"/>
    <mergeCell ref="BD36:BP36"/>
    <mergeCell ref="HL34:HX34"/>
    <mergeCell ref="HB56:HC56"/>
    <mergeCell ref="HF106:HK106"/>
    <mergeCell ref="HL94:HX94"/>
    <mergeCell ref="HL21:HX21"/>
    <mergeCell ref="EN28:ES28"/>
    <mergeCell ref="FK51:FP51"/>
    <mergeCell ref="BD11:BP11"/>
    <mergeCell ref="FG17:FH17"/>
    <mergeCell ref="AX30:BC30"/>
    <mergeCell ref="BU19:BZ19"/>
    <mergeCell ref="DX11:DY11"/>
    <mergeCell ref="HY31:HZ31"/>
    <mergeCell ref="HF37:HK37"/>
    <mergeCell ref="HB61:HC61"/>
    <mergeCell ref="CA24:CM24"/>
    <mergeCell ref="EN29:ES29"/>
    <mergeCell ref="EI25:EJ25"/>
    <mergeCell ref="EN27:ES27"/>
    <mergeCell ref="EN31:ES31"/>
    <mergeCell ref="DP29:DU29"/>
    <mergeCell ref="DP49:DU49"/>
    <mergeCell ref="FG21:FH21"/>
    <mergeCell ref="HF52:HK52"/>
    <mergeCell ref="HF57:HK57"/>
    <mergeCell ref="CA49:CM49"/>
    <mergeCell ref="EN39:ES39"/>
    <mergeCell ref="HY30:HZ30"/>
    <mergeCell ref="DP50:DU50"/>
    <mergeCell ref="HF26:HK26"/>
    <mergeCell ref="HY23:HZ23"/>
    <mergeCell ref="HY48:HZ48"/>
    <mergeCell ref="FK23:FP23"/>
    <mergeCell ref="CN42:CO42"/>
    <mergeCell ref="FG36:FH36"/>
    <mergeCell ref="GI57:GN57"/>
    <mergeCell ref="HY49:HZ49"/>
    <mergeCell ref="HY27:HZ27"/>
    <mergeCell ref="HL46:HX46"/>
    <mergeCell ref="HF25:HK25"/>
    <mergeCell ref="HL37:HX37"/>
    <mergeCell ref="CA44:CM44"/>
    <mergeCell ref="CA54:CM54"/>
    <mergeCell ref="FK43:FP43"/>
    <mergeCell ref="HP15:HZ15"/>
    <mergeCell ref="HF21:HK21"/>
    <mergeCell ref="CN19:CO19"/>
    <mergeCell ref="HB21:HC21"/>
    <mergeCell ref="I86:U86"/>
    <mergeCell ref="EI74:EJ74"/>
    <mergeCell ref="EN108:ES108"/>
    <mergeCell ref="HL102:HX102"/>
    <mergeCell ref="AF33:AR33"/>
    <mergeCell ref="GD52:GE52"/>
    <mergeCell ref="CN60:CO60"/>
    <mergeCell ref="CY24:DK24"/>
    <mergeCell ref="FK24:FP24"/>
    <mergeCell ref="HY107:HZ107"/>
    <mergeCell ref="V101:W101"/>
    <mergeCell ref="I103:U103"/>
    <mergeCell ref="V60:W60"/>
    <mergeCell ref="FG37:FH37"/>
    <mergeCell ref="V80:W80"/>
    <mergeCell ref="FQ51:GC51"/>
    <mergeCell ref="DL53:DM53"/>
    <mergeCell ref="CY53:DK53"/>
    <mergeCell ref="ET53:FF53"/>
    <mergeCell ref="Z54:AE54"/>
    <mergeCell ref="I33:U33"/>
    <mergeCell ref="DL34:DM34"/>
    <mergeCell ref="CS54:CX54"/>
    <mergeCell ref="I84:U84"/>
    <mergeCell ref="FK75:FP75"/>
    <mergeCell ref="AF42:AR42"/>
    <mergeCell ref="V76:W76"/>
    <mergeCell ref="Z72:AE72"/>
    <mergeCell ref="DO11:DP11"/>
    <mergeCell ref="FG33:FH33"/>
    <mergeCell ref="BD32:BP32"/>
    <mergeCell ref="BD106:BP106"/>
    <mergeCell ref="HL95:HX95"/>
    <mergeCell ref="DL96:DM96"/>
    <mergeCell ref="CN96:CO96"/>
    <mergeCell ref="FK100:FP100"/>
    <mergeCell ref="ET19:FF19"/>
    <mergeCell ref="CS59:CX59"/>
    <mergeCell ref="DV64:EH64"/>
    <mergeCell ref="HB55:HC55"/>
    <mergeCell ref="AS72:AT72"/>
    <mergeCell ref="ET34:FF34"/>
    <mergeCell ref="HE12:HF12"/>
    <mergeCell ref="GI12:GN12"/>
    <mergeCell ref="HB62:HC62"/>
    <mergeCell ref="HL61:HX61"/>
    <mergeCell ref="AX106:BC106"/>
    <mergeCell ref="DV18:EH18"/>
    <mergeCell ref="FQ43:GC43"/>
    <mergeCell ref="HL98:HX98"/>
    <mergeCell ref="DO17:EJ17"/>
    <mergeCell ref="HF33:HK33"/>
    <mergeCell ref="CY34:DK34"/>
    <mergeCell ref="AX97:BC97"/>
    <mergeCell ref="DV100:EH100"/>
    <mergeCell ref="DL49:DM49"/>
    <mergeCell ref="FQ33:GC33"/>
    <mergeCell ref="BQ58:BR58"/>
    <mergeCell ref="AS34:AT34"/>
    <mergeCell ref="CN34:CO34"/>
    <mergeCell ref="C7:H7"/>
    <mergeCell ref="O4:AT4"/>
    <mergeCell ref="I7:N7"/>
    <mergeCell ref="O7:AT7"/>
    <mergeCell ref="I10:U10"/>
    <mergeCell ref="BU36:BZ36"/>
    <mergeCell ref="DL91:DM91"/>
    <mergeCell ref="EN62:ES62"/>
    <mergeCell ref="DP35:DU35"/>
    <mergeCell ref="BD34:BP34"/>
    <mergeCell ref="AX28:BC28"/>
    <mergeCell ref="V91:W91"/>
    <mergeCell ref="I5:N5"/>
    <mergeCell ref="FK33:FP33"/>
    <mergeCell ref="V13:W13"/>
    <mergeCell ref="EN12:ES12"/>
    <mergeCell ref="I20:U20"/>
    <mergeCell ref="EN24:ES24"/>
    <mergeCell ref="EI32:EJ32"/>
    <mergeCell ref="BD12:BP12"/>
    <mergeCell ref="ET21:FF21"/>
    <mergeCell ref="Z28:AE28"/>
    <mergeCell ref="AS18:AT18"/>
    <mergeCell ref="BD21:BP21"/>
    <mergeCell ref="I13:U13"/>
    <mergeCell ref="AX42:BC42"/>
    <mergeCell ref="CA32:CM32"/>
    <mergeCell ref="CN39:CO39"/>
    <mergeCell ref="FG40:FH40"/>
    <mergeCell ref="EN16:ES16"/>
    <mergeCell ref="I25:U25"/>
    <mergeCell ref="EI36:EJ36"/>
    <mergeCell ref="C99:H99"/>
    <mergeCell ref="Z90:AE90"/>
    <mergeCell ref="CC9:CO9"/>
    <mergeCell ref="AH10:AI10"/>
    <mergeCell ref="C4:H4"/>
    <mergeCell ref="AS32:AT32"/>
    <mergeCell ref="AX18:BC18"/>
    <mergeCell ref="V34:W34"/>
    <mergeCell ref="FU10:GE10"/>
    <mergeCell ref="CY26:DK26"/>
    <mergeCell ref="DV91:EH91"/>
    <mergeCell ref="EN33:ES33"/>
    <mergeCell ref="I6:N6"/>
    <mergeCell ref="CY33:DK33"/>
    <mergeCell ref="C13:H13"/>
    <mergeCell ref="C31:H31"/>
    <mergeCell ref="I56:U56"/>
    <mergeCell ref="I51:U51"/>
    <mergeCell ref="Z34:AE34"/>
    <mergeCell ref="V27:W27"/>
    <mergeCell ref="CS11:CX11"/>
    <mergeCell ref="C97:H97"/>
    <mergeCell ref="I35:U35"/>
    <mergeCell ref="EN40:ES40"/>
    <mergeCell ref="FQ44:GC44"/>
    <mergeCell ref="I31:U31"/>
    <mergeCell ref="FK90:FP90"/>
    <mergeCell ref="CA35:CM35"/>
    <mergeCell ref="DP33:DU33"/>
    <mergeCell ref="AX31:BC31"/>
    <mergeCell ref="I45:U45"/>
    <mergeCell ref="I34:U34"/>
    <mergeCell ref="HP10:HZ10"/>
    <mergeCell ref="BD57:BP57"/>
    <mergeCell ref="GD34:GE34"/>
    <mergeCell ref="AX34:BC34"/>
    <mergeCell ref="EI34:EJ34"/>
    <mergeCell ref="FQ35:GC35"/>
    <mergeCell ref="BU35:BZ35"/>
    <mergeCell ref="GO107:HA107"/>
    <mergeCell ref="BQ77:BR77"/>
    <mergeCell ref="FK49:FP49"/>
    <mergeCell ref="EI100:EJ100"/>
    <mergeCell ref="DV36:EH36"/>
    <mergeCell ref="HB75:HC75"/>
    <mergeCell ref="CS34:CX34"/>
    <mergeCell ref="AX61:BC61"/>
    <mergeCell ref="GI106:GN106"/>
    <mergeCell ref="BD51:BP51"/>
    <mergeCell ref="GI25:GN25"/>
    <mergeCell ref="AX21:BC21"/>
    <mergeCell ref="CN95:CO95"/>
    <mergeCell ref="HB105:HC105"/>
    <mergeCell ref="FQ81:GC81"/>
    <mergeCell ref="BQ82:BR82"/>
    <mergeCell ref="BD82:BP82"/>
    <mergeCell ref="EI80:EJ80"/>
    <mergeCell ref="BU72:BZ72"/>
    <mergeCell ref="FQ59:GC59"/>
    <mergeCell ref="HY98:HZ98"/>
    <mergeCell ref="DL92:DM92"/>
    <mergeCell ref="BU97:BZ97"/>
    <mergeCell ref="HB94:HC94"/>
    <mergeCell ref="EN93:ES93"/>
    <mergeCell ref="I96:U96"/>
    <mergeCell ref="CN90:CO90"/>
    <mergeCell ref="ET84:FF84"/>
    <mergeCell ref="HY76:HZ76"/>
    <mergeCell ref="CN84:CO84"/>
    <mergeCell ref="DL77:DM77"/>
    <mergeCell ref="DP84:DU84"/>
    <mergeCell ref="HY83:HZ83"/>
    <mergeCell ref="HY95:HZ95"/>
    <mergeCell ref="DL79:DM79"/>
    <mergeCell ref="AF83:AR83"/>
    <mergeCell ref="AF80:AR80"/>
    <mergeCell ref="I87:U87"/>
    <mergeCell ref="CA92:CM92"/>
    <mergeCell ref="I62:U62"/>
    <mergeCell ref="HB76:HC76"/>
    <mergeCell ref="HL65:HX65"/>
    <mergeCell ref="HL75:HX75"/>
    <mergeCell ref="AS63:AT63"/>
    <mergeCell ref="HY86:HZ86"/>
    <mergeCell ref="HL91:HX91"/>
    <mergeCell ref="HF72:HK72"/>
    <mergeCell ref="CN64:CO64"/>
    <mergeCell ref="V79:W79"/>
    <mergeCell ref="ET87:FF87"/>
    <mergeCell ref="BU85:BZ85"/>
    <mergeCell ref="BU82:BZ82"/>
    <mergeCell ref="HF85:HK85"/>
    <mergeCell ref="HF94:HK94"/>
    <mergeCell ref="HF89:HK89"/>
    <mergeCell ref="HY64:HZ64"/>
    <mergeCell ref="AF71:AR71"/>
    <mergeCell ref="BQ110:BR110"/>
    <mergeCell ref="CY110:DK110"/>
    <mergeCell ref="HY79:HZ79"/>
    <mergeCell ref="HL71:HX71"/>
    <mergeCell ref="FG82:FH82"/>
    <mergeCell ref="GO79:HA79"/>
    <mergeCell ref="CS82:CX82"/>
    <mergeCell ref="HF95:HK95"/>
    <mergeCell ref="I74:U74"/>
    <mergeCell ref="CS73:CX73"/>
    <mergeCell ref="CA77:CM77"/>
    <mergeCell ref="GI82:GN82"/>
    <mergeCell ref="CN75:CO75"/>
    <mergeCell ref="HY71:HZ71"/>
    <mergeCell ref="GD76:GE76"/>
    <mergeCell ref="HF80:HK80"/>
    <mergeCell ref="AS92:AT92"/>
    <mergeCell ref="HF81:HK81"/>
    <mergeCell ref="V78:W78"/>
    <mergeCell ref="HY75:HZ75"/>
    <mergeCell ref="Z76:AE76"/>
    <mergeCell ref="FQ91:GC91"/>
    <mergeCell ref="HF79:HK79"/>
    <mergeCell ref="CS77:CX77"/>
    <mergeCell ref="GD94:GE94"/>
    <mergeCell ref="HY72:HZ72"/>
    <mergeCell ref="CA74:CM74"/>
    <mergeCell ref="I102:U102"/>
    <mergeCell ref="CS110:CX110"/>
    <mergeCell ref="DV110:EH110"/>
    <mergeCell ref="EI102:EJ102"/>
    <mergeCell ref="HB110:HC110"/>
    <mergeCell ref="Z40:AE40"/>
    <mergeCell ref="GD40:GE40"/>
    <mergeCell ref="GD54:GE54"/>
    <mergeCell ref="DP57:DU57"/>
    <mergeCell ref="CA39:CM39"/>
    <mergeCell ref="DV57:EH57"/>
    <mergeCell ref="BU40:BZ40"/>
    <mergeCell ref="GD102:GE102"/>
    <mergeCell ref="AS91:AT91"/>
    <mergeCell ref="CN49:CO49"/>
    <mergeCell ref="CN58:CO58"/>
    <mergeCell ref="EN105:ES105"/>
    <mergeCell ref="CN107:CO107"/>
    <mergeCell ref="EI110:EJ110"/>
    <mergeCell ref="AX109:BC109"/>
    <mergeCell ref="BQ85:BR85"/>
    <mergeCell ref="CN89:CO89"/>
    <mergeCell ref="FQ94:GC94"/>
    <mergeCell ref="CN108:CO108"/>
    <mergeCell ref="DL110:DM110"/>
    <mergeCell ref="CA80:CM80"/>
    <mergeCell ref="CA94:CM94"/>
    <mergeCell ref="Z46:AE46"/>
    <mergeCell ref="EN110:ES110"/>
    <mergeCell ref="AF59:AR59"/>
    <mergeCell ref="EN53:ES53"/>
    <mergeCell ref="BU62:BZ62"/>
    <mergeCell ref="AF107:AR107"/>
    <mergeCell ref="DL105:DM105"/>
    <mergeCell ref="FK105:FP105"/>
    <mergeCell ref="DP110:DU110"/>
    <mergeCell ref="BU110:BZ110"/>
    <mergeCell ref="O3:AT3"/>
    <mergeCell ref="I4:N4"/>
    <mergeCell ref="A1:AU1"/>
    <mergeCell ref="I93:U93"/>
    <mergeCell ref="GI95:GN95"/>
    <mergeCell ref="GO92:HA92"/>
    <mergeCell ref="CA91:CM91"/>
    <mergeCell ref="DV98:EH98"/>
    <mergeCell ref="AX100:BC100"/>
    <mergeCell ref="I100:U100"/>
    <mergeCell ref="GD98:GE98"/>
    <mergeCell ref="BU90:BZ90"/>
    <mergeCell ref="HB92:HC92"/>
    <mergeCell ref="FG101:FH101"/>
    <mergeCell ref="CE12:CO12"/>
    <mergeCell ref="BD98:BP98"/>
    <mergeCell ref="I94:U94"/>
    <mergeCell ref="FK91:FP91"/>
    <mergeCell ref="BU99:BZ99"/>
    <mergeCell ref="BD91:BP91"/>
    <mergeCell ref="AA13:AF13"/>
    <mergeCell ref="Y12:Z12"/>
    <mergeCell ref="GI13:GN13"/>
    <mergeCell ref="HB26:HC26"/>
    <mergeCell ref="CS13:CX13"/>
    <mergeCell ref="Z83:AE83"/>
    <mergeCell ref="GI88:GN88"/>
    <mergeCell ref="I3:N3"/>
    <mergeCell ref="GO30:HA30"/>
    <mergeCell ref="EI38:EJ38"/>
    <mergeCell ref="I23:U23"/>
    <mergeCell ref="DV71:EH71"/>
    <mergeCell ref="V106:W106"/>
    <mergeCell ref="CA107:CM107"/>
    <mergeCell ref="AS107:AT107"/>
    <mergeCell ref="C36:H36"/>
    <mergeCell ref="C110:H110"/>
    <mergeCell ref="GO83:HA83"/>
    <mergeCell ref="HL99:HX99"/>
    <mergeCell ref="V98:W98"/>
    <mergeCell ref="FJ11:FK11"/>
    <mergeCell ref="FQ92:GC92"/>
    <mergeCell ref="CE10:CO10"/>
    <mergeCell ref="AS98:AT98"/>
    <mergeCell ref="HF32:HK32"/>
    <mergeCell ref="HB13:HC13"/>
    <mergeCell ref="CA93:CM93"/>
    <mergeCell ref="FK106:FP106"/>
    <mergeCell ref="CS16:CX16"/>
    <mergeCell ref="GI44:GN44"/>
    <mergeCell ref="HB44:HC44"/>
    <mergeCell ref="HF44:HK44"/>
    <mergeCell ref="EI54:EJ54"/>
    <mergeCell ref="V39:W39"/>
    <mergeCell ref="BQ64:BR64"/>
    <mergeCell ref="CY49:DK49"/>
    <mergeCell ref="HF101:HK101"/>
    <mergeCell ref="C100:H100"/>
    <mergeCell ref="DP105:DU105"/>
    <mergeCell ref="BD110:BP110"/>
    <mergeCell ref="FQ39:GC39"/>
    <mergeCell ref="GI104:GN104"/>
    <mergeCell ref="CY52:DK52"/>
    <mergeCell ref="DL60:DM60"/>
    <mergeCell ref="C107:H107"/>
    <mergeCell ref="BU105:BZ105"/>
    <mergeCell ref="CY107:DK107"/>
    <mergeCell ref="AS95:AT95"/>
    <mergeCell ref="BQ106:BR106"/>
    <mergeCell ref="BU107:BZ107"/>
    <mergeCell ref="V77:W77"/>
    <mergeCell ref="Z75:AE75"/>
    <mergeCell ref="HF98:HK98"/>
    <mergeCell ref="BQ107:BR107"/>
    <mergeCell ref="BD104:BP104"/>
    <mergeCell ref="EI62:EJ62"/>
    <mergeCell ref="AX29:BC29"/>
    <mergeCell ref="FK38:FP38"/>
    <mergeCell ref="GI48:GN48"/>
    <mergeCell ref="CA62:CM62"/>
    <mergeCell ref="CS104:CX104"/>
    <mergeCell ref="BQ105:BR105"/>
    <mergeCell ref="AX107:BC107"/>
    <mergeCell ref="FK36:FP36"/>
    <mergeCell ref="HF56:HK56"/>
    <mergeCell ref="Z107:AE107"/>
    <mergeCell ref="AF82:AR82"/>
    <mergeCell ref="FK72:FP72"/>
    <mergeCell ref="DV78:EH78"/>
    <mergeCell ref="ET78:FF78"/>
    <mergeCell ref="BQ100:BR100"/>
    <mergeCell ref="EN100:ES100"/>
    <mergeCell ref="CA98:CM98"/>
    <mergeCell ref="AF100:AR100"/>
    <mergeCell ref="CA56:CM56"/>
    <mergeCell ref="CA101:CM101"/>
    <mergeCell ref="CY108:DK108"/>
    <mergeCell ref="AX90:BC90"/>
    <mergeCell ref="HB108:HC108"/>
    <mergeCell ref="V64:W64"/>
    <mergeCell ref="BD107:BP107"/>
    <mergeCell ref="DV52:EH52"/>
    <mergeCell ref="FK93:FP93"/>
    <mergeCell ref="HL106:HX106"/>
    <mergeCell ref="GD83:GE83"/>
    <mergeCell ref="CY82:DK82"/>
    <mergeCell ref="GD39:GE39"/>
    <mergeCell ref="BQ36:BR36"/>
    <mergeCell ref="AX40:BC40"/>
    <mergeCell ref="AF101:AR101"/>
    <mergeCell ref="GD103:GE103"/>
    <mergeCell ref="GO103:HA103"/>
    <mergeCell ref="DV102:EH102"/>
    <mergeCell ref="FK98:FP98"/>
    <mergeCell ref="DL98:DM98"/>
    <mergeCell ref="CS98:CX98"/>
    <mergeCell ref="GD37:GE37"/>
    <mergeCell ref="GI38:GN38"/>
    <mergeCell ref="FQ61:GC61"/>
    <mergeCell ref="AF97:AR97"/>
    <mergeCell ref="HF105:HK105"/>
    <mergeCell ref="HB87:HC87"/>
    <mergeCell ref="DL94:DM94"/>
    <mergeCell ref="CY65:DK65"/>
    <mergeCell ref="HB50:HC50"/>
    <mergeCell ref="ET100:FF100"/>
    <mergeCell ref="HB91:HC91"/>
    <mergeCell ref="AS105:AT105"/>
    <mergeCell ref="BQ102:BR102"/>
    <mergeCell ref="AF55:AR55"/>
    <mergeCell ref="BU77:BZ77"/>
    <mergeCell ref="GO102:HA102"/>
    <mergeCell ref="HB84:HC84"/>
    <mergeCell ref="AX55:BC55"/>
    <mergeCell ref="HF90:HK90"/>
    <mergeCell ref="EI85:EJ85"/>
    <mergeCell ref="DL95:DM95"/>
    <mergeCell ref="DV96:EH96"/>
    <mergeCell ref="FK96:FP96"/>
    <mergeCell ref="GI100:GN100"/>
    <mergeCell ref="GI102:GN102"/>
    <mergeCell ref="HB102:HC102"/>
    <mergeCell ref="ET99:FF99"/>
    <mergeCell ref="DL78:DM78"/>
    <mergeCell ref="GD80:GE80"/>
    <mergeCell ref="AF85:AR85"/>
    <mergeCell ref="CN98:CO98"/>
    <mergeCell ref="GD87:GE87"/>
    <mergeCell ref="BD78:BP78"/>
    <mergeCell ref="DP91:DU91"/>
    <mergeCell ref="DP102:DU102"/>
    <mergeCell ref="EN102:ES102"/>
    <mergeCell ref="CA83:CM83"/>
    <mergeCell ref="FG81:FH81"/>
    <mergeCell ref="FK82:FP82"/>
    <mergeCell ref="ET63:FF63"/>
    <mergeCell ref="FJ70:GE70"/>
    <mergeCell ref="AX68:BC68"/>
    <mergeCell ref="CN94:CO94"/>
    <mergeCell ref="EN68:ES68"/>
    <mergeCell ref="BU100:BZ100"/>
    <mergeCell ref="CA99:CM99"/>
    <mergeCell ref="ET97:FF97"/>
    <mergeCell ref="FK77:FP77"/>
    <mergeCell ref="ET70:FF70"/>
    <mergeCell ref="CY72:DK72"/>
    <mergeCell ref="EN90:ES90"/>
    <mergeCell ref="DL63:DM63"/>
    <mergeCell ref="CA64:CM64"/>
    <mergeCell ref="BQ65:BR65"/>
    <mergeCell ref="BU66:BZ66"/>
    <mergeCell ref="DV89:EH89"/>
    <mergeCell ref="FG85:FH85"/>
    <mergeCell ref="CY101:DK101"/>
    <mergeCell ref="EN101:ES101"/>
    <mergeCell ref="BQ79:BR79"/>
    <mergeCell ref="AX88:BC88"/>
    <mergeCell ref="BD89:BP89"/>
    <mergeCell ref="EN77:ES77"/>
    <mergeCell ref="FG73:FH73"/>
    <mergeCell ref="DP98:DU98"/>
    <mergeCell ref="BU67:BZ67"/>
    <mergeCell ref="BQ67:BR67"/>
    <mergeCell ref="GI103:GN103"/>
    <mergeCell ref="FQ103:GC103"/>
    <mergeCell ref="DP103:DU103"/>
    <mergeCell ref="FG103:FH103"/>
    <mergeCell ref="CN103:CO103"/>
    <mergeCell ref="Z63:AE63"/>
    <mergeCell ref="DV103:EH103"/>
    <mergeCell ref="FQ100:GC100"/>
    <mergeCell ref="CY84:DK84"/>
    <mergeCell ref="FQ102:GC102"/>
    <mergeCell ref="GD85:GE85"/>
    <mergeCell ref="GD92:GE92"/>
    <mergeCell ref="CN33:CO33"/>
    <mergeCell ref="FK53:FP53"/>
    <mergeCell ref="BD99:BP99"/>
    <mergeCell ref="Z35:AE35"/>
    <mergeCell ref="DL101:DM101"/>
    <mergeCell ref="BQ94:BR94"/>
    <mergeCell ref="AF73:AR73"/>
    <mergeCell ref="AS78:AT78"/>
    <mergeCell ref="BU34:BZ34"/>
    <mergeCell ref="AF34:AR34"/>
    <mergeCell ref="FG83:FH83"/>
    <mergeCell ref="CY100:DK100"/>
    <mergeCell ref="CA102:CM102"/>
    <mergeCell ref="FG69:FH69"/>
    <mergeCell ref="FG102:FH102"/>
    <mergeCell ref="DV82:EH82"/>
    <mergeCell ref="ET81:FF81"/>
    <mergeCell ref="AS50:AT50"/>
    <mergeCell ref="DP52:DU52"/>
    <mergeCell ref="AS73:AT73"/>
    <mergeCell ref="HY101:HZ101"/>
    <mergeCell ref="HY99:HZ99"/>
    <mergeCell ref="HY38:HZ38"/>
    <mergeCell ref="V51:W51"/>
    <mergeCell ref="HF58:HK58"/>
    <mergeCell ref="C106:H106"/>
    <mergeCell ref="FG100:FH100"/>
    <mergeCell ref="EI101:EJ101"/>
    <mergeCell ref="FG29:FH29"/>
    <mergeCell ref="C94:H94"/>
    <mergeCell ref="V105:W105"/>
    <mergeCell ref="EI103:EJ103"/>
    <mergeCell ref="C50:H50"/>
    <mergeCell ref="DL100:DM100"/>
    <mergeCell ref="EI98:EJ98"/>
    <mergeCell ref="DL87:DM87"/>
    <mergeCell ref="DP74:DU74"/>
    <mergeCell ref="V104:W104"/>
    <mergeCell ref="AF58:AR58"/>
    <mergeCell ref="AX38:BC38"/>
    <mergeCell ref="Z39:AE39"/>
    <mergeCell ref="BD39:BP39"/>
    <mergeCell ref="AX39:BC39"/>
    <mergeCell ref="BU39:BZ39"/>
    <mergeCell ref="AF104:AR104"/>
    <mergeCell ref="Z32:AE32"/>
    <mergeCell ref="HL33:HX33"/>
    <mergeCell ref="HY96:HZ96"/>
    <mergeCell ref="HY103:HZ103"/>
    <mergeCell ref="HL96:HX96"/>
    <mergeCell ref="HY100:HZ100"/>
    <mergeCell ref="AS106:AT106"/>
    <mergeCell ref="DX13:DY13"/>
    <mergeCell ref="BD16:BP16"/>
    <mergeCell ref="AH13:AI13"/>
    <mergeCell ref="DL14:DM14"/>
    <mergeCell ref="AX13:BC13"/>
    <mergeCell ref="DO12:DP12"/>
    <mergeCell ref="DV26:EH26"/>
    <mergeCell ref="FJ12:FK12"/>
    <mergeCell ref="Y17:AT17"/>
    <mergeCell ref="V15:W15"/>
    <mergeCell ref="AS21:AT21"/>
    <mergeCell ref="HB96:HC96"/>
    <mergeCell ref="GO16:HA16"/>
    <mergeCell ref="DL22:DM22"/>
    <mergeCell ref="FS12:FT12"/>
    <mergeCell ref="CA18:CM18"/>
    <mergeCell ref="FL12:FQ12"/>
    <mergeCell ref="FQ49:GC49"/>
    <mergeCell ref="BU59:BZ59"/>
    <mergeCell ref="FQ45:GC45"/>
    <mergeCell ref="DL12:DM12"/>
    <mergeCell ref="GO12:HA12"/>
    <mergeCell ref="DL23:DM23"/>
    <mergeCell ref="Y13:Z13"/>
    <mergeCell ref="FS13:FT13"/>
    <mergeCell ref="V45:W45"/>
    <mergeCell ref="FG60:FH60"/>
    <mergeCell ref="FQ36:GC36"/>
    <mergeCell ref="DP83:DU83"/>
    <mergeCell ref="AF96:AR96"/>
    <mergeCell ref="Z33:AE33"/>
    <mergeCell ref="ET54:FF54"/>
    <mergeCell ref="HE15:HF15"/>
    <mergeCell ref="CA28:CM28"/>
    <mergeCell ref="Z31:AE31"/>
    <mergeCell ref="DX12:DY12"/>
    <mergeCell ref="AJ13:AT13"/>
    <mergeCell ref="GD29:GE29"/>
    <mergeCell ref="HL101:HX101"/>
    <mergeCell ref="Z93:AE93"/>
    <mergeCell ref="HY94:HZ94"/>
    <mergeCell ref="AX98:BC98"/>
    <mergeCell ref="HY55:HZ55"/>
    <mergeCell ref="HE13:HF13"/>
    <mergeCell ref="V16:W16"/>
    <mergeCell ref="FJ17:GE17"/>
    <mergeCell ref="CY18:DK18"/>
    <mergeCell ref="HF100:HK100"/>
    <mergeCell ref="DL85:DM85"/>
    <mergeCell ref="FG96:FH96"/>
    <mergeCell ref="DP85:DU85"/>
    <mergeCell ref="DV85:EH85"/>
    <mergeCell ref="CN77:CO77"/>
    <mergeCell ref="BQ76:BR76"/>
    <mergeCell ref="FU12:GE12"/>
    <mergeCell ref="DO13:DP13"/>
    <mergeCell ref="EN13:ES13"/>
    <mergeCell ref="ET13:FF13"/>
    <mergeCell ref="ET12:FF12"/>
    <mergeCell ref="FG12:FH12"/>
    <mergeCell ref="DL18:DM18"/>
    <mergeCell ref="AS45:AT45"/>
    <mergeCell ref="GI20:GN20"/>
    <mergeCell ref="DL13:DM13"/>
  </mergeCells>
  <phoneticPr fontId="83"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rangeList sheetStid="2" master=""/>
  <rangeList sheetStid="3" master=""/>
  <rangeList sheetStid="4" master=""/>
  <rangeList sheetStid="5" master=""/>
  <rangeList sheetStid="6" master=""/>
  <rangeList sheetStid="7" master=""/>
  <rangeList sheetStid="8" master=""/>
  <rangeList sheetStid="9" master=""/>
  <rangeList sheetStid="10" master=""/>
  <rangeList sheetStid="11" master=""/>
  <rangeList sheetStid="12" master=""/>
  <rangeList sheetStid="13" master=""/>
  <rangeList sheetStid="14" master=""/>
  <rangeList sheetStid="15" master=""/>
  <rangeList sheetStid="16" master=""/>
  <rangeList sheetStid="17" master=""/>
  <rangeList sheetStid="18" master="">
    <arrUserId title="区域3" rangeCreator="" othersAccessPermission="edit"/>
    <arrUserId title="区域2" rangeCreator="" othersAccessPermission="edit"/>
    <arrUserId title="区域1" rangeCreator="" othersAccessPermission="edit"/>
    <arrUserId title="区域1_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背景</vt:lpstr>
      <vt:lpstr>主要</vt:lpstr>
      <vt:lpstr>背包</vt:lpstr>
      <vt:lpstr>法术书</vt:lpstr>
      <vt:lpstr>综合数据</vt:lpstr>
      <vt:lpstr>种族数据</vt:lpstr>
      <vt:lpstr>职业数据</vt:lpstr>
      <vt:lpstr>装备数据</vt:lpstr>
      <vt:lpstr>背景数据</vt:lpstr>
      <vt:lpstr>专长数据</vt:lpstr>
      <vt:lpstr>法术数据</vt:lpstr>
      <vt:lpstr>赠礼数据</vt:lpstr>
      <vt:lpstr>法术查询</vt:lpstr>
      <vt:lpstr>计算器</vt:lpstr>
      <vt:lpstr> </vt:lpstr>
      <vt:lpstr>额外法术</vt:lpstr>
      <vt:lpstr>盟友</vt:lpstr>
      <vt:lpstr>据点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孩子 草</cp:lastModifiedBy>
  <dcterms:created xsi:type="dcterms:W3CDTF">2018-02-26T03:14:00Z</dcterms:created>
  <dcterms:modified xsi:type="dcterms:W3CDTF">2026-02-28T11:50:58Z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KSOProductBuildVer">
    <vt:lpwstr>2052-11.1.0.12763</vt:lpwstr>
  </property>
  <property fmtid="{D5CDD505-2E9C-101B-9397-08002B2CF9AE}" pid="4" name="ICV">
    <vt:lpwstr>17292E04E9204242964973874B9853E1</vt:lpwstr>
  </property>
</Properties>
</file>